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oklima1.sharepoint.com/sites/TeamOklima/Shared Documents/03 - Développement/1 - FORET/1 - PROJETS/LACOUTURE Yves/Projet GFR du Saillant/2.Dossier_LBC_déposé/"/>
    </mc:Choice>
  </mc:AlternateContent>
  <xr:revisionPtr revIDLastSave="0" documentId="8_{C4CF93F1-E5FB-4776-93FA-1DA4946F7D8B}" xr6:coauthVersionLast="47" xr6:coauthVersionMax="47" xr10:uidLastSave="{00000000-0000-0000-0000-000000000000}"/>
  <bookViews>
    <workbookView xWindow="-10" yWindow="50" windowWidth="19190" windowHeight="11280" tabRatio="866" activeTab="6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EA4" i="2" s="1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FR4" i="2"/>
  <c r="EC4" i="2"/>
  <c r="FQ4" i="2"/>
  <c r="B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R5" i="2" s="1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EC5" i="2" s="1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A5" i="2" l="1"/>
  <c r="EX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HH6" i="2" s="1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V7" i="2" s="1"/>
  <c r="ET7" i="2"/>
  <c r="FO7" i="2"/>
  <c r="FN7" i="2"/>
  <c r="DY7" i="2"/>
  <c r="DD7" i="2"/>
  <c r="DC7" i="2"/>
  <c r="BM7" i="2"/>
  <c r="BN7" i="2"/>
  <c r="DX7" i="2"/>
  <c r="EA7" i="2" s="1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B7" i="2" l="1"/>
  <c r="HI7" i="2"/>
  <c r="EW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HH10" i="2" s="1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B10" i="2" l="1"/>
  <c r="EA10" i="2"/>
  <c r="FS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HH12" i="2" s="1"/>
  <c r="FO12" i="2"/>
  <c r="GI12" i="2"/>
  <c r="DY12" i="2"/>
  <c r="GJ12" i="2"/>
  <c r="ES12" i="2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G14" i="2" s="1"/>
  <c r="HE14" i="2"/>
  <c r="HH14" i="2" s="1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X14" i="2" l="1"/>
  <c r="EB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V15" i="2" s="1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FS15" i="2" l="1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HH16" i="2" s="1"/>
  <c r="FO16" i="2"/>
  <c r="GI16" i="2"/>
  <c r="DY16" i="2"/>
  <c r="ES16" i="2"/>
  <c r="DX16" i="2"/>
  <c r="EA16" i="2" s="1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C16" i="2" l="1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G18" i="2" s="1"/>
  <c r="HE18" i="2"/>
  <c r="GI18" i="2"/>
  <c r="GJ18" i="2"/>
  <c r="ET18" i="2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EW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C20" i="2" l="1"/>
  <c r="HG20" i="2"/>
  <c r="EW20" i="2"/>
  <c r="FS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V21" i="2" l="1"/>
  <c r="HH21" i="2"/>
  <c r="EW21" i="2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W22" i="2"/>
  <c r="EA22" i="2"/>
  <c r="EB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HG24" i="2"/>
  <c r="EW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EX27" i="2"/>
  <c r="HI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EV28" i="2" s="1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FS28" i="2" s="1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HG28" i="2" l="1"/>
  <c r="EC28" i="2"/>
  <c r="EB28" i="2"/>
  <c r="HI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X29" i="2"/>
  <c r="HI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EV30" i="2" s="1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HI30" i="2" l="1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HH33" i="2" s="1"/>
  <c r="GJ33" i="2"/>
  <c r="HD33" i="2"/>
  <c r="FO33" i="2"/>
  <c r="FN33" i="2"/>
  <c r="GI33" i="2"/>
  <c r="DY33" i="2"/>
  <c r="EB33" i="2" s="1"/>
  <c r="DD33" i="2"/>
  <c r="ET33" i="2"/>
  <c r="CH33" i="2"/>
  <c r="AS33" i="2"/>
  <c r="CI33" i="2"/>
  <c r="BM33" i="2"/>
  <c r="X33" i="2"/>
  <c r="ES33" i="2"/>
  <c r="EV33" i="2" s="1"/>
  <c r="DX33" i="2"/>
  <c r="EA33" i="2" s="1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HG33" i="2" l="1"/>
  <c r="EW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HH35" i="2" s="1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EB35" i="2" s="1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EA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B37" i="2" s="1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HG37" i="2" l="1"/>
  <c r="EA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HH38" i="2" s="1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EX38" i="2" s="1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W38" i="2" l="1"/>
  <c r="HI38" i="2"/>
  <c r="EA38" i="2"/>
  <c r="FS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EV42" i="2" s="1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HG42" i="2" l="1"/>
  <c r="EA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EA43" i="2" s="1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HI43" i="2"/>
  <c r="D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EW44" i="2" s="1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FS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C46" i="2" s="1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I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EA47" i="2" s="1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HG47" i="2" l="1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FS50" i="2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A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HG53" i="2" s="1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FS55" i="2" l="1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HG56" i="2" s="1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FS56" i="2" l="1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HG57" i="2" s="1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V57" i="2" l="1"/>
  <c r="FS57" i="2"/>
  <c r="HH57" i="2"/>
  <c r="EB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EW60" i="2" s="1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G60" i="2" l="1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EV61" i="2" s="1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X61" i="2" l="1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B62" i="2" s="1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HG63" i="2" l="1"/>
  <c r="EC63" i="2"/>
  <c r="EB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A64" i="2" l="1"/>
  <c r="EV64" i="2"/>
  <c r="EC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FS66" i="2" l="1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FS69" i="2" l="1"/>
  <c r="EC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W70" i="2" l="1"/>
  <c r="HI70" i="2"/>
  <c r="HG70" i="2"/>
  <c r="EB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EA71" i="2" s="1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HH71" i="2" l="1"/>
  <c r="EW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X72" i="2" l="1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EW73" i="2" s="1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X73" i="2" l="1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G74" i="2" s="1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EB75" i="2" s="1"/>
  <c r="FN75" i="2"/>
  <c r="DC75" i="2"/>
  <c r="BN75" i="2"/>
  <c r="CI75" i="2"/>
  <c r="BM75" i="2"/>
  <c r="DX75" i="2"/>
  <c r="EA75" i="2" s="1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HG75" i="2" l="1"/>
  <c r="HH75" i="2"/>
  <c r="FS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W77" i="2" s="1"/>
  <c r="ES77" i="2"/>
  <c r="DD77" i="2"/>
  <c r="CH77" i="2"/>
  <c r="AS77" i="2"/>
  <c r="CI77" i="2"/>
  <c r="BM77" i="2"/>
  <c r="DY77" i="2"/>
  <c r="EB77" i="2" s="1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FS77" i="2" l="1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EV78" i="2" s="1"/>
  <c r="DX78" i="2"/>
  <c r="BN78" i="2"/>
  <c r="DD78" i="2"/>
  <c r="CH78" i="2"/>
  <c r="AS78" i="2"/>
  <c r="W78" i="2"/>
  <c r="DY78" i="2"/>
  <c r="EB78" i="2" s="1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C78" i="2" s="1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W78" i="2" l="1"/>
  <c r="HI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H79" i="2" l="1"/>
  <c r="HG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G80" i="2" s="1"/>
  <c r="HE80" i="2"/>
  <c r="HH80" i="2" s="1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EC80" i="2" l="1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V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HG85" i="2" s="1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H85" i="2" l="1"/>
  <c r="EV85" i="2"/>
  <c r="EW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EB86" i="2" s="1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C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EB87" i="2" s="1"/>
  <c r="DD87" i="2"/>
  <c r="DC87" i="2"/>
  <c r="BN87" i="2"/>
  <c r="CI87" i="2"/>
  <c r="CH87" i="2"/>
  <c r="AS87" i="2"/>
  <c r="W87" i="2"/>
  <c r="DX87" i="2"/>
  <c r="EA87" i="2" s="1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HG87" i="2" l="1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G90" i="2" s="1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I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G94" i="2" s="1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EX94" i="2" l="1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S98" i="2" s="1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X98" i="2" l="1"/>
  <c r="EW98" i="2"/>
  <c r="HI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EV100" i="2" s="1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W100" i="2" l="1"/>
  <c r="EX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W104" i="2" l="1"/>
  <c r="EX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HH105" i="2" s="1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A105" i="2" l="1"/>
  <c r="EV105" i="2"/>
  <c r="FS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EA107" i="2" s="1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X107" i="2" l="1"/>
  <c r="EB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EB108" i="2" s="1"/>
  <c r="DC108" i="2"/>
  <c r="ET108" i="2"/>
  <c r="EW108" i="2" s="1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FS108" i="2" l="1"/>
  <c r="EA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X109" i="2" l="1"/>
  <c r="EB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G110" i="2" s="1"/>
  <c r="HE110" i="2"/>
  <c r="HH110" i="2" s="1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EB110" i="2" s="1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HI110" i="2" l="1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X112" i="2" l="1"/>
  <c r="EB112" i="2"/>
  <c r="HI112" i="2"/>
  <c r="FQ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EW113" i="2" s="1"/>
  <c r="CH113" i="2"/>
  <c r="AS113" i="2"/>
  <c r="DY113" i="2"/>
  <c r="EB113" i="2" s="1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HG113" i="2" l="1"/>
  <c r="EX113" i="2"/>
  <c r="FS113" i="2"/>
  <c r="EC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GI114" i="2"/>
  <c r="GJ114" i="2"/>
  <c r="ET114" i="2"/>
  <c r="EW114" i="2" s="1"/>
  <c r="FN114" i="2"/>
  <c r="DD114" i="2"/>
  <c r="BN114" i="2"/>
  <c r="FO114" i="2"/>
  <c r="CH114" i="2"/>
  <c r="AS114" i="2"/>
  <c r="ES114" i="2"/>
  <c r="EV114" i="2" s="1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HH114" i="2" l="1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EV116" i="2" s="1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G117" i="2" l="1"/>
  <c r="EA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X118" i="2" l="1"/>
  <c r="FS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R119" i="2" s="1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EX119" i="2" s="1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HG119" i="2" l="1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I120" i="2" s="1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H120" i="2" l="1"/>
  <c r="FR120" i="2"/>
  <c r="EX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EB121" i="2" s="1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FS122" i="2" l="1"/>
  <c r="EW122" i="2"/>
  <c r="HH122" i="2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HH124" i="2" s="1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EX124" i="2" l="1"/>
  <c r="HG124" i="2"/>
  <c r="FS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FS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FS127" i="2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DX128" i="2"/>
  <c r="FN128" i="2"/>
  <c r="ET128" i="2"/>
  <c r="DY128" i="2"/>
  <c r="EB128" i="2" s="1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FS128" i="2"/>
  <c r="EV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EV129" i="2" s="1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X129" i="2" l="1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EW130" i="2" s="1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B130" i="2" l="1"/>
  <c r="HG130" i="2"/>
  <c r="HI130" i="2"/>
  <c r="EX130" i="2"/>
  <c r="HH130" i="2"/>
  <c r="FS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HG132" i="2" l="1"/>
  <c r="EC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W133" i="2" s="1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W134" i="2" l="1"/>
  <c r="EV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H137" i="2" s="1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B138" i="2" l="1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HH139" i="2" l="1"/>
  <c r="FS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C140" i="2" l="1"/>
  <c r="FR140" i="2"/>
  <c r="HH140" i="2"/>
  <c r="HG140" i="2"/>
  <c r="EX140" i="2"/>
  <c r="EB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EB141" i="2" s="1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G142" i="2" s="1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EA144" i="2" s="1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G144" i="2"/>
  <c r="HH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B145" i="2" l="1"/>
  <c r="EA145" i="2"/>
  <c r="EX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FR146" i="2" s="1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HH146" i="2" l="1"/>
  <c r="FS146" i="2"/>
  <c r="HG146" i="2"/>
  <c r="HI146" i="2"/>
  <c r="EA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HG149" i="2" s="1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EC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EV150" i="2" s="1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FS150" i="2" l="1"/>
  <c r="HI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V151" i="2" s="1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EV152" i="2" s="1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B152" i="2" l="1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EA153" i="2" s="1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HH154" i="2"/>
  <c r="EX154" i="2"/>
  <c r="AA154" i="2"/>
  <c r="EV154" i="2"/>
  <c r="EY154" i="2" s="1"/>
  <c r="EC154" i="2"/>
  <c r="EA154" i="2"/>
  <c r="ED154" i="2" s="1"/>
  <c r="FS154" i="2"/>
  <c r="HI154" i="2"/>
  <c r="GN154" i="2"/>
  <c r="DF154" i="2"/>
  <c r="DI154" i="2" s="1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D194" i="2"/>
  <c r="G194" i="2" s="1"/>
  <c r="DI153" i="2"/>
  <c r="FT153" i="2"/>
  <c r="CN153" i="2"/>
  <c r="HJ153" i="2"/>
  <c r="GO153" i="2"/>
  <c r="EY153" i="2"/>
  <c r="ED153" i="2"/>
  <c r="AC153" i="2"/>
  <c r="AX151" i="2"/>
  <c r="AC154" i="2" l="1"/>
  <c r="EW155" i="2"/>
  <c r="HH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HI156" i="2" s="1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D155" i="2"/>
  <c r="AX152" i="2"/>
  <c r="FS156" i="2" l="1"/>
  <c r="EB156" i="2"/>
  <c r="HH156" i="2"/>
  <c r="AB156" i="2"/>
  <c r="HG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EX157" i="2" s="1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CN156" i="2" l="1"/>
  <c r="EB157" i="2"/>
  <c r="HH157" i="2"/>
  <c r="EA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EW158" i="2" s="1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EV158" i="2" l="1"/>
  <c r="HH158" i="2"/>
  <c r="HG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HH159" i="2" s="1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EC159" i="2" s="1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EC160" i="2" s="1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G160" i="2" l="1"/>
  <c r="EY159" i="2"/>
  <c r="DG160" i="2"/>
  <c r="HI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B161" i="2" l="1"/>
  <c r="EA161" i="2"/>
  <c r="EX161" i="2"/>
  <c r="AB161" i="2"/>
  <c r="FS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HH162" i="2" s="1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EC162" i="2"/>
  <c r="FS162" i="2"/>
  <c r="AU162" i="2"/>
  <c r="EX162" i="2"/>
  <c r="EA162" i="2"/>
  <c r="ED162" i="2" s="1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EA163" i="2" s="1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HI163" i="2" l="1"/>
  <c r="EV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EA164" i="2" l="1"/>
  <c r="HG164" i="2"/>
  <c r="HH164" i="2"/>
  <c r="EV164" i="2"/>
  <c r="FS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B165" i="2" l="1"/>
  <c r="HH165" i="2"/>
  <c r="EA165" i="2"/>
  <c r="HG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CN165" i="2" l="1"/>
  <c r="FS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HI167" i="2" s="1"/>
  <c r="GI167" i="2"/>
  <c r="FP167" i="2"/>
  <c r="EG167" i="2"/>
  <c r="FL167" i="2"/>
  <c r="EQ167" i="2"/>
  <c r="FW167" i="2"/>
  <c r="EU167" i="2"/>
  <c r="DW167" i="2"/>
  <c r="EC167" i="2" s="1"/>
  <c r="DY167" i="2"/>
  <c r="EB167" i="2" s="1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DG167" i="2" s="1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FR167" i="2" l="1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EV168" i="2" s="1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HI168" i="2" l="1"/>
  <c r="EW168" i="2"/>
  <c r="HH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EB169" i="2" s="1"/>
  <c r="GG169" i="2"/>
  <c r="ES169" i="2"/>
  <c r="DC169" i="2"/>
  <c r="CI169" i="2"/>
  <c r="ET169" i="2"/>
  <c r="DL169" i="2"/>
  <c r="DD169" i="2"/>
  <c r="CJ169" i="2"/>
  <c r="DW169" i="2"/>
  <c r="DX169" i="2"/>
  <c r="EA169" i="2" s="1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X169" i="2" l="1"/>
  <c r="FS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B171" i="2" l="1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EY171" i="2" s="1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G172" i="2" s="1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W172" i="2" l="1"/>
  <c r="EB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B173" i="2" l="1"/>
  <c r="HH173" i="2"/>
  <c r="EW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C174" i="2" s="1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HH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W175" i="2"/>
  <c r="EA175" i="2"/>
  <c r="FS175" i="2"/>
  <c r="HI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X176" i="2" l="1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S177" i="2" l="1"/>
  <c r="EW177" i="2"/>
  <c r="HH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B178" i="2" s="1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A178" i="2" l="1"/>
  <c r="FS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HG179" i="2" s="1"/>
  <c r="GJ179" i="2"/>
  <c r="HE179" i="2"/>
  <c r="HH179" i="2" s="1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I179" i="2" l="1"/>
  <c r="EV179" i="2"/>
  <c r="DF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I180" i="2" l="1"/>
  <c r="EX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W181" i="2" l="1"/>
  <c r="FS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FS182" i="2" l="1"/>
  <c r="EC182" i="2"/>
  <c r="EX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B183" i="2" l="1"/>
  <c r="EA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D184" i="2"/>
  <c r="EW185" i="2" l="1"/>
  <c r="HI185" i="2"/>
  <c r="EB185" i="2"/>
  <c r="EV185" i="2"/>
  <c r="HH185" i="2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EB186" i="2" l="1"/>
  <c r="FS186" i="2"/>
  <c r="EW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HG187" i="2" s="1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I187" i="2" l="1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EB189" i="2" s="1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HH189" i="2" l="1"/>
  <c r="AA189" i="2"/>
  <c r="EC189" i="2"/>
  <c r="FS189" i="2"/>
  <c r="HI189" i="2"/>
  <c r="EX189" i="2"/>
  <c r="EA189" i="2"/>
  <c r="GN189" i="2"/>
  <c r="HG189" i="2"/>
  <c r="HJ189" i="2" s="1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W190" i="2" l="1"/>
  <c r="HH190" i="2"/>
  <c r="EB190" i="2"/>
  <c r="EV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HH191" i="2" s="1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EC191" i="2" l="1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HH192" i="2" s="1"/>
  <c r="GK192" i="2"/>
  <c r="HF192" i="2"/>
  <c r="FW192" i="2"/>
  <c r="GR192" i="2"/>
  <c r="GS192" i="2"/>
  <c r="GG192" i="2"/>
  <c r="HB192" i="2"/>
  <c r="GH192" i="2"/>
  <c r="HC192" i="2"/>
  <c r="GI192" i="2"/>
  <c r="HD192" i="2"/>
  <c r="HG192" i="2" s="1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EA192" i="2" s="1"/>
  <c r="CR192" i="2"/>
  <c r="CJ192" i="2"/>
  <c r="BO192" i="2"/>
  <c r="ER192" i="2"/>
  <c r="DY192" i="2"/>
  <c r="EB192" i="2" s="1"/>
  <c r="ES192" i="2"/>
  <c r="EV192" i="2" s="1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HI192" i="2" l="1"/>
  <c r="EW192" i="2"/>
  <c r="EC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A193" i="2" s="1"/>
  <c r="EU193" i="2"/>
  <c r="DY193" i="2"/>
  <c r="EB193" i="2" s="1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HI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CN193" i="2" l="1"/>
  <c r="HG194" i="2"/>
  <c r="HI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HI195" i="2" l="1"/>
  <c r="EB195" i="2"/>
  <c r="AA195" i="2"/>
  <c r="EA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W196" i="2" l="1"/>
  <c r="HH196" i="2"/>
  <c r="HG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W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EV198" i="2" s="1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HI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HG199" i="2" s="1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EV199" i="2" s="1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EB199" i="2" l="1"/>
  <c r="FS199" i="2"/>
  <c r="EW199" i="2"/>
  <c r="EA199" i="2"/>
  <c r="HH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BX4" i="2" s="1" a="1"/>
  <c r="BX4" i="2" s="1"/>
  <c r="BY4" i="2" s="1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AA199" i="2"/>
  <c r="AX197" i="2"/>
  <c r="EX200" i="2" l="1"/>
  <c r="EW200" i="2"/>
  <c r="HI200" i="2"/>
  <c r="FS200" i="2"/>
  <c r="EC200" i="2"/>
  <c r="HH200" i="2"/>
  <c r="GN200" i="2"/>
  <c r="HG200" i="2"/>
  <c r="HJ200" i="2" s="1"/>
  <c r="DG200" i="2"/>
  <c r="DF200" i="2"/>
  <c r="DI200" i="2" s="1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EA201" i="2" s="1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ED200" i="2"/>
  <c r="HG201" i="2" l="1"/>
  <c r="FS201" i="2"/>
  <c r="HH201" i="2"/>
  <c r="EB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R202" i="2" l="1"/>
  <c r="HI202" i="2"/>
  <c r="FZ6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50" i="2" a="1"/>
  <c r="FY50" i="2" s="1"/>
  <c r="FY54" i="2" a="1"/>
  <c r="FY54" i="2" s="1"/>
  <c r="FY35" i="2" a="1"/>
  <c r="FY35" i="2" s="1"/>
  <c r="FY29" i="2" a="1"/>
  <c r="FY29" i="2" s="1"/>
  <c r="FY18" i="2" a="1"/>
  <c r="FY18" i="2" s="1"/>
  <c r="FY71" i="2" a="1"/>
  <c r="FY71" i="2" s="1"/>
  <c r="FY191" i="2" a="1"/>
  <c r="FY191" i="2" s="1"/>
  <c r="FY143" i="2" a="1"/>
  <c r="FY143" i="2" s="1"/>
  <c r="FY186" i="2" a="1"/>
  <c r="FY186" i="2" s="1"/>
  <c r="FY152" i="2" a="1"/>
  <c r="FY152" i="2" s="1"/>
  <c r="FY78" i="2" a="1"/>
  <c r="FY78" i="2" s="1"/>
  <c r="FY28" i="2" a="1"/>
  <c r="FY28" i="2" s="1"/>
  <c r="FY55" i="2" a="1"/>
  <c r="FY55" i="2" s="1"/>
  <c r="FY178" i="2" a="1"/>
  <c r="FY178" i="2" s="1"/>
  <c r="FY24" i="2" a="1"/>
  <c r="FY24" i="2" s="1"/>
  <c r="FY149" i="2" a="1"/>
  <c r="FY149" i="2" s="1"/>
  <c r="FY104" i="2" a="1"/>
  <c r="FY104" i="2" s="1"/>
  <c r="FY172" i="2" a="1"/>
  <c r="FY172" i="2" s="1"/>
  <c r="FD59" i="2" a="1"/>
  <c r="FD59" i="2" s="1"/>
  <c r="BC34" i="2" a="1"/>
  <c r="BC34" i="2" s="1"/>
  <c r="BC82" i="2" a="1"/>
  <c r="BC82" i="2" s="1"/>
  <c r="BC65" i="2" a="1"/>
  <c r="BC65" i="2" s="1"/>
  <c r="BC181" i="2" a="1"/>
  <c r="BC181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2" i="2" a="1"/>
  <c r="DN152" i="2" s="1"/>
  <c r="DN66" i="2" a="1"/>
  <c r="DN66" i="2" s="1"/>
  <c r="EI195" i="2" a="1"/>
  <c r="EI195" i="2" s="1"/>
  <c r="AH151" i="2" a="1"/>
  <c r="AH151" i="2" s="1"/>
  <c r="DN103" i="2" a="1"/>
  <c r="DN103" i="2" s="1"/>
  <c r="AH90" i="2" a="1"/>
  <c r="AH90" i="2" s="1"/>
  <c r="CS38" i="2" a="1"/>
  <c r="CS38" i="2" s="1"/>
  <c r="FY58" i="2" a="1"/>
  <c r="FY58" i="2" s="1"/>
  <c r="FY182" i="2" a="1"/>
  <c r="FY182" i="2" s="1"/>
  <c r="FY82" i="2" a="1"/>
  <c r="FY82" i="2" s="1"/>
  <c r="FY80" i="2" a="1"/>
  <c r="FY80" i="2" s="1"/>
  <c r="FY121" i="2" a="1"/>
  <c r="FY121" i="2" s="1"/>
  <c r="FD60" i="2" a="1"/>
  <c r="FD60" i="2" s="1"/>
  <c r="FD44" i="2" a="1"/>
  <c r="FD44" i="2" s="1"/>
  <c r="FD48" i="2" a="1"/>
  <c r="FD48" i="2" s="1"/>
  <c r="FD14" i="2" a="1"/>
  <c r="FD14" i="2" s="1"/>
  <c r="FD43" i="2" a="1"/>
  <c r="FD43" i="2" s="1"/>
  <c r="FD131" i="2" a="1"/>
  <c r="FD131" i="2" s="1"/>
  <c r="FD107" i="2" a="1"/>
  <c r="FD107" i="2" s="1"/>
  <c r="FD159" i="2" a="1"/>
  <c r="FD159" i="2" s="1"/>
  <c r="FD137" i="2" a="1"/>
  <c r="FD137" i="2" s="1"/>
  <c r="FD19" i="2" a="1"/>
  <c r="FD19" i="2" s="1"/>
  <c r="FD194" i="2" a="1"/>
  <c r="FD194" i="2" s="1"/>
  <c r="FD187" i="2" a="1"/>
  <c r="FD187" i="2" s="1"/>
  <c r="BC164" i="2" a="1"/>
  <c r="BC164" i="2" s="1"/>
  <c r="BC84" i="2" a="1"/>
  <c r="BC84" i="2" s="1"/>
  <c r="BC31" i="2" a="1"/>
  <c r="BC31" i="2" s="1"/>
  <c r="BC143" i="2" a="1"/>
  <c r="BC143" i="2" s="1"/>
  <c r="BC151" i="2" a="1"/>
  <c r="BC151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DN49" i="2" a="1"/>
  <c r="DN49" i="2" s="1"/>
  <c r="DN31" i="2" a="1"/>
  <c r="DN31" i="2" s="1"/>
  <c r="DN6" i="2" a="1"/>
  <c r="DN6" i="2" s="1"/>
  <c r="DO6" i="2" s="1"/>
  <c r="CS24" i="2" a="1"/>
  <c r="CS24" i="2" s="1"/>
  <c r="BX107" i="2" a="1"/>
  <c r="BX107" i="2" s="1"/>
  <c r="HJ202" i="2"/>
  <c r="EY202" i="2"/>
  <c r="AX200" i="2"/>
  <c r="BC47" i="2" l="1" a="1"/>
  <c r="BC47" i="2" s="1"/>
  <c r="BC83" i="2" a="1"/>
  <c r="BC83" i="2" s="1"/>
  <c r="AH19" i="2" a="1"/>
  <c r="AH19" i="2" s="1"/>
  <c r="BP203" i="2"/>
  <c r="DN132" i="2" a="1"/>
  <c r="DN132" i="2" s="1"/>
  <c r="DN167" i="2" a="1"/>
  <c r="DN167" i="2" s="1"/>
  <c r="DN188" i="2" a="1"/>
  <c r="DN188" i="2" s="1"/>
  <c r="DN29" i="2" a="1"/>
  <c r="DN29" i="2" s="1"/>
  <c r="DN30" i="2" a="1"/>
  <c r="DN30" i="2" s="1"/>
  <c r="DN16" i="2" a="1"/>
  <c r="DN16" i="2" s="1"/>
  <c r="BC7" i="2" a="1"/>
  <c r="BC7" i="2" s="1"/>
  <c r="BD7" i="2" s="1"/>
  <c r="FY115" i="2" a="1"/>
  <c r="FY115" i="2" s="1"/>
  <c r="CS77" i="2" a="1"/>
  <c r="CS77" i="2" s="1"/>
  <c r="DN86" i="2" a="1"/>
  <c r="DN86" i="2" s="1"/>
  <c r="DN41" i="2" a="1"/>
  <c r="DN41" i="2" s="1"/>
  <c r="BC114" i="2" a="1"/>
  <c r="BC114" i="2" s="1"/>
  <c r="FY34" i="2" a="1"/>
  <c r="FY34" i="2" s="1"/>
  <c r="FY126" i="2" a="1"/>
  <c r="FY126" i="2" s="1"/>
  <c r="FY173" i="2" a="1"/>
  <c r="FY173" i="2" s="1"/>
  <c r="FY133" i="2" a="1"/>
  <c r="FY133" i="2" s="1"/>
  <c r="FY109" i="2" a="1"/>
  <c r="FY109" i="2" s="1"/>
  <c r="DN46" i="2" a="1"/>
  <c r="DN46" i="2" s="1"/>
  <c r="DN162" i="2" a="1"/>
  <c r="DN162" i="2" s="1"/>
  <c r="BC185" i="2" a="1"/>
  <c r="BC185" i="2" s="1"/>
  <c r="FD160" i="2" a="1"/>
  <c r="FD160" i="2" s="1"/>
  <c r="FD188" i="2" a="1"/>
  <c r="FD188" i="2" s="1"/>
  <c r="FY86" i="2" a="1"/>
  <c r="FY86" i="2" s="1"/>
  <c r="DN114" i="2" a="1"/>
  <c r="DN114" i="2" s="1"/>
  <c r="DN177" i="2" a="1"/>
  <c r="DN177" i="2" s="1"/>
  <c r="DN43" i="2" a="1"/>
  <c r="DN43" i="2" s="1"/>
  <c r="BC126" i="2" a="1"/>
  <c r="BC126" i="2" s="1"/>
  <c r="FY164" i="2" a="1"/>
  <c r="FY164" i="2" s="1"/>
  <c r="FY188" i="2" a="1"/>
  <c r="FY188" i="2" s="1"/>
  <c r="FY159" i="2" a="1"/>
  <c r="FY159" i="2" s="1"/>
  <c r="FY140" i="2" a="1"/>
  <c r="FY140" i="2" s="1"/>
  <c r="FY79" i="2" a="1"/>
  <c r="FY79" i="2" s="1"/>
  <c r="DN153" i="2" a="1"/>
  <c r="DN153" i="2" s="1"/>
  <c r="DN187" i="2" a="1"/>
  <c r="DN187" i="2" s="1"/>
  <c r="DN190" i="2" a="1"/>
  <c r="DN190" i="2" s="1"/>
  <c r="DN135" i="2" a="1"/>
  <c r="DN135" i="2" s="1"/>
  <c r="FY167" i="2" a="1"/>
  <c r="FY167" i="2" s="1"/>
  <c r="CS105" i="2" a="1"/>
  <c r="CS105" i="2" s="1"/>
  <c r="CS137" i="2" a="1"/>
  <c r="CS137" i="2" s="1"/>
  <c r="DN170" i="2" a="1"/>
  <c r="DN170" i="2" s="1"/>
  <c r="CS129" i="2" a="1"/>
  <c r="CS129" i="2" s="1"/>
  <c r="BC68" i="2" a="1"/>
  <c r="BC68" i="2" s="1"/>
  <c r="FY124" i="2" a="1"/>
  <c r="FY124" i="2" s="1"/>
  <c r="FY174" i="2" a="1"/>
  <c r="FY174" i="2" s="1"/>
  <c r="FY110" i="2" a="1"/>
  <c r="FY110" i="2" s="1"/>
  <c r="FY165" i="2" a="1"/>
  <c r="FY165" i="2" s="1"/>
  <c r="HG203" i="2"/>
  <c r="FD82" i="2" a="1"/>
  <c r="FD82" i="2" s="1"/>
  <c r="DN133" i="2" a="1"/>
  <c r="DN133" i="2" s="1"/>
  <c r="DN38" i="2" a="1"/>
  <c r="DN38" i="2" s="1"/>
  <c r="BC32" i="2" a="1"/>
  <c r="BC32" i="2" s="1"/>
  <c r="FD167" i="2" a="1"/>
  <c r="FD167" i="2" s="1"/>
  <c r="FY142" i="2" a="1"/>
  <c r="FY142" i="2" s="1"/>
  <c r="CS161" i="2" a="1"/>
  <c r="CS161" i="2" s="1"/>
  <c r="DN123" i="2" a="1"/>
  <c r="DN123" i="2" s="1"/>
  <c r="DN129" i="2" a="1"/>
  <c r="DN129" i="2" s="1"/>
  <c r="CS52" i="2" a="1"/>
  <c r="CS52" i="2" s="1"/>
  <c r="BC58" i="2" a="1"/>
  <c r="BC58" i="2" s="1"/>
  <c r="FY169" i="2" a="1"/>
  <c r="FY169" i="2" s="1"/>
  <c r="FY99" i="2" a="1"/>
  <c r="FY99" i="2" s="1"/>
  <c r="FY153" i="2" a="1"/>
  <c r="FY153" i="2" s="1"/>
  <c r="FY146" i="2" a="1"/>
  <c r="FY146" i="2" s="1"/>
  <c r="DN115" i="2" a="1"/>
  <c r="DN115" i="2" s="1"/>
  <c r="DN176" i="2" a="1"/>
  <c r="DN176" i="2" s="1"/>
  <c r="CS114" i="2" a="1"/>
  <c r="CS114" i="2" s="1"/>
  <c r="DN124" i="2" a="1"/>
  <c r="DN124" i="2" s="1"/>
  <c r="FY62" i="2" a="1"/>
  <c r="FY62" i="2" s="1"/>
  <c r="FY116" i="2" a="1"/>
  <c r="FY116" i="2" s="1"/>
  <c r="FY32" i="2" a="1"/>
  <c r="FY32" i="2" s="1"/>
  <c r="FS203" i="2"/>
  <c r="DN70" i="2" a="1"/>
  <c r="DN70" i="2" s="1"/>
  <c r="CS56" i="2" a="1"/>
  <c r="CS56" i="2" s="1"/>
  <c r="BC192" i="2" a="1"/>
  <c r="BC192" i="2" s="1"/>
  <c r="AH62" i="2" a="1"/>
  <c r="AH62" i="2" s="1"/>
  <c r="DN113" i="2" a="1"/>
  <c r="DN113" i="2" s="1"/>
  <c r="FY92" i="2" a="1"/>
  <c r="FY92" i="2" s="1"/>
  <c r="DN45" i="2" a="1"/>
  <c r="DN45" i="2" s="1"/>
  <c r="DN55" i="2" a="1"/>
  <c r="DN55" i="2" s="1"/>
  <c r="DN80" i="2" a="1"/>
  <c r="DN80" i="2" s="1"/>
  <c r="BC18" i="2" a="1"/>
  <c r="BC18" i="2" s="1"/>
  <c r="BC55" i="2" a="1"/>
  <c r="BC55" i="2" s="1"/>
  <c r="FD64" i="2" a="1"/>
  <c r="FD64" i="2" s="1"/>
  <c r="FY42" i="2" a="1"/>
  <c r="FY42" i="2" s="1"/>
  <c r="AH199" i="2" a="1"/>
  <c r="AH199" i="2" s="1"/>
  <c r="DN150" i="2" a="1"/>
  <c r="DN150" i="2" s="1"/>
  <c r="DN25" i="2" a="1"/>
  <c r="DN25" i="2" s="1"/>
  <c r="DN155" i="2" a="1"/>
  <c r="DN155" i="2" s="1"/>
  <c r="DN56" i="2" a="1"/>
  <c r="DN56" i="2" s="1"/>
  <c r="FD144" i="2" a="1"/>
  <c r="FD144" i="2" s="1"/>
  <c r="FY72" i="2" a="1"/>
  <c r="FY72" i="2" s="1"/>
  <c r="FY111" i="2" a="1"/>
  <c r="FY111" i="2" s="1"/>
  <c r="FY66" i="2" a="1"/>
  <c r="FY66" i="2" s="1"/>
  <c r="FY90" i="2" a="1"/>
  <c r="FY90" i="2" s="1"/>
  <c r="DN186" i="2" a="1"/>
  <c r="DN186" i="2" s="1"/>
  <c r="DN164" i="2" a="1"/>
  <c r="DN164" i="2" s="1"/>
  <c r="DN137" i="2" a="1"/>
  <c r="DN137" i="2" s="1"/>
  <c r="DN65" i="2" a="1"/>
  <c r="DN65" i="2" s="1"/>
  <c r="CS120" i="2" a="1"/>
  <c r="CS120" i="2" s="1"/>
  <c r="AH163" i="2" a="1"/>
  <c r="AH163" i="2" s="1"/>
  <c r="DN50" i="2" a="1"/>
  <c r="DN50" i="2" s="1"/>
  <c r="FY102" i="2" a="1"/>
  <c r="FY102" i="2" s="1"/>
  <c r="CS72" i="2" a="1"/>
  <c r="CS72" i="2" s="1"/>
  <c r="DN63" i="2" a="1"/>
  <c r="DN63" i="2" s="1"/>
  <c r="FY30" i="2" a="1"/>
  <c r="FY30" i="2" s="1"/>
  <c r="CS116" i="2" a="1"/>
  <c r="CS116" i="2" s="1"/>
  <c r="CS66" i="2" a="1"/>
  <c r="CS66" i="2" s="1"/>
  <c r="FY190" i="2" a="1"/>
  <c r="FY190" i="2" s="1"/>
  <c r="FY69" i="2" a="1"/>
  <c r="FY69" i="2" s="1"/>
  <c r="FY22" i="2" a="1"/>
  <c r="FY22" i="2" s="1"/>
  <c r="CS134" i="2" a="1"/>
  <c r="CS134" i="2" s="1"/>
  <c r="DN110" i="2" a="1"/>
  <c r="DN110" i="2" s="1"/>
  <c r="CS185" i="2" a="1"/>
  <c r="CS185" i="2" s="1"/>
  <c r="BC38" i="2" a="1"/>
  <c r="BC38" i="2" s="1"/>
  <c r="BC130" i="2" a="1"/>
  <c r="BC130" i="2" s="1"/>
  <c r="FD189" i="2" a="1"/>
  <c r="FD189" i="2" s="1"/>
  <c r="FY196" i="2" a="1"/>
  <c r="FY196" i="2" s="1"/>
  <c r="AH166" i="2" a="1"/>
  <c r="AH166" i="2" s="1"/>
  <c r="DN192" i="2" a="1"/>
  <c r="DN192" i="2" s="1"/>
  <c r="DN184" i="2" a="1"/>
  <c r="DN184" i="2" s="1"/>
  <c r="BC117" i="2" a="1"/>
  <c r="BC117" i="2" s="1"/>
  <c r="FD21" i="2" a="1"/>
  <c r="FD21" i="2" s="1"/>
  <c r="AH92" i="2" a="1"/>
  <c r="AH92" i="2" s="1"/>
  <c r="FY73" i="2" a="1"/>
  <c r="FY73" i="2" s="1"/>
  <c r="FY120" i="2" a="1"/>
  <c r="FY120" i="2" s="1"/>
  <c r="FY57" i="2" a="1"/>
  <c r="FY57" i="2" s="1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Z8" i="2" s="1"/>
  <c r="FZ9" i="2" s="1"/>
  <c r="FZ10" i="2" s="1"/>
  <c r="FZ11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FT203" i="2" s="1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CN203" i="2" l="1"/>
  <c r="FZ12" i="2"/>
  <c r="FZ13" i="2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<sst xmlns="http://schemas.openxmlformats.org/spreadsheetml/2006/main" count="1177" uniqueCount="325">
  <si>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</si>
  <si>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</si>
  <si>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</si>
  <si>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</si>
  <si>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</si>
  <si>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</si>
  <si>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</si>
  <si>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</si>
  <si>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</si>
  <si>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</si>
  <si>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</si>
  <si>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</si>
  <si>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</si>
  <si>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</si>
  <si>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</si>
  <si>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</si>
  <si>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</si>
  <si>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</si>
  <si>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</si>
  <si>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</si>
  <si>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</si>
  <si>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</si>
  <si>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</si>
  <si>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</si>
  <si>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</si>
  <si>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</si>
  <si>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</si>
  <si>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</si>
  <si>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</si>
  <si>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</si>
  <si>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</si>
  <si>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</si>
  <si>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</si>
  <si>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</si>
  <si>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</si>
  <si>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</si>
  <si>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</si>
  <si>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</si>
  <si>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</si>
  <si>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</si>
  <si>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</si>
  <si>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</si>
  <si>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</si>
  <si>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</si>
  <si>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</si>
  <si>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</si>
  <si>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</si>
  <si>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</si>
  <si>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</si>
  <si>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</si>
  <si>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</si>
  <si>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</si>
  <si>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</si>
  <si>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</si>
  <si>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</si>
  <si>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</si>
  <si>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</si>
  <si>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</si>
  <si>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</si>
  <si>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</si>
  <si>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</si>
  <si>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</si>
  <si>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</si>
  <si>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</si>
  <si>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</si>
  <si>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</si>
  <si>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</si>
  <si>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</si>
  <si>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</si>
  <si>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</si>
  <si>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</si>
  <si>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</si>
  <si>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</si>
  <si>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</si>
  <si>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</si>
  <si>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</si>
  <si>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</si>
  <si>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</si>
  <si>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</si>
  <si>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</si>
  <si>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</si>
  <si>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</si>
  <si>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</si>
  <si>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</si>
  <si>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</si>
  <si>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</si>
  <si>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</si>
  <si>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</si>
  <si>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</si>
  <si>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</si>
  <si>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</si>
  <si>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</si>
  <si>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</si>
  <si>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</si>
  <si>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</si>
  <si>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</si>
  <si>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</si>
  <si>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</si>
  <si>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</si>
  <si>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</si>
  <si>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</si>
  <si>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</si>
  <si>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</si>
  <si>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</si>
  <si>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</si>
  <si>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</si>
  <si>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</si>
  <si>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</si>
  <si>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</si>
  <si>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</si>
  <si>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</si>
  <si>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</si>
  <si>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</si>
  <si>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</si>
  <si>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</si>
  <si>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</si>
  <si>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</si>
  <si>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</si>
  <si>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</si>
  <si>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</si>
  <si>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</si>
  <si>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</si>
  <si>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</si>
  <si>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</si>
  <si>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</si>
  <si>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</si>
  <si>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</si>
  <si>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</si>
  <si>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</si>
  <si>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</si>
  <si>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</si>
  <si>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</si>
  <si>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</si>
  <si>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</si>
  <si>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</si>
  <si>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</si>
  <si>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</si>
  <si>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</si>
  <si>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</si>
  <si>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</si>
  <si>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</si>
  <si>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</si>
  <si>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</si>
  <si>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</si>
  <si>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</si>
  <si>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</si>
  <si>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</si>
  <si>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</si>
  <si>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</si>
  <si>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</si>
  <si>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</si>
  <si>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</si>
  <si>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</si>
  <si>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</si>
  <si>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</si>
  <si>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</si>
  <si>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</si>
  <si>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</si>
  <si>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</si>
  <si>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</si>
  <si>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</si>
  <si>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</si>
  <si>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</si>
  <si>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</si>
  <si>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</si>
  <si>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</si>
  <si>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</si>
  <si>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</si>
  <si>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</si>
  <si>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</si>
  <si>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</si>
  <si>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</si>
  <si>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</si>
  <si>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</si>
  <si>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</si>
  <si>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</si>
  <si>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</si>
  <si>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</si>
  <si>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</si>
  <si>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</si>
  <si>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</si>
  <si>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</si>
  <si>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</si>
  <si>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</si>
  <si>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</si>
  <si>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</si>
  <si>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</si>
  <si>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</si>
  <si>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</si>
  <si>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</si>
  <si>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</si>
  <si>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</si>
  <si>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</si>
  <si>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</si>
  <si>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</si>
  <si>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</si>
  <si>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</si>
  <si>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</si>
  <si>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</si>
  <si>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</si>
  <si>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</si>
  <si>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</si>
  <si>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</si>
  <si>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</si>
  <si>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</si>
  <si>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</si>
  <si>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</si>
  <si>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</si>
  <si>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</si>
  <si>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</si>
  <si>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</si>
  <si>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</si>
  <si>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</si>
  <si>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</si>
  <si>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</si>
  <si>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</si>
  <si>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</si>
  <si>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</si>
  <si>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</si>
  <si>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</si>
  <si>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</si>
  <si>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</si>
  <si>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</si>
  <si>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</si>
  <si>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</si>
  <si>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</si>
  <si>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</si>
  <si>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</si>
  <si>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</si>
  <si>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</si>
  <si>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</si>
  <si>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</si>
  <si>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</si>
  <si>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</si>
  <si>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</si>
  <si>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</si>
  <si>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</si>
  <si>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</si>
  <si>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</si>
  <si>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</si>
  <si>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</si>
  <si>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</si>
  <si>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</si>
  <si>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</si>
  <si>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</si>
  <si>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</si>
  <si>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</si>
  <si>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</si>
  <si>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</si>
  <si>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</si>
  <si>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</si>
  <si>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</si>
  <si>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</si>
  <si>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</si>
  <si>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</si>
  <si>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</si>
  <si>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</si>
  <si>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</si>
  <si>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</si>
  <si>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</si>
  <si>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</si>
  <si>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</si>
  <si>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</si>
  <si>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</si>
  <si>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</si>
  <si>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</si>
  <si>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</si>
  <si>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</si>
  <si>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</si>
  <si>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</si>
  <si>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</si>
  <si>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</si>
  <si>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</si>
  <si>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</si>
  <si>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</si>
  <si>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</si>
  <si>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</si>
  <si>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</si>
  <si>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</si>
  <si>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</si>
  <si>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</si>
  <si>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</si>
  <si>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</si>
  <si>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</si>
  <si>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</si>
  <si>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</si>
  <si>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</si>
  <si>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</si>
  <si>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</si>
  <si>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</si>
  <si>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</si>
  <si>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</si>
  <si>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</si>
  <si>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</si>
  <si>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</si>
  <si>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</si>
  <si>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</si>
  <si>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</si>
  <si>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</si>
  <si>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</si>
  <si>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</si>
  <si>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</si>
  <si>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</si>
  <si>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</si>
  <si>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</si>
  <si>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</si>
  <si>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</si>
  <si>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</si>
  <si>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</si>
  <si>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</si>
  <si>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</si>
  <si>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</si>
  <si>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</si>
  <si>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</si>
  <si>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</si>
  <si>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</si>
  <si>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</si>
  <si>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</si>
  <si>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</si>
  <si>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</si>
  <si>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</si>
  <si>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</si>
  <si>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</si>
  <si>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</si>
  <si>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CR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</si>
</sst>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4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0.58953545646096461</c:v>
                </c:pt>
                <c:pt idx="2">
                  <c:v>0.26241922005711332</c:v>
                </c:pt>
                <c:pt idx="3">
                  <c:v>2.9714621485688064</c:v>
                </c:pt>
                <c:pt idx="4">
                  <c:v>8.2862705749171095</c:v>
                </c:pt>
                <c:pt idx="5">
                  <c:v>15.949283791614382</c:v>
                </c:pt>
                <c:pt idx="6">
                  <c:v>25.744686853540632</c:v>
                </c:pt>
                <c:pt idx="7">
                  <c:v>37.47372101639511</c:v>
                </c:pt>
                <c:pt idx="8">
                  <c:v>50.947030356481626</c:v>
                </c:pt>
                <c:pt idx="9">
                  <c:v>65.981227812736634</c:v>
                </c:pt>
                <c:pt idx="10">
                  <c:v>82.397049125160876</c:v>
                </c:pt>
                <c:pt idx="11">
                  <c:v>100.01824202511391</c:v>
                </c:pt>
                <c:pt idx="12">
                  <c:v>118.67084325389193</c:v>
                </c:pt>
                <c:pt idx="13">
                  <c:v>138.1826795798118</c:v>
                </c:pt>
                <c:pt idx="14">
                  <c:v>158.38300715079475</c:v>
                </c:pt>
                <c:pt idx="15">
                  <c:v>179.10224076684889</c:v>
                </c:pt>
                <c:pt idx="16">
                  <c:v>200.17174397831153</c:v>
                </c:pt>
                <c:pt idx="17">
                  <c:v>221.42366162690368</c:v>
                </c:pt>
                <c:pt idx="18">
                  <c:v>242.69078270909134</c:v>
                </c:pt>
                <c:pt idx="19">
                  <c:v>263.80642526364375</c:v>
                </c:pt>
                <c:pt idx="20">
                  <c:v>284.60433740007062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0.58953545646096461</c:v>
                </c:pt>
                <c:pt idx="2">
                  <c:v>0.26241922005711332</c:v>
                </c:pt>
                <c:pt idx="3">
                  <c:v>2.9714621485688064</c:v>
                </c:pt>
                <c:pt idx="4">
                  <c:v>8.2862705749171095</c:v>
                </c:pt>
                <c:pt idx="5">
                  <c:v>15.949283791614382</c:v>
                </c:pt>
                <c:pt idx="6">
                  <c:v>25.744686853540632</c:v>
                </c:pt>
                <c:pt idx="7">
                  <c:v>37.47372101639511</c:v>
                </c:pt>
                <c:pt idx="8">
                  <c:v>50.947030356481626</c:v>
                </c:pt>
                <c:pt idx="9">
                  <c:v>65.981227812736634</c:v>
                </c:pt>
                <c:pt idx="10">
                  <c:v>82.397049125160876</c:v>
                </c:pt>
                <c:pt idx="11">
                  <c:v>100.01824202511391</c:v>
                </c:pt>
                <c:pt idx="12">
                  <c:v>118.67084325389193</c:v>
                </c:pt>
                <c:pt idx="13">
                  <c:v>138.1826795798118</c:v>
                </c:pt>
                <c:pt idx="14">
                  <c:v>158.38300715079475</c:v>
                </c:pt>
                <c:pt idx="15">
                  <c:v>179.10224076684889</c:v>
                </c:pt>
                <c:pt idx="16">
                  <c:v>200.17174397831153</c:v>
                </c:pt>
                <c:pt idx="17">
                  <c:v>221.42366162690368</c:v>
                </c:pt>
                <c:pt idx="18">
                  <c:v>242.69078270909134</c:v>
                </c:pt>
                <c:pt idx="19">
                  <c:v>263.80642526364375</c:v>
                </c:pt>
                <c:pt idx="20">
                  <c:v>284.60433740007062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0.58953545646096461</c:v>
                </c:pt>
                <c:pt idx="2">
                  <c:v>0.26241922005711332</c:v>
                </c:pt>
                <c:pt idx="3">
                  <c:v>2.9714621485688064</c:v>
                </c:pt>
                <c:pt idx="4">
                  <c:v>8.2862705749171095</c:v>
                </c:pt>
                <c:pt idx="5">
                  <c:v>15.949283791614382</c:v>
                </c:pt>
                <c:pt idx="6">
                  <c:v>25.744686853540632</c:v>
                </c:pt>
                <c:pt idx="7">
                  <c:v>37.47372101639511</c:v>
                </c:pt>
                <c:pt idx="8">
                  <c:v>50.947030356481626</c:v>
                </c:pt>
                <c:pt idx="9">
                  <c:v>65.981227812736634</c:v>
                </c:pt>
                <c:pt idx="10">
                  <c:v>82.397049125160876</c:v>
                </c:pt>
                <c:pt idx="11">
                  <c:v>100.01824202511391</c:v>
                </c:pt>
                <c:pt idx="12">
                  <c:v>118.67084325389193</c:v>
                </c:pt>
                <c:pt idx="13">
                  <c:v>138.1826795798118</c:v>
                </c:pt>
                <c:pt idx="14">
                  <c:v>158.38300715079475</c:v>
                </c:pt>
                <c:pt idx="15">
                  <c:v>179.10224076684889</c:v>
                </c:pt>
                <c:pt idx="16">
                  <c:v>200.17174397831153</c:v>
                </c:pt>
                <c:pt idx="17">
                  <c:v>221.42366162690368</c:v>
                </c:pt>
                <c:pt idx="18">
                  <c:v>242.69078270909134</c:v>
                </c:pt>
                <c:pt idx="19">
                  <c:v>263.80642526364375</c:v>
                </c:pt>
                <c:pt idx="20">
                  <c:v>284.60433740007062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0.58953545646096461</c:v>
                </c:pt>
                <c:pt idx="2">
                  <c:v>0.26241922005711332</c:v>
                </c:pt>
                <c:pt idx="3">
                  <c:v>2.9714621485688064</c:v>
                </c:pt>
                <c:pt idx="4">
                  <c:v>8.2862705749171095</c:v>
                </c:pt>
                <c:pt idx="5">
                  <c:v>15.949283791614382</c:v>
                </c:pt>
                <c:pt idx="6">
                  <c:v>25.744686853540632</c:v>
                </c:pt>
                <c:pt idx="7">
                  <c:v>37.47372101639511</c:v>
                </c:pt>
                <c:pt idx="8">
                  <c:v>50.947030356481626</c:v>
                </c:pt>
                <c:pt idx="9">
                  <c:v>65.981227812736634</c:v>
                </c:pt>
                <c:pt idx="10">
                  <c:v>82.397049125160876</c:v>
                </c:pt>
                <c:pt idx="11">
                  <c:v>100.01824202511391</c:v>
                </c:pt>
                <c:pt idx="12">
                  <c:v>118.67084325389193</c:v>
                </c:pt>
                <c:pt idx="13">
                  <c:v>138.1826795798118</c:v>
                </c:pt>
                <c:pt idx="14">
                  <c:v>158.38300715079475</c:v>
                </c:pt>
                <c:pt idx="15">
                  <c:v>179.10224076684889</c:v>
                </c:pt>
                <c:pt idx="16">
                  <c:v>200.17174397831153</c:v>
                </c:pt>
                <c:pt idx="17">
                  <c:v>221.42366162690368</c:v>
                </c:pt>
                <c:pt idx="18">
                  <c:v>242.69078270909134</c:v>
                </c:pt>
                <c:pt idx="19">
                  <c:v>263.80642526364375</c:v>
                </c:pt>
                <c:pt idx="20">
                  <c:v>284.60433740007062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4.5" x14ac:dyDescent="0.35"/>
  <cols>
    <col min="1" max="1" width="6.7265625" customWidth="1"/>
    <col min="2" max="13" width="15.81640625" customWidth="1"/>
  </cols>
  <sheetData>
    <row r="12" spans="2:13" ht="15" customHeight="1" x14ac:dyDescent="0.35">
      <c r="B12" s="257" t="s">
        <v>291</v>
      </c>
      <c r="C12" s="257"/>
      <c r="D12" s="257"/>
      <c r="E12" s="257"/>
      <c r="F12" s="257"/>
      <c r="G12" s="257"/>
      <c r="H12" s="257"/>
      <c r="I12" s="257"/>
      <c r="J12" s="257"/>
      <c r="K12" s="257"/>
      <c r="L12" s="257"/>
      <c r="M12" s="257"/>
    </row>
    <row r="13" spans="2:13" ht="15" customHeight="1" x14ac:dyDescent="0.35">
      <c r="B13" s="257"/>
      <c r="C13" s="257"/>
      <c r="D13" s="257"/>
      <c r="E13" s="257"/>
      <c r="F13" s="257"/>
      <c r="G13" s="257"/>
      <c r="H13" s="257"/>
      <c r="I13" s="257"/>
      <c r="J13" s="257"/>
      <c r="K13" s="257"/>
      <c r="L13" s="257"/>
      <c r="M13" s="257"/>
    </row>
    <row r="14" spans="2:13" ht="15" customHeight="1" x14ac:dyDescent="0.35">
      <c r="B14" s="257"/>
      <c r="C14" s="257"/>
      <c r="D14" s="257"/>
      <c r="E14" s="257"/>
      <c r="F14" s="257"/>
      <c r="G14" s="257"/>
      <c r="H14" s="257"/>
      <c r="I14" s="257"/>
      <c r="J14" s="257"/>
      <c r="K14" s="257"/>
      <c r="L14" s="257"/>
      <c r="M14" s="257"/>
    </row>
    <row r="15" spans="2:13" ht="18.75" customHeight="1" x14ac:dyDescent="0.35">
      <c r="B15" s="257"/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7"/>
    </row>
    <row r="16" spans="2:13" ht="18.75" customHeight="1" x14ac:dyDescent="0.35">
      <c r="B16" s="257"/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</row>
    <row r="18" spans="2:13" ht="12" customHeight="1" x14ac:dyDescent="0.35">
      <c r="B18" s="257" t="s">
        <v>292</v>
      </c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</row>
    <row r="19" spans="2:13" ht="12" customHeight="1" x14ac:dyDescent="0.35">
      <c r="B19" s="257"/>
      <c r="C19" s="257"/>
      <c r="D19" s="257"/>
      <c r="E19" s="257"/>
      <c r="F19" s="257"/>
      <c r="G19" s="257"/>
      <c r="H19" s="257"/>
      <c r="I19" s="257"/>
      <c r="J19" s="257"/>
      <c r="K19" s="257"/>
      <c r="L19" s="257"/>
      <c r="M19" s="257"/>
    </row>
    <row r="20" spans="2:13" ht="12" customHeight="1" x14ac:dyDescent="0.35">
      <c r="B20" s="257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</row>
    <row r="21" spans="2:13" ht="12" customHeight="1" x14ac:dyDescent="0.35">
      <c r="B21" s="257"/>
      <c r="C21" s="257"/>
      <c r="D21" s="257"/>
      <c r="E21" s="257"/>
      <c r="F21" s="257"/>
      <c r="G21" s="257"/>
      <c r="H21" s="257"/>
      <c r="I21" s="257"/>
      <c r="J21" s="257"/>
      <c r="K21" s="257"/>
      <c r="L21" s="257"/>
      <c r="M21" s="257"/>
    </row>
    <row r="22" spans="2:13" ht="12" customHeight="1" x14ac:dyDescent="0.35">
      <c r="B22" s="257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</row>
    <row r="23" spans="2:13" ht="12" customHeight="1" x14ac:dyDescent="0.35">
      <c r="B23" s="257"/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</row>
    <row r="24" spans="2:13" ht="12" customHeight="1" x14ac:dyDescent="0.35"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</row>
    <row r="25" spans="2:13" ht="12" customHeight="1" x14ac:dyDescent="0.35"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</row>
    <row r="26" spans="2:13" ht="12" customHeight="1" x14ac:dyDescent="0.35"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</row>
    <row r="27" spans="2:13" ht="12" customHeight="1" x14ac:dyDescent="0.35"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</row>
    <row r="28" spans="2:13" ht="12" customHeight="1" x14ac:dyDescent="0.35"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</row>
    <row r="29" spans="2:13" ht="12" customHeight="1" x14ac:dyDescent="0.35"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</row>
    <row r="30" spans="2:13" ht="12" customHeight="1" x14ac:dyDescent="0.35">
      <c r="B30" s="257"/>
      <c r="C30" s="257"/>
      <c r="D30" s="257"/>
      <c r="E30" s="257"/>
      <c r="F30" s="257"/>
      <c r="G30" s="257"/>
      <c r="H30" s="257"/>
      <c r="I30" s="257"/>
      <c r="J30" s="257"/>
      <c r="K30" s="257"/>
      <c r="L30" s="257"/>
      <c r="M30" s="257"/>
    </row>
    <row r="31" spans="2:13" ht="12" customHeight="1" x14ac:dyDescent="0.35">
      <c r="B31" s="257"/>
      <c r="C31" s="257"/>
      <c r="D31" s="257"/>
      <c r="E31" s="257"/>
      <c r="F31" s="257"/>
      <c r="G31" s="257"/>
      <c r="H31" s="257"/>
      <c r="I31" s="257"/>
      <c r="J31" s="257"/>
      <c r="K31" s="257"/>
      <c r="L31" s="257"/>
      <c r="M31" s="257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108" zoomScale="80" zoomScaleNormal="80" workbookViewId="0">
      <selection activeCell="A114" sqref="A114:H132"/>
    </sheetView>
  </sheetViews>
  <sheetFormatPr baseColWidth="10" defaultColWidth="11.453125" defaultRowHeight="14.5" x14ac:dyDescent="0.35"/>
  <cols>
    <col min="1" max="1" width="13.7265625" style="23" customWidth="1"/>
    <col min="2" max="2" width="36.1796875" style="23" customWidth="1"/>
    <col min="3" max="3" width="14.81640625" style="23" bestFit="1" customWidth="1"/>
    <col min="4" max="4" width="16.453125" style="23" customWidth="1"/>
    <col min="5" max="5" width="23.26953125" style="23" customWidth="1"/>
    <col min="6" max="6" width="28.81640625" style="23" bestFit="1" customWidth="1"/>
    <col min="7" max="8" width="14.7265625" style="23" customWidth="1"/>
    <col min="9" max="9" width="17" style="23" customWidth="1"/>
    <col min="10" max="10" width="13.81640625" style="23" customWidth="1"/>
    <col min="11" max="16384" width="11.453125" style="23"/>
  </cols>
  <sheetData>
    <row r="1" spans="1:38" x14ac:dyDescent="0.35">
      <c r="A1" s="4"/>
      <c r="B1" s="4"/>
      <c r="C1" s="258" t="s">
        <v>190</v>
      </c>
      <c r="D1" s="258"/>
      <c r="E1" s="258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4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5" thickBot="1" x14ac:dyDescent="0.4">
      <c r="A3" s="4"/>
      <c r="B3" s="263" t="s">
        <v>192</v>
      </c>
      <c r="C3" s="264"/>
      <c r="D3" s="264"/>
      <c r="E3" s="264"/>
      <c r="F3" s="265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" x14ac:dyDescent="0.35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" x14ac:dyDescent="0.35">
      <c r="A5" s="268" t="s">
        <v>231</v>
      </c>
      <c r="B5" s="268"/>
      <c r="C5" s="24">
        <v>8.4499999999999993</v>
      </c>
      <c r="D5" s="269" t="s">
        <v>229</v>
      </c>
      <c r="E5" s="270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5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" x14ac:dyDescent="0.35">
      <c r="A7" s="267" t="s">
        <v>226</v>
      </c>
      <c r="B7" s="267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5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5">
      <c r="A9" s="30" t="s">
        <v>165</v>
      </c>
      <c r="B9" s="31" t="s">
        <v>112</v>
      </c>
      <c r="C9" s="32">
        <v>0.25</v>
      </c>
      <c r="D9" s="33">
        <f t="shared" ref="D9:D18" si="0">C9*$C$5</f>
        <v>2.1124999999999998</v>
      </c>
      <c r="E9" s="34">
        <v>20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5">
      <c r="A10" s="30" t="s">
        <v>166</v>
      </c>
      <c r="B10" s="31" t="s">
        <v>112</v>
      </c>
      <c r="C10" s="32">
        <v>0.25</v>
      </c>
      <c r="D10" s="33">
        <f t="shared" si="0"/>
        <v>2.1124999999999998</v>
      </c>
      <c r="E10" s="34">
        <v>20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5">
      <c r="A11" s="30" t="s">
        <v>167</v>
      </c>
      <c r="B11" s="31" t="s">
        <v>112</v>
      </c>
      <c r="C11" s="32">
        <v>0.25</v>
      </c>
      <c r="D11" s="33">
        <f t="shared" si="0"/>
        <v>2.1124999999999998</v>
      </c>
      <c r="E11" s="34">
        <v>20</v>
      </c>
      <c r="F11" s="35" t="str">
        <f t="array" ref="F11">IF(E11="","",IF(INDEX(A:A,MAX(IF(ISNUMBER($A$88:$A$107),ROW($A$88:$A$107),"")))&lt;&gt;E11,"Corrigez : révolution incorrecte","OK"))</f>
        <v>OK</v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5">
      <c r="A12" s="30" t="s">
        <v>168</v>
      </c>
      <c r="B12" s="31" t="s">
        <v>112</v>
      </c>
      <c r="C12" s="32">
        <v>0.25</v>
      </c>
      <c r="D12" s="33">
        <f t="shared" si="0"/>
        <v>2.1124999999999998</v>
      </c>
      <c r="E12" s="34">
        <v>20</v>
      </c>
      <c r="F12" s="35" t="str">
        <f t="array" ref="F12">IF(E12="","",IF(INDEX(A:A,MAX(IF(ISNUMBER($A$114:$A$133),ROW($A$114:$A$133),"")))&lt;&gt;E12,"Corrigez : révolution incorrecte","OK"))</f>
        <v>OK</v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5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5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5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5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5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5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5">
      <c r="A19" s="78"/>
      <c r="B19" s="36" t="s">
        <v>175</v>
      </c>
      <c r="C19" s="37">
        <f>SUM(C9:C18)</f>
        <v>1</v>
      </c>
      <c r="D19" s="38">
        <f>SUM(D9:D18)</f>
        <v>8.4499999999999993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5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5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5">
      <c r="A22" s="266" t="s">
        <v>232</v>
      </c>
      <c r="B22" s="266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5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5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5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5">
      <c r="A26" s="41" t="s">
        <v>222</v>
      </c>
      <c r="B26" s="42" t="s">
        <v>221</v>
      </c>
      <c r="C26" s="43">
        <v>0.15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5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5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5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5">
      <c r="A30" s="267" t="s">
        <v>227</v>
      </c>
      <c r="B30" s="267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5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5">
      <c r="A32" s="46" t="s">
        <v>165</v>
      </c>
      <c r="B32" s="47" t="str">
        <f>IF(B9="","",B9)</f>
        <v>Peuplier Koster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5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5">
      <c r="A34" s="4"/>
      <c r="B34" s="85" t="s">
        <v>185</v>
      </c>
      <c r="C34" s="259" t="s">
        <v>186</v>
      </c>
      <c r="D34" s="259"/>
      <c r="E34" s="260" t="s">
        <v>187</v>
      </c>
      <c r="F34" s="261"/>
      <c r="G34" s="261"/>
      <c r="H34" s="262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5" x14ac:dyDescent="0.35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5">
      <c r="A36" s="50">
        <v>2</v>
      </c>
      <c r="B36" s="60">
        <v>0.184358974358974</v>
      </c>
      <c r="C36" s="60">
        <v>0</v>
      </c>
      <c r="D36" s="60">
        <v>0</v>
      </c>
      <c r="E36" s="51">
        <v>0</v>
      </c>
      <c r="F36" s="51">
        <v>0</v>
      </c>
      <c r="G36" s="51">
        <v>0</v>
      </c>
      <c r="H36" s="51">
        <v>0</v>
      </c>
      <c r="I36" s="49">
        <f>IFERROR(B36/A36,"")</f>
        <v>9.2179487179486999E-2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5">
      <c r="A37" s="50">
        <v>3</v>
      </c>
      <c r="B37" s="60">
        <v>2.31</v>
      </c>
      <c r="C37" s="60">
        <v>0</v>
      </c>
      <c r="D37" s="60">
        <v>0</v>
      </c>
      <c r="E37" s="51">
        <v>0</v>
      </c>
      <c r="F37" s="51">
        <v>0</v>
      </c>
      <c r="G37" s="51">
        <v>0</v>
      </c>
      <c r="H37" s="51">
        <v>0</v>
      </c>
      <c r="I37" s="53">
        <f t="shared" ref="I37:I55" si="1">IF(A37&lt;&gt;0,(B37-(B36-D36))/(A37-A36),"")</f>
        <v>2.1256410256410261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5">
      <c r="A38" s="50">
        <v>4</v>
      </c>
      <c r="B38" s="60">
        <v>6.6838461538461518</v>
      </c>
      <c r="C38" s="60">
        <v>0</v>
      </c>
      <c r="D38" s="60">
        <v>0</v>
      </c>
      <c r="E38" s="51">
        <v>0</v>
      </c>
      <c r="F38" s="51">
        <v>0</v>
      </c>
      <c r="G38" s="51">
        <v>0</v>
      </c>
      <c r="H38" s="51">
        <v>0</v>
      </c>
      <c r="I38" s="53">
        <f t="shared" si="1"/>
        <v>4.3738461538461522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5">
      <c r="A39" s="50">
        <v>5</v>
      </c>
      <c r="B39" s="60">
        <v>13.14935897435897</v>
      </c>
      <c r="C39" s="60">
        <v>0</v>
      </c>
      <c r="D39" s="60">
        <v>0</v>
      </c>
      <c r="E39" s="51">
        <v>0</v>
      </c>
      <c r="F39" s="51">
        <v>0</v>
      </c>
      <c r="G39" s="51">
        <v>0</v>
      </c>
      <c r="H39" s="51">
        <v>0</v>
      </c>
      <c r="I39" s="49">
        <f t="shared" si="1"/>
        <v>6.4655128205128181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5">
      <c r="A40" s="50">
        <v>6</v>
      </c>
      <c r="B40" s="60">
        <v>21.55</v>
      </c>
      <c r="C40" s="60">
        <v>0</v>
      </c>
      <c r="D40" s="60">
        <v>0</v>
      </c>
      <c r="E40" s="51">
        <v>0</v>
      </c>
      <c r="F40" s="51">
        <v>0</v>
      </c>
      <c r="G40" s="51">
        <v>0</v>
      </c>
      <c r="H40" s="51">
        <v>0</v>
      </c>
      <c r="I40" s="49">
        <f t="shared" si="1"/>
        <v>8.4006410256410309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5">
      <c r="A41" s="50">
        <v>7</v>
      </c>
      <c r="B41" s="60">
        <v>31.72923076923076</v>
      </c>
      <c r="C41" s="60">
        <v>0</v>
      </c>
      <c r="D41" s="60">
        <v>0</v>
      </c>
      <c r="E41" s="51">
        <v>0</v>
      </c>
      <c r="F41" s="51">
        <v>0</v>
      </c>
      <c r="G41" s="51">
        <v>0</v>
      </c>
      <c r="H41" s="51">
        <v>0</v>
      </c>
      <c r="I41" s="53">
        <f t="shared" si="1"/>
        <v>10.17923076923076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5">
      <c r="A42" s="50">
        <v>8</v>
      </c>
      <c r="B42" s="60">
        <v>43.530512820512811</v>
      </c>
      <c r="C42" s="60">
        <v>0</v>
      </c>
      <c r="D42" s="60">
        <v>0</v>
      </c>
      <c r="E42" s="51">
        <v>0</v>
      </c>
      <c r="F42" s="51">
        <v>0</v>
      </c>
      <c r="G42" s="51">
        <v>0</v>
      </c>
      <c r="H42" s="51">
        <v>0</v>
      </c>
      <c r="I42" s="53">
        <f t="shared" si="1"/>
        <v>11.801282051282051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5">
      <c r="A43" s="50">
        <v>9</v>
      </c>
      <c r="B43" s="60">
        <v>56.797307692307683</v>
      </c>
      <c r="C43" s="60">
        <v>0</v>
      </c>
      <c r="D43" s="60">
        <v>0</v>
      </c>
      <c r="E43" s="51">
        <v>0</v>
      </c>
      <c r="F43" s="51">
        <v>0</v>
      </c>
      <c r="G43" s="51">
        <v>0</v>
      </c>
      <c r="H43" s="51">
        <v>0</v>
      </c>
      <c r="I43" s="49">
        <f t="shared" si="1"/>
        <v>13.266794871794872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5">
      <c r="A44" s="50">
        <v>10</v>
      </c>
      <c r="B44" s="60">
        <v>71.373076923076894</v>
      </c>
      <c r="C44" s="60">
        <v>0</v>
      </c>
      <c r="D44" s="60">
        <v>0</v>
      </c>
      <c r="E44" s="51">
        <v>0</v>
      </c>
      <c r="F44" s="51">
        <v>0</v>
      </c>
      <c r="G44" s="51">
        <v>0</v>
      </c>
      <c r="H44" s="51">
        <v>0</v>
      </c>
      <c r="I44" s="49">
        <f t="shared" si="1"/>
        <v>14.575769230769211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5">
      <c r="A45" s="50">
        <v>11</v>
      </c>
      <c r="B45" s="60">
        <v>87.101282051282055</v>
      </c>
      <c r="C45" s="60">
        <v>0</v>
      </c>
      <c r="D45" s="60">
        <v>0</v>
      </c>
      <c r="E45" s="51">
        <v>0</v>
      </c>
      <c r="F45" s="51">
        <v>0</v>
      </c>
      <c r="G45" s="51">
        <v>0</v>
      </c>
      <c r="H45" s="51">
        <v>0</v>
      </c>
      <c r="I45" s="49">
        <f t="shared" si="1"/>
        <v>15.728205128205161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5">
      <c r="A46" s="50">
        <v>12</v>
      </c>
      <c r="B46" s="60">
        <v>103.82538461538461</v>
      </c>
      <c r="C46" s="60">
        <v>0</v>
      </c>
      <c r="D46" s="60">
        <v>0</v>
      </c>
      <c r="E46" s="51">
        <v>0</v>
      </c>
      <c r="F46" s="51">
        <v>0</v>
      </c>
      <c r="G46" s="51">
        <v>0</v>
      </c>
      <c r="H46" s="51">
        <v>0</v>
      </c>
      <c r="I46" s="49">
        <f t="shared" si="1"/>
        <v>16.724102564102552</v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5">
      <c r="A47" s="50">
        <v>13</v>
      </c>
      <c r="B47" s="60">
        <v>121.3888461538461</v>
      </c>
      <c r="C47" s="60">
        <v>0</v>
      </c>
      <c r="D47" s="60">
        <v>0</v>
      </c>
      <c r="E47" s="51">
        <v>0</v>
      </c>
      <c r="F47" s="51">
        <v>0</v>
      </c>
      <c r="G47" s="51">
        <v>0</v>
      </c>
      <c r="H47" s="51">
        <v>0</v>
      </c>
      <c r="I47" s="49">
        <f t="shared" si="1"/>
        <v>17.563461538461496</v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5">
      <c r="A48" s="50">
        <v>14</v>
      </c>
      <c r="B48" s="60">
        <v>139.6351282051281</v>
      </c>
      <c r="C48" s="60">
        <v>0</v>
      </c>
      <c r="D48" s="60">
        <v>0</v>
      </c>
      <c r="E48" s="51">
        <v>0</v>
      </c>
      <c r="F48" s="51">
        <v>0</v>
      </c>
      <c r="G48" s="51">
        <v>0</v>
      </c>
      <c r="H48" s="51">
        <v>0</v>
      </c>
      <c r="I48" s="49">
        <f t="shared" si="1"/>
        <v>18.246282051281995</v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5">
      <c r="A49" s="50">
        <v>15</v>
      </c>
      <c r="B49" s="60">
        <v>158.40769230769229</v>
      </c>
      <c r="C49" s="60">
        <v>0</v>
      </c>
      <c r="D49" s="60">
        <v>0</v>
      </c>
      <c r="E49" s="51">
        <v>0</v>
      </c>
      <c r="F49" s="51">
        <v>0</v>
      </c>
      <c r="G49" s="51">
        <v>0</v>
      </c>
      <c r="H49" s="51">
        <v>0</v>
      </c>
      <c r="I49" s="49">
        <f t="shared" si="1"/>
        <v>18.772564102564189</v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5">
      <c r="A50" s="50">
        <v>16</v>
      </c>
      <c r="B50" s="50">
        <v>177.55</v>
      </c>
      <c r="C50" s="50">
        <v>0</v>
      </c>
      <c r="D50" s="50">
        <v>0</v>
      </c>
      <c r="E50" s="51">
        <v>0</v>
      </c>
      <c r="F50" s="51">
        <v>0</v>
      </c>
      <c r="G50" s="51">
        <v>0</v>
      </c>
      <c r="H50" s="51">
        <v>0</v>
      </c>
      <c r="I50" s="49">
        <f t="shared" si="1"/>
        <v>19.142307692307725</v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5">
      <c r="A51" s="50">
        <v>17</v>
      </c>
      <c r="B51" s="50">
        <v>196.90551282051271</v>
      </c>
      <c r="C51" s="50">
        <v>0</v>
      </c>
      <c r="D51" s="50">
        <v>0</v>
      </c>
      <c r="E51" s="51">
        <v>0</v>
      </c>
      <c r="F51" s="51">
        <v>0</v>
      </c>
      <c r="G51" s="51">
        <v>0</v>
      </c>
      <c r="H51" s="51">
        <v>0</v>
      </c>
      <c r="I51" s="49">
        <f t="shared" si="1"/>
        <v>19.355512820512701</v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5">
      <c r="A52" s="50">
        <v>18</v>
      </c>
      <c r="B52" s="50">
        <v>216.31769230769231</v>
      </c>
      <c r="C52" s="50">
        <v>0</v>
      </c>
      <c r="D52" s="50">
        <v>0</v>
      </c>
      <c r="E52" s="51">
        <v>0</v>
      </c>
      <c r="F52" s="51">
        <v>0</v>
      </c>
      <c r="G52" s="51">
        <v>0</v>
      </c>
      <c r="H52" s="51">
        <v>0</v>
      </c>
      <c r="I52" s="49">
        <f t="shared" si="1"/>
        <v>19.4121794871796</v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5">
      <c r="A53" s="50">
        <v>19</v>
      </c>
      <c r="B53" s="50">
        <v>235.63</v>
      </c>
      <c r="C53" s="50">
        <v>0</v>
      </c>
      <c r="D53" s="50">
        <v>0</v>
      </c>
      <c r="E53" s="51">
        <v>0</v>
      </c>
      <c r="F53" s="51">
        <v>0</v>
      </c>
      <c r="G53" s="51">
        <v>0</v>
      </c>
      <c r="H53" s="51">
        <v>0</v>
      </c>
      <c r="I53" s="49">
        <f t="shared" si="1"/>
        <v>19.312307692307684</v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5">
      <c r="A54" s="50">
        <v>20</v>
      </c>
      <c r="B54" s="50">
        <v>254.68589743589729</v>
      </c>
      <c r="C54" s="50" t="s">
        <v>324</v>
      </c>
      <c r="D54" s="50">
        <v>254.68589743589729</v>
      </c>
      <c r="E54" s="51">
        <v>0.7</v>
      </c>
      <c r="F54" s="51">
        <v>0.15</v>
      </c>
      <c r="G54" s="51">
        <v>0.15</v>
      </c>
      <c r="H54" s="51">
        <v>0</v>
      </c>
      <c r="I54" s="49">
        <f t="shared" si="1"/>
        <v>19.055897435897293</v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5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5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5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5">
      <c r="A58" s="46" t="s">
        <v>166</v>
      </c>
      <c r="B58" s="52" t="str">
        <f>IF(B10="","",B10)</f>
        <v>Peuplier Koster</v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5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5">
      <c r="A60" s="4"/>
      <c r="B60" s="85" t="s">
        <v>185</v>
      </c>
      <c r="C60" s="259" t="s">
        <v>186</v>
      </c>
      <c r="D60" s="259"/>
      <c r="E60" s="260" t="s">
        <v>187</v>
      </c>
      <c r="F60" s="261"/>
      <c r="G60" s="261"/>
      <c r="H60" s="262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5" x14ac:dyDescent="0.35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5">
      <c r="A62" s="50">
        <v>2</v>
      </c>
      <c r="B62" s="60">
        <v>0.184358974358974</v>
      </c>
      <c r="C62" s="60">
        <v>0</v>
      </c>
      <c r="D62" s="60">
        <v>0</v>
      </c>
      <c r="E62" s="51">
        <v>0</v>
      </c>
      <c r="F62" s="51">
        <v>0</v>
      </c>
      <c r="G62" s="51">
        <v>0</v>
      </c>
      <c r="H62" s="51">
        <v>0</v>
      </c>
      <c r="I62" s="53">
        <f>IFERROR(B62/A62,"")</f>
        <v>9.2179487179486999E-2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5">
      <c r="A63" s="50">
        <v>3</v>
      </c>
      <c r="B63" s="60">
        <v>2.31</v>
      </c>
      <c r="C63" s="60">
        <v>0</v>
      </c>
      <c r="D63" s="60">
        <v>0</v>
      </c>
      <c r="E63" s="51">
        <v>0</v>
      </c>
      <c r="F63" s="51">
        <v>0</v>
      </c>
      <c r="G63" s="51">
        <v>0</v>
      </c>
      <c r="H63" s="51">
        <v>0</v>
      </c>
      <c r="I63" s="49">
        <f>IF(A63&lt;&gt;0,(B63-(B62-D62))/(A63-A62),"")</f>
        <v>2.1256410256410261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5">
      <c r="A64" s="50">
        <v>4</v>
      </c>
      <c r="B64" s="60">
        <v>6.6838461538461518</v>
      </c>
      <c r="C64" s="60">
        <v>0</v>
      </c>
      <c r="D64" s="60">
        <v>0</v>
      </c>
      <c r="E64" s="51">
        <v>0</v>
      </c>
      <c r="F64" s="51">
        <v>0</v>
      </c>
      <c r="G64" s="51">
        <v>0</v>
      </c>
      <c r="H64" s="51">
        <v>0</v>
      </c>
      <c r="I64" s="49">
        <f>IF(A64&lt;&gt;0,(B64-(B63-D63))/(A64-A63),"")</f>
        <v>4.3738461538461522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5">
      <c r="A65" s="50">
        <v>5</v>
      </c>
      <c r="B65" s="60">
        <v>13.14935897435897</v>
      </c>
      <c r="C65" s="60">
        <v>0</v>
      </c>
      <c r="D65" s="60">
        <v>0</v>
      </c>
      <c r="E65" s="51">
        <v>0</v>
      </c>
      <c r="F65" s="51">
        <v>0</v>
      </c>
      <c r="G65" s="51">
        <v>0</v>
      </c>
      <c r="H65" s="51">
        <v>0</v>
      </c>
      <c r="I65" s="49">
        <f>IF(A65&lt;&gt;0,(B65-(B64-D64))/(A65-A64),"")</f>
        <v>6.4655128205128181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5">
      <c r="A66" s="50">
        <v>6</v>
      </c>
      <c r="B66" s="60">
        <v>21.55</v>
      </c>
      <c r="C66" s="60">
        <v>0</v>
      </c>
      <c r="D66" s="60">
        <v>0</v>
      </c>
      <c r="E66" s="51">
        <v>0</v>
      </c>
      <c r="F66" s="51">
        <v>0</v>
      </c>
      <c r="G66" s="51">
        <v>0</v>
      </c>
      <c r="H66" s="51">
        <v>0</v>
      </c>
      <c r="I66" s="49">
        <f t="shared" ref="I66:I81" si="2">IF(A66&lt;&gt;0,(B66-(B65-D65))/(A66-A65),"")</f>
        <v>8.4006410256410309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5">
      <c r="A67" s="50">
        <v>7</v>
      </c>
      <c r="B67" s="60">
        <v>31.72923076923076</v>
      </c>
      <c r="C67" s="60">
        <v>0</v>
      </c>
      <c r="D67" s="60">
        <v>0</v>
      </c>
      <c r="E67" s="51">
        <v>0</v>
      </c>
      <c r="F67" s="51">
        <v>0</v>
      </c>
      <c r="G67" s="51">
        <v>0</v>
      </c>
      <c r="H67" s="51">
        <v>0</v>
      </c>
      <c r="I67" s="49">
        <f t="shared" si="2"/>
        <v>10.17923076923076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5">
      <c r="A68" s="50">
        <v>8</v>
      </c>
      <c r="B68" s="60">
        <v>43.530512820512811</v>
      </c>
      <c r="C68" s="60">
        <v>0</v>
      </c>
      <c r="D68" s="60">
        <v>0</v>
      </c>
      <c r="E68" s="51">
        <v>0</v>
      </c>
      <c r="F68" s="51">
        <v>0</v>
      </c>
      <c r="G68" s="51">
        <v>0</v>
      </c>
      <c r="H68" s="51">
        <v>0</v>
      </c>
      <c r="I68" s="49">
        <f t="shared" si="2"/>
        <v>11.801282051282051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5">
      <c r="A69" s="50">
        <v>9</v>
      </c>
      <c r="B69" s="50">
        <v>56.797307692307683</v>
      </c>
      <c r="C69" s="50">
        <v>0</v>
      </c>
      <c r="D69" s="50">
        <v>0</v>
      </c>
      <c r="E69" s="51">
        <v>0</v>
      </c>
      <c r="F69" s="51">
        <v>0</v>
      </c>
      <c r="G69" s="51">
        <v>0</v>
      </c>
      <c r="H69" s="51">
        <v>0</v>
      </c>
      <c r="I69" s="49">
        <f t="shared" si="2"/>
        <v>13.266794871794872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5">
      <c r="A70" s="50">
        <v>10</v>
      </c>
      <c r="B70" s="50">
        <v>71.373076923076894</v>
      </c>
      <c r="C70" s="50">
        <v>0</v>
      </c>
      <c r="D70" s="50">
        <v>0</v>
      </c>
      <c r="E70" s="51">
        <v>0</v>
      </c>
      <c r="F70" s="51">
        <v>0</v>
      </c>
      <c r="G70" s="51">
        <v>0</v>
      </c>
      <c r="H70" s="51">
        <v>0</v>
      </c>
      <c r="I70" s="49">
        <f t="shared" si="2"/>
        <v>14.575769230769211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5">
      <c r="A71" s="50">
        <v>11</v>
      </c>
      <c r="B71" s="50">
        <v>87.101282051282055</v>
      </c>
      <c r="C71" s="50">
        <v>0</v>
      </c>
      <c r="D71" s="50">
        <v>0</v>
      </c>
      <c r="E71" s="51">
        <v>0</v>
      </c>
      <c r="F71" s="51">
        <v>0</v>
      </c>
      <c r="G71" s="51">
        <v>0</v>
      </c>
      <c r="H71" s="51">
        <v>0</v>
      </c>
      <c r="I71" s="49">
        <f t="shared" si="2"/>
        <v>15.728205128205161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5">
      <c r="A72" s="50">
        <v>12</v>
      </c>
      <c r="B72" s="50">
        <v>103.82538461538461</v>
      </c>
      <c r="C72" s="50">
        <v>0</v>
      </c>
      <c r="D72" s="50">
        <v>0</v>
      </c>
      <c r="E72" s="51">
        <v>0</v>
      </c>
      <c r="F72" s="51">
        <v>0</v>
      </c>
      <c r="G72" s="51">
        <v>0</v>
      </c>
      <c r="H72" s="51">
        <v>0</v>
      </c>
      <c r="I72" s="49">
        <f t="shared" si="2"/>
        <v>16.724102564102552</v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5">
      <c r="A73" s="50">
        <v>13</v>
      </c>
      <c r="B73" s="50">
        <v>121.3888461538461</v>
      </c>
      <c r="C73" s="50">
        <v>0</v>
      </c>
      <c r="D73" s="50">
        <v>0</v>
      </c>
      <c r="E73" s="51">
        <v>0</v>
      </c>
      <c r="F73" s="51">
        <v>0</v>
      </c>
      <c r="G73" s="51">
        <v>0</v>
      </c>
      <c r="H73" s="51">
        <v>0</v>
      </c>
      <c r="I73" s="49">
        <f t="shared" si="2"/>
        <v>17.563461538461496</v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5">
      <c r="A74" s="50">
        <v>14</v>
      </c>
      <c r="B74" s="50">
        <v>139.6351282051281</v>
      </c>
      <c r="C74" s="50">
        <v>0</v>
      </c>
      <c r="D74" s="50">
        <v>0</v>
      </c>
      <c r="E74" s="51">
        <v>0</v>
      </c>
      <c r="F74" s="51">
        <v>0</v>
      </c>
      <c r="G74" s="51">
        <v>0</v>
      </c>
      <c r="H74" s="51">
        <v>0</v>
      </c>
      <c r="I74" s="49">
        <f t="shared" si="2"/>
        <v>18.246282051281995</v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5">
      <c r="A75" s="50">
        <v>15</v>
      </c>
      <c r="B75" s="50">
        <v>158.40769230769229</v>
      </c>
      <c r="C75" s="50">
        <v>0</v>
      </c>
      <c r="D75" s="50">
        <v>0</v>
      </c>
      <c r="E75" s="51">
        <v>0</v>
      </c>
      <c r="F75" s="51">
        <v>0</v>
      </c>
      <c r="G75" s="51">
        <v>0</v>
      </c>
      <c r="H75" s="51">
        <v>0</v>
      </c>
      <c r="I75" s="49">
        <f t="shared" si="2"/>
        <v>18.772564102564189</v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5">
      <c r="A76" s="50">
        <v>16</v>
      </c>
      <c r="B76" s="50">
        <v>177.55</v>
      </c>
      <c r="C76" s="50">
        <v>0</v>
      </c>
      <c r="D76" s="50">
        <v>0</v>
      </c>
      <c r="E76" s="51">
        <v>0</v>
      </c>
      <c r="F76" s="51">
        <v>0</v>
      </c>
      <c r="G76" s="51">
        <v>0</v>
      </c>
      <c r="H76" s="51">
        <v>0</v>
      </c>
      <c r="I76" s="49">
        <f t="shared" si="2"/>
        <v>19.142307692307725</v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5">
      <c r="A77" s="50">
        <v>17</v>
      </c>
      <c r="B77" s="50">
        <v>196.90551282051271</v>
      </c>
      <c r="C77" s="50">
        <v>0</v>
      </c>
      <c r="D77" s="50">
        <v>0</v>
      </c>
      <c r="E77" s="51">
        <v>0</v>
      </c>
      <c r="F77" s="51">
        <v>0</v>
      </c>
      <c r="G77" s="51">
        <v>0</v>
      </c>
      <c r="H77" s="51">
        <v>0</v>
      </c>
      <c r="I77" s="49">
        <f t="shared" si="2"/>
        <v>19.355512820512701</v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5">
      <c r="A78" s="50">
        <v>18</v>
      </c>
      <c r="B78" s="50">
        <v>216.31769230769231</v>
      </c>
      <c r="C78" s="50">
        <v>0</v>
      </c>
      <c r="D78" s="50">
        <v>0</v>
      </c>
      <c r="E78" s="51">
        <v>0</v>
      </c>
      <c r="F78" s="51">
        <v>0</v>
      </c>
      <c r="G78" s="51">
        <v>0</v>
      </c>
      <c r="H78" s="51">
        <v>0</v>
      </c>
      <c r="I78" s="49">
        <f t="shared" si="2"/>
        <v>19.4121794871796</v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5">
      <c r="A79" s="50">
        <v>19</v>
      </c>
      <c r="B79" s="50">
        <v>235.63</v>
      </c>
      <c r="C79" s="50">
        <v>0</v>
      </c>
      <c r="D79" s="50">
        <v>0</v>
      </c>
      <c r="E79" s="51">
        <v>0</v>
      </c>
      <c r="F79" s="51">
        <v>0</v>
      </c>
      <c r="G79" s="51">
        <v>0</v>
      </c>
      <c r="H79" s="51">
        <v>0</v>
      </c>
      <c r="I79" s="49">
        <f t="shared" si="2"/>
        <v>19.312307692307684</v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5">
      <c r="A80" s="50">
        <v>20</v>
      </c>
      <c r="B80" s="50">
        <v>254.68589743589729</v>
      </c>
      <c r="C80" s="50" t="s">
        <v>324</v>
      </c>
      <c r="D80" s="50">
        <v>254.68589743589729</v>
      </c>
      <c r="E80" s="51">
        <v>0.7</v>
      </c>
      <c r="F80" s="51">
        <v>0.15</v>
      </c>
      <c r="G80" s="51">
        <v>0.15</v>
      </c>
      <c r="H80" s="51">
        <v>0</v>
      </c>
      <c r="I80" s="49">
        <f t="shared" si="2"/>
        <v>19.055897435897293</v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5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5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5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5">
      <c r="A84" s="46" t="s">
        <v>167</v>
      </c>
      <c r="B84" s="52" t="str">
        <f>IF(B11="","",B11)</f>
        <v>Peuplier Koster</v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5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5">
      <c r="A86" s="4"/>
      <c r="B86" s="85" t="s">
        <v>185</v>
      </c>
      <c r="C86" s="259" t="s">
        <v>186</v>
      </c>
      <c r="D86" s="259"/>
      <c r="E86" s="260" t="s">
        <v>187</v>
      </c>
      <c r="F86" s="261"/>
      <c r="G86" s="261"/>
      <c r="H86" s="262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5" x14ac:dyDescent="0.35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5">
      <c r="A88" s="50">
        <v>2</v>
      </c>
      <c r="B88" s="60">
        <v>0.184358974358974</v>
      </c>
      <c r="C88" s="60">
        <v>0</v>
      </c>
      <c r="D88" s="60">
        <v>0</v>
      </c>
      <c r="E88" s="51">
        <v>0</v>
      </c>
      <c r="F88" s="51">
        <v>0</v>
      </c>
      <c r="G88" s="51">
        <v>0</v>
      </c>
      <c r="H88" s="87">
        <v>0</v>
      </c>
      <c r="I88" s="53">
        <f>IFERROR(B88/A88,"")</f>
        <v>9.2179487179486999E-2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5">
      <c r="A89" s="50">
        <v>3</v>
      </c>
      <c r="B89" s="60">
        <v>2.31</v>
      </c>
      <c r="C89" s="60">
        <v>0</v>
      </c>
      <c r="D89" s="60">
        <v>0</v>
      </c>
      <c r="E89" s="51">
        <v>0</v>
      </c>
      <c r="F89" s="51">
        <v>0</v>
      </c>
      <c r="G89" s="51">
        <v>0</v>
      </c>
      <c r="H89" s="87">
        <v>0</v>
      </c>
      <c r="I89" s="53">
        <f t="shared" ref="I89:I107" si="3">IF(A89&lt;&gt;0,(B89-(B88-D88))/(A89-A88),"")</f>
        <v>2.1256410256410261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5">
      <c r="A90" s="50">
        <v>4</v>
      </c>
      <c r="B90" s="60">
        <v>6.6838461538461518</v>
      </c>
      <c r="C90" s="60">
        <v>0</v>
      </c>
      <c r="D90" s="60">
        <v>0</v>
      </c>
      <c r="E90" s="87">
        <v>0</v>
      </c>
      <c r="F90" s="87">
        <v>0</v>
      </c>
      <c r="G90" s="87">
        <v>0</v>
      </c>
      <c r="H90" s="87">
        <v>0</v>
      </c>
      <c r="I90" s="53">
        <f t="shared" si="3"/>
        <v>4.3738461538461522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5">
      <c r="A91" s="50">
        <v>5</v>
      </c>
      <c r="B91" s="60">
        <v>13.14935897435897</v>
      </c>
      <c r="C91" s="60">
        <v>0</v>
      </c>
      <c r="D91" s="60">
        <v>0</v>
      </c>
      <c r="E91" s="87">
        <v>0</v>
      </c>
      <c r="F91" s="87">
        <v>0</v>
      </c>
      <c r="G91" s="87">
        <v>0</v>
      </c>
      <c r="H91" s="87">
        <v>0</v>
      </c>
      <c r="I91" s="53">
        <f t="shared" si="3"/>
        <v>6.4655128205128181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5">
      <c r="A92" s="50">
        <v>6</v>
      </c>
      <c r="B92" s="60">
        <v>21.55</v>
      </c>
      <c r="C92" s="60">
        <v>0</v>
      </c>
      <c r="D92" s="60">
        <v>0</v>
      </c>
      <c r="E92" s="87">
        <v>0</v>
      </c>
      <c r="F92" s="87">
        <v>0</v>
      </c>
      <c r="G92" s="87">
        <v>0</v>
      </c>
      <c r="H92" s="87">
        <v>0</v>
      </c>
      <c r="I92" s="53">
        <f t="shared" si="3"/>
        <v>8.4006410256410309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5">
      <c r="A93" s="50">
        <v>7</v>
      </c>
      <c r="B93" s="60">
        <v>31.72923076923076</v>
      </c>
      <c r="C93" s="60">
        <v>0</v>
      </c>
      <c r="D93" s="60">
        <v>0</v>
      </c>
      <c r="E93" s="87">
        <v>0</v>
      </c>
      <c r="F93" s="87">
        <v>0</v>
      </c>
      <c r="G93" s="87">
        <v>0</v>
      </c>
      <c r="H93" s="87">
        <v>0</v>
      </c>
      <c r="I93" s="53">
        <f t="shared" si="3"/>
        <v>10.17923076923076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5">
      <c r="A94" s="50">
        <v>8</v>
      </c>
      <c r="B94" s="60">
        <v>43.530512820512811</v>
      </c>
      <c r="C94" s="60">
        <v>0</v>
      </c>
      <c r="D94" s="60">
        <v>0</v>
      </c>
      <c r="E94" s="87">
        <v>0</v>
      </c>
      <c r="F94" s="87">
        <v>0</v>
      </c>
      <c r="G94" s="87">
        <v>0</v>
      </c>
      <c r="H94" s="87">
        <v>0</v>
      </c>
      <c r="I94" s="53">
        <f t="shared" si="3"/>
        <v>11.801282051282051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5">
      <c r="A95" s="60">
        <v>9</v>
      </c>
      <c r="B95" s="60">
        <v>56.797307692307683</v>
      </c>
      <c r="C95" s="60">
        <v>0</v>
      </c>
      <c r="D95" s="60">
        <v>0</v>
      </c>
      <c r="E95" s="87">
        <v>0</v>
      </c>
      <c r="F95" s="87">
        <v>0</v>
      </c>
      <c r="G95" s="87">
        <v>0</v>
      </c>
      <c r="H95" s="87">
        <v>0</v>
      </c>
      <c r="I95" s="53">
        <f t="shared" si="3"/>
        <v>13.266794871794872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5">
      <c r="A96" s="60">
        <v>10</v>
      </c>
      <c r="B96" s="60">
        <v>71.373076923076894</v>
      </c>
      <c r="C96" s="60">
        <v>0</v>
      </c>
      <c r="D96" s="60">
        <v>0</v>
      </c>
      <c r="E96" s="87">
        <v>0</v>
      </c>
      <c r="F96" s="87">
        <v>0</v>
      </c>
      <c r="G96" s="87">
        <v>0</v>
      </c>
      <c r="H96" s="87">
        <v>0</v>
      </c>
      <c r="I96" s="53">
        <f t="shared" si="3"/>
        <v>14.575769230769211</v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5">
      <c r="A97" s="60">
        <v>11</v>
      </c>
      <c r="B97" s="60">
        <v>87.101282051282055</v>
      </c>
      <c r="C97" s="60">
        <v>0</v>
      </c>
      <c r="D97" s="60">
        <v>0</v>
      </c>
      <c r="E97" s="87">
        <v>0</v>
      </c>
      <c r="F97" s="87">
        <v>0</v>
      </c>
      <c r="G97" s="87">
        <v>0</v>
      </c>
      <c r="H97" s="87">
        <v>0</v>
      </c>
      <c r="I97" s="53">
        <f t="shared" si="3"/>
        <v>15.728205128205161</v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5">
      <c r="A98" s="60">
        <v>12</v>
      </c>
      <c r="B98" s="60">
        <v>103.82538461538461</v>
      </c>
      <c r="C98" s="60">
        <v>0</v>
      </c>
      <c r="D98" s="60">
        <v>0</v>
      </c>
      <c r="E98" s="87">
        <v>0</v>
      </c>
      <c r="F98" s="87">
        <v>0</v>
      </c>
      <c r="G98" s="87">
        <v>0</v>
      </c>
      <c r="H98" s="87">
        <v>0</v>
      </c>
      <c r="I98" s="53">
        <f t="shared" si="3"/>
        <v>16.724102564102552</v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5">
      <c r="A99" s="60">
        <v>13</v>
      </c>
      <c r="B99" s="60">
        <v>121.3888461538461</v>
      </c>
      <c r="C99" s="60">
        <v>0</v>
      </c>
      <c r="D99" s="60">
        <v>0</v>
      </c>
      <c r="E99" s="87">
        <v>0</v>
      </c>
      <c r="F99" s="87">
        <v>0</v>
      </c>
      <c r="G99" s="87">
        <v>0</v>
      </c>
      <c r="H99" s="87">
        <v>0</v>
      </c>
      <c r="I99" s="53">
        <f t="shared" si="3"/>
        <v>17.563461538461496</v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5">
      <c r="A100" s="60">
        <v>14</v>
      </c>
      <c r="B100" s="60">
        <v>139.6351282051281</v>
      </c>
      <c r="C100" s="60">
        <v>0</v>
      </c>
      <c r="D100" s="60">
        <v>0</v>
      </c>
      <c r="E100" s="65">
        <v>0</v>
      </c>
      <c r="F100" s="65">
        <v>0</v>
      </c>
      <c r="G100" s="65">
        <v>0</v>
      </c>
      <c r="H100" s="65">
        <v>0</v>
      </c>
      <c r="I100" s="53">
        <f t="shared" si="3"/>
        <v>18.246282051281995</v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5">
      <c r="A101" s="60">
        <v>15</v>
      </c>
      <c r="B101" s="60">
        <v>158.40769230769229</v>
      </c>
      <c r="C101" s="60">
        <v>0</v>
      </c>
      <c r="D101" s="60">
        <v>0</v>
      </c>
      <c r="E101" s="65">
        <v>0</v>
      </c>
      <c r="F101" s="65">
        <v>0</v>
      </c>
      <c r="G101" s="65">
        <v>0</v>
      </c>
      <c r="H101" s="65">
        <v>0</v>
      </c>
      <c r="I101" s="53">
        <f t="shared" si="3"/>
        <v>18.772564102564189</v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5">
      <c r="A102" s="60">
        <v>16</v>
      </c>
      <c r="B102" s="50">
        <v>177.55</v>
      </c>
      <c r="C102" s="60">
        <v>0</v>
      </c>
      <c r="D102" s="50">
        <v>0</v>
      </c>
      <c r="E102" s="54">
        <v>0</v>
      </c>
      <c r="F102" s="54">
        <v>0</v>
      </c>
      <c r="G102" s="54">
        <v>0</v>
      </c>
      <c r="H102" s="54">
        <v>0</v>
      </c>
      <c r="I102" s="53">
        <f t="shared" si="3"/>
        <v>19.142307692307725</v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5">
      <c r="A103" s="60">
        <v>17</v>
      </c>
      <c r="B103" s="50">
        <v>196.90551282051271</v>
      </c>
      <c r="C103" s="60">
        <v>0</v>
      </c>
      <c r="D103" s="50">
        <v>0</v>
      </c>
      <c r="E103" s="54">
        <v>0</v>
      </c>
      <c r="F103" s="54">
        <v>0</v>
      </c>
      <c r="G103" s="54">
        <v>0</v>
      </c>
      <c r="H103" s="54">
        <v>0</v>
      </c>
      <c r="I103" s="53">
        <f t="shared" si="3"/>
        <v>19.355512820512701</v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5">
      <c r="A104" s="60">
        <v>18</v>
      </c>
      <c r="B104" s="50">
        <v>216.31769230769231</v>
      </c>
      <c r="C104" s="60">
        <v>0</v>
      </c>
      <c r="D104" s="50">
        <v>0</v>
      </c>
      <c r="E104" s="54">
        <v>0</v>
      </c>
      <c r="F104" s="54">
        <v>0</v>
      </c>
      <c r="G104" s="54">
        <v>0</v>
      </c>
      <c r="H104" s="54">
        <v>0</v>
      </c>
      <c r="I104" s="53">
        <f t="shared" si="3"/>
        <v>19.4121794871796</v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5">
      <c r="A105" s="50">
        <v>19</v>
      </c>
      <c r="B105" s="50">
        <v>235.63</v>
      </c>
      <c r="C105" s="50">
        <v>0</v>
      </c>
      <c r="D105" s="50">
        <v>0</v>
      </c>
      <c r="E105" s="54">
        <v>0</v>
      </c>
      <c r="F105" s="54">
        <v>0</v>
      </c>
      <c r="G105" s="54">
        <v>0</v>
      </c>
      <c r="H105" s="54">
        <v>0</v>
      </c>
      <c r="I105" s="53">
        <f t="shared" si="3"/>
        <v>19.312307692307684</v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5">
      <c r="A106" s="50">
        <v>20</v>
      </c>
      <c r="B106" s="50">
        <v>254.68589743589729</v>
      </c>
      <c r="C106" s="50" t="s">
        <v>324</v>
      </c>
      <c r="D106" s="50">
        <v>254.68589743589729</v>
      </c>
      <c r="E106" s="54">
        <v>0.7</v>
      </c>
      <c r="F106" s="54">
        <v>0.15</v>
      </c>
      <c r="G106" s="54">
        <v>0.15</v>
      </c>
      <c r="H106" s="54">
        <v>0</v>
      </c>
      <c r="I106" s="53">
        <f t="shared" si="3"/>
        <v>19.055897435897293</v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5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5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5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5">
      <c r="A110" s="46" t="s">
        <v>168</v>
      </c>
      <c r="B110" s="52" t="str">
        <f>IF(B12="","",B12)</f>
        <v>Peuplier Koster</v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5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5">
      <c r="A112" s="4"/>
      <c r="B112" s="85" t="s">
        <v>185</v>
      </c>
      <c r="C112" s="259" t="s">
        <v>186</v>
      </c>
      <c r="D112" s="259"/>
      <c r="E112" s="260" t="s">
        <v>187</v>
      </c>
      <c r="F112" s="261"/>
      <c r="G112" s="261"/>
      <c r="H112" s="262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5" x14ac:dyDescent="0.35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5">
      <c r="A114" s="50">
        <v>2</v>
      </c>
      <c r="B114" s="60">
        <v>0.184358974358974</v>
      </c>
      <c r="C114" s="50">
        <v>0</v>
      </c>
      <c r="D114" s="60">
        <v>0</v>
      </c>
      <c r="E114" s="51">
        <v>0</v>
      </c>
      <c r="F114" s="51">
        <v>0</v>
      </c>
      <c r="G114" s="51">
        <v>0</v>
      </c>
      <c r="H114" s="51">
        <v>0</v>
      </c>
      <c r="I114" s="53">
        <f>IFERROR(B114/A114,"")</f>
        <v>9.2179487179486999E-2</v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5">
      <c r="A115" s="50">
        <v>3</v>
      </c>
      <c r="B115" s="60">
        <v>2.31</v>
      </c>
      <c r="C115" s="50">
        <v>0</v>
      </c>
      <c r="D115" s="60">
        <v>0</v>
      </c>
      <c r="E115" s="51">
        <v>0</v>
      </c>
      <c r="F115" s="51">
        <v>0</v>
      </c>
      <c r="G115" s="51">
        <v>0</v>
      </c>
      <c r="H115" s="51">
        <v>0</v>
      </c>
      <c r="I115" s="53">
        <f t="shared" ref="I115:I133" si="4">IF(A115&lt;&gt;0,(B115-(B114-D114))/(A115-A114),"")</f>
        <v>2.1256410256410261</v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5">
      <c r="A116" s="50">
        <v>4</v>
      </c>
      <c r="B116" s="60">
        <v>6.6838461538461518</v>
      </c>
      <c r="C116" s="50">
        <v>0</v>
      </c>
      <c r="D116" s="60">
        <v>0</v>
      </c>
      <c r="E116" s="51">
        <v>0</v>
      </c>
      <c r="F116" s="51">
        <v>0</v>
      </c>
      <c r="G116" s="51">
        <v>0</v>
      </c>
      <c r="H116" s="51">
        <v>0</v>
      </c>
      <c r="I116" s="53">
        <f t="shared" si="4"/>
        <v>4.3738461538461522</v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5">
      <c r="A117" s="50">
        <v>5</v>
      </c>
      <c r="B117" s="60">
        <v>13.14935897435897</v>
      </c>
      <c r="C117" s="50">
        <v>0</v>
      </c>
      <c r="D117" s="60">
        <v>0</v>
      </c>
      <c r="E117" s="51">
        <v>0</v>
      </c>
      <c r="F117" s="51">
        <v>0</v>
      </c>
      <c r="G117" s="51">
        <v>0</v>
      </c>
      <c r="H117" s="51">
        <v>0</v>
      </c>
      <c r="I117" s="53">
        <f t="shared" si="4"/>
        <v>6.4655128205128181</v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5">
      <c r="A118" s="50">
        <v>6</v>
      </c>
      <c r="B118" s="60">
        <v>21.55</v>
      </c>
      <c r="C118" s="50">
        <v>0</v>
      </c>
      <c r="D118" s="60">
        <v>0</v>
      </c>
      <c r="E118" s="51">
        <v>0</v>
      </c>
      <c r="F118" s="51">
        <v>0</v>
      </c>
      <c r="G118" s="51">
        <v>0</v>
      </c>
      <c r="H118" s="51">
        <v>0</v>
      </c>
      <c r="I118" s="53">
        <f t="shared" si="4"/>
        <v>8.4006410256410309</v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5">
      <c r="A119" s="50">
        <v>7</v>
      </c>
      <c r="B119" s="60">
        <v>31.72923076923076</v>
      </c>
      <c r="C119" s="50">
        <v>0</v>
      </c>
      <c r="D119" s="60">
        <v>0</v>
      </c>
      <c r="E119" s="51">
        <v>0</v>
      </c>
      <c r="F119" s="51">
        <v>0</v>
      </c>
      <c r="G119" s="51">
        <v>0</v>
      </c>
      <c r="H119" s="51">
        <v>0</v>
      </c>
      <c r="I119" s="53">
        <f t="shared" si="4"/>
        <v>10.17923076923076</v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5">
      <c r="A120" s="60">
        <v>8</v>
      </c>
      <c r="B120" s="60">
        <v>43.530512820512811</v>
      </c>
      <c r="C120" s="60">
        <v>0</v>
      </c>
      <c r="D120" s="60">
        <v>0</v>
      </c>
      <c r="E120" s="87">
        <v>0</v>
      </c>
      <c r="F120" s="87">
        <v>0</v>
      </c>
      <c r="G120" s="87">
        <v>0</v>
      </c>
      <c r="H120" s="87">
        <v>0</v>
      </c>
      <c r="I120" s="53">
        <f t="shared" si="4"/>
        <v>11.801282051282051</v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5">
      <c r="A121" s="60">
        <v>9</v>
      </c>
      <c r="B121" s="60">
        <v>56.797307692307683</v>
      </c>
      <c r="C121" s="60">
        <v>0</v>
      </c>
      <c r="D121" s="60">
        <v>0</v>
      </c>
      <c r="E121" s="87">
        <v>0</v>
      </c>
      <c r="F121" s="87">
        <v>0</v>
      </c>
      <c r="G121" s="87">
        <v>0</v>
      </c>
      <c r="H121" s="87">
        <v>0</v>
      </c>
      <c r="I121" s="53">
        <f t="shared" si="4"/>
        <v>13.266794871794872</v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5">
      <c r="A122" s="60">
        <v>10</v>
      </c>
      <c r="B122" s="60">
        <v>71.373076923076894</v>
      </c>
      <c r="C122" s="60">
        <v>0</v>
      </c>
      <c r="D122" s="60">
        <v>0</v>
      </c>
      <c r="E122" s="87">
        <v>0</v>
      </c>
      <c r="F122" s="87">
        <v>0</v>
      </c>
      <c r="G122" s="87">
        <v>0</v>
      </c>
      <c r="H122" s="87">
        <v>0</v>
      </c>
      <c r="I122" s="53">
        <f t="shared" si="4"/>
        <v>14.575769230769211</v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5">
      <c r="A123" s="60">
        <v>11</v>
      </c>
      <c r="B123" s="60">
        <v>87.101282051282055</v>
      </c>
      <c r="C123" s="60">
        <v>0</v>
      </c>
      <c r="D123" s="60">
        <v>0</v>
      </c>
      <c r="E123" s="87">
        <v>0</v>
      </c>
      <c r="F123" s="87">
        <v>0</v>
      </c>
      <c r="G123" s="87">
        <v>0</v>
      </c>
      <c r="H123" s="87">
        <v>0</v>
      </c>
      <c r="I123" s="53">
        <f t="shared" si="4"/>
        <v>15.728205128205161</v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5">
      <c r="A124" s="60">
        <v>12</v>
      </c>
      <c r="B124" s="60">
        <v>103.82538461538461</v>
      </c>
      <c r="C124" s="60">
        <v>0</v>
      </c>
      <c r="D124" s="60">
        <v>0</v>
      </c>
      <c r="E124" s="87">
        <v>0</v>
      </c>
      <c r="F124" s="87">
        <v>0</v>
      </c>
      <c r="G124" s="87">
        <v>0</v>
      </c>
      <c r="H124" s="87">
        <v>0</v>
      </c>
      <c r="I124" s="53">
        <f t="shared" si="4"/>
        <v>16.724102564102552</v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5">
      <c r="A125" s="60">
        <v>13</v>
      </c>
      <c r="B125" s="60">
        <v>121.3888461538461</v>
      </c>
      <c r="C125" s="60">
        <v>0</v>
      </c>
      <c r="D125" s="60">
        <v>0</v>
      </c>
      <c r="E125" s="87">
        <v>0</v>
      </c>
      <c r="F125" s="87">
        <v>0</v>
      </c>
      <c r="G125" s="87">
        <v>0</v>
      </c>
      <c r="H125" s="87">
        <v>0</v>
      </c>
      <c r="I125" s="53">
        <f t="shared" si="4"/>
        <v>17.563461538461496</v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5">
      <c r="A126" s="60">
        <v>14</v>
      </c>
      <c r="B126" s="60">
        <v>139.6351282051281</v>
      </c>
      <c r="C126" s="60">
        <v>0</v>
      </c>
      <c r="D126" s="60">
        <v>0</v>
      </c>
      <c r="E126" s="65">
        <v>0</v>
      </c>
      <c r="F126" s="65">
        <v>0</v>
      </c>
      <c r="G126" s="65">
        <v>0</v>
      </c>
      <c r="H126" s="65">
        <v>0</v>
      </c>
      <c r="I126" s="53">
        <f t="shared" si="4"/>
        <v>18.246282051281995</v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5">
      <c r="A127" s="60">
        <v>15</v>
      </c>
      <c r="B127" s="60">
        <v>158.40769230769229</v>
      </c>
      <c r="C127" s="60">
        <v>0</v>
      </c>
      <c r="D127" s="60">
        <v>0</v>
      </c>
      <c r="E127" s="65">
        <v>0</v>
      </c>
      <c r="F127" s="65">
        <v>0</v>
      </c>
      <c r="G127" s="65">
        <v>0</v>
      </c>
      <c r="H127" s="65">
        <v>0</v>
      </c>
      <c r="I127" s="53">
        <f t="shared" si="4"/>
        <v>18.772564102564189</v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5">
      <c r="A128" s="50">
        <v>16</v>
      </c>
      <c r="B128" s="50">
        <v>177.55</v>
      </c>
      <c r="C128" s="50">
        <v>0</v>
      </c>
      <c r="D128" s="50">
        <v>0</v>
      </c>
      <c r="E128" s="54">
        <v>0</v>
      </c>
      <c r="F128" s="54">
        <v>0</v>
      </c>
      <c r="G128" s="54">
        <v>0</v>
      </c>
      <c r="H128" s="54">
        <v>0</v>
      </c>
      <c r="I128" s="53">
        <f t="shared" si="4"/>
        <v>19.142307692307725</v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5">
      <c r="A129" s="50">
        <v>17</v>
      </c>
      <c r="B129" s="50">
        <v>196.90551282051271</v>
      </c>
      <c r="C129" s="50">
        <v>0</v>
      </c>
      <c r="D129" s="50">
        <v>0</v>
      </c>
      <c r="E129" s="54">
        <v>0</v>
      </c>
      <c r="F129" s="54">
        <v>0</v>
      </c>
      <c r="G129" s="54">
        <v>0</v>
      </c>
      <c r="H129" s="54">
        <v>0</v>
      </c>
      <c r="I129" s="53">
        <f t="shared" si="4"/>
        <v>19.355512820512701</v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5">
      <c r="A130" s="50">
        <v>18</v>
      </c>
      <c r="B130" s="50">
        <v>216.31769230769231</v>
      </c>
      <c r="C130" s="50">
        <v>0</v>
      </c>
      <c r="D130" s="50">
        <v>0</v>
      </c>
      <c r="E130" s="54">
        <v>0</v>
      </c>
      <c r="F130" s="54">
        <v>0</v>
      </c>
      <c r="G130" s="54">
        <v>0</v>
      </c>
      <c r="H130" s="54">
        <v>0</v>
      </c>
      <c r="I130" s="53">
        <f t="shared" si="4"/>
        <v>19.4121794871796</v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5">
      <c r="A131" s="50">
        <v>19</v>
      </c>
      <c r="B131" s="50">
        <v>235.63</v>
      </c>
      <c r="C131" s="50">
        <v>0</v>
      </c>
      <c r="D131" s="50">
        <v>0</v>
      </c>
      <c r="E131" s="54">
        <v>0</v>
      </c>
      <c r="F131" s="54">
        <v>0</v>
      </c>
      <c r="G131" s="54">
        <v>0</v>
      </c>
      <c r="H131" s="54">
        <v>0</v>
      </c>
      <c r="I131" s="53">
        <f t="shared" si="4"/>
        <v>19.312307692307684</v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5">
      <c r="A132" s="50">
        <v>20</v>
      </c>
      <c r="B132" s="50">
        <v>254.68589743589729</v>
      </c>
      <c r="C132" s="50" t="s">
        <v>324</v>
      </c>
      <c r="D132" s="50">
        <v>254.68589743589729</v>
      </c>
      <c r="E132" s="54">
        <v>0.7</v>
      </c>
      <c r="F132" s="54">
        <v>0.15</v>
      </c>
      <c r="G132" s="54">
        <v>0.15</v>
      </c>
      <c r="H132" s="54">
        <v>0</v>
      </c>
      <c r="I132" s="53">
        <f t="shared" si="4"/>
        <v>19.055897435897293</v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5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5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5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5">
      <c r="A136" s="46" t="s">
        <v>169</v>
      </c>
      <c r="B136" s="52" t="str">
        <f>IF(B13="","",B13)</f>
        <v/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5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5">
      <c r="A138" s="4"/>
      <c r="B138" s="85" t="s">
        <v>185</v>
      </c>
      <c r="C138" s="259" t="s">
        <v>186</v>
      </c>
      <c r="D138" s="259"/>
      <c r="E138" s="260" t="s">
        <v>187</v>
      </c>
      <c r="F138" s="261"/>
      <c r="G138" s="261"/>
      <c r="H138" s="262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5" x14ac:dyDescent="0.35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5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5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5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5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5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5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5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5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5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5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5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5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5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5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5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5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5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5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5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5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5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5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5">
      <c r="A162" s="46" t="s">
        <v>170</v>
      </c>
      <c r="B162" s="52" t="str">
        <f>IF(B14="","",B14)</f>
        <v/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5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5">
      <c r="A164" s="4"/>
      <c r="B164" s="85" t="s">
        <v>185</v>
      </c>
      <c r="C164" s="259" t="s">
        <v>186</v>
      </c>
      <c r="D164" s="259"/>
      <c r="E164" s="260" t="s">
        <v>187</v>
      </c>
      <c r="F164" s="261"/>
      <c r="G164" s="261"/>
      <c r="H164" s="262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5" x14ac:dyDescent="0.35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5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5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5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5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5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5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5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5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5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5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5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5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5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5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5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5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5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5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5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5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5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5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5">
      <c r="A188" s="46" t="s">
        <v>171</v>
      </c>
      <c r="B188" s="52" t="str">
        <f>IF(B15="","",B15)</f>
        <v/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5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5">
      <c r="A190" s="4"/>
      <c r="B190" s="85" t="s">
        <v>185</v>
      </c>
      <c r="C190" s="259" t="s">
        <v>186</v>
      </c>
      <c r="D190" s="259"/>
      <c r="E190" s="260" t="s">
        <v>187</v>
      </c>
      <c r="F190" s="261"/>
      <c r="G190" s="261"/>
      <c r="H190" s="262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5" x14ac:dyDescent="0.35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5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5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5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5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5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5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5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5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5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5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5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5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5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5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5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5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5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5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5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5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5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5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5">
      <c r="A214" s="46" t="s">
        <v>172</v>
      </c>
      <c r="B214" s="52" t="str">
        <f>IF(B16="","",B16)</f>
        <v/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5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5">
      <c r="A216" s="4"/>
      <c r="B216" s="85" t="s">
        <v>185</v>
      </c>
      <c r="C216" s="259" t="s">
        <v>186</v>
      </c>
      <c r="D216" s="259"/>
      <c r="E216" s="260" t="s">
        <v>187</v>
      </c>
      <c r="F216" s="261"/>
      <c r="G216" s="261"/>
      <c r="H216" s="262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5" x14ac:dyDescent="0.35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5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5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5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5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5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5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5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5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5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5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5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5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5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5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5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5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5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5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5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5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5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5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5">
      <c r="A240" s="46" t="s">
        <v>173</v>
      </c>
      <c r="B240" s="52" t="str">
        <f>IF(B17="","",B17)</f>
        <v/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5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5">
      <c r="A242" s="4"/>
      <c r="B242" s="85" t="s">
        <v>185</v>
      </c>
      <c r="C242" s="259" t="s">
        <v>186</v>
      </c>
      <c r="D242" s="259"/>
      <c r="E242" s="260" t="s">
        <v>187</v>
      </c>
      <c r="F242" s="261"/>
      <c r="G242" s="261"/>
      <c r="H242" s="262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5" x14ac:dyDescent="0.35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5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5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5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5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5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5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5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5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5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5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5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5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5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5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5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5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5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5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5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5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5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5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5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5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5">
      <c r="A268" s="4"/>
      <c r="B268" s="85" t="s">
        <v>185</v>
      </c>
      <c r="C268" s="259" t="s">
        <v>186</v>
      </c>
      <c r="D268" s="259"/>
      <c r="E268" s="260" t="s">
        <v>187</v>
      </c>
      <c r="F268" s="261"/>
      <c r="G268" s="261"/>
      <c r="H268" s="262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5" x14ac:dyDescent="0.35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5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5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5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5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5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5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5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5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5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5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5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5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5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5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5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5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5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5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5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5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5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5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5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5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5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5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5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5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5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5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5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5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5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5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5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5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5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5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5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5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5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5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5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5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5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5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5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5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5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5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5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5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5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5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5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5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5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5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5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5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5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5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5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5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5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5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5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5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5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5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5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5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5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5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5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5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5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5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5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5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5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5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5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5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5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5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5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5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5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5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5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5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5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5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5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5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5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5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5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5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5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5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5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5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5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5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5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5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5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5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5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5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5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5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5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5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5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5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5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5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5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5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5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5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5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5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5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5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5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5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5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5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5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5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5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5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5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5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5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5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5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5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5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5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5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5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5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5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5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5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5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5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5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5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5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5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5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5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B17" sqref="B17"/>
    </sheetView>
  </sheetViews>
  <sheetFormatPr baseColWidth="10" defaultColWidth="11.453125" defaultRowHeight="14.5" x14ac:dyDescent="0.35"/>
  <cols>
    <col min="1" max="1" width="5.81640625" style="1" customWidth="1"/>
    <col min="2" max="2" width="14.1796875" style="1" customWidth="1"/>
    <col min="3" max="3" width="62.1796875" style="1" customWidth="1"/>
    <col min="4" max="5" width="4.26953125" style="1" customWidth="1"/>
    <col min="6" max="6" width="14.26953125" style="1" customWidth="1"/>
    <col min="7" max="7" width="73.26953125" style="1" bestFit="1" customWidth="1"/>
    <col min="8" max="10" width="11.453125" style="1"/>
    <col min="11" max="11" width="12.54296875" style="1" customWidth="1"/>
    <col min="12" max="16384" width="11.453125" style="1"/>
  </cols>
  <sheetData>
    <row r="1" spans="1:38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5" thickBot="1" x14ac:dyDescent="0.65">
      <c r="A2" s="4"/>
      <c r="B2" s="272" t="s">
        <v>191</v>
      </c>
      <c r="C2" s="273"/>
      <c r="D2" s="273"/>
      <c r="E2" s="273"/>
      <c r="F2" s="273"/>
      <c r="G2" s="274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5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5">
      <c r="A4" s="4"/>
      <c r="B4" s="271"/>
      <c r="C4" s="271"/>
      <c r="D4" s="271"/>
      <c r="E4" s="271"/>
      <c r="F4" s="271"/>
      <c r="G4" s="271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5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5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5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35">
      <c r="A8" s="105">
        <v>1</v>
      </c>
      <c r="B8" s="61">
        <v>1</v>
      </c>
      <c r="C8" s="49" t="s">
        <v>177</v>
      </c>
      <c r="D8" s="23"/>
      <c r="E8" s="105">
        <v>4</v>
      </c>
      <c r="F8" s="61">
        <v>0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5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5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0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5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5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35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35">
      <c r="A15" s="23"/>
      <c r="B15" s="26" t="s">
        <v>295</v>
      </c>
      <c r="C15" s="4"/>
      <c r="D15" s="23"/>
      <c r="E15" s="4"/>
      <c r="F15" s="4"/>
      <c r="G15" s="2" t="s">
        <v>148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5">
      <c r="A16" s="23"/>
      <c r="B16" s="61">
        <v>1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5">
      <c r="A17" s="23"/>
      <c r="B17" s="61">
        <v>0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5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5">
      <c r="A19" s="23"/>
      <c r="B19" s="106">
        <f>SUM(B16:B18)</f>
        <v>1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5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5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5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5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5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5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5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5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5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5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5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5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5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5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5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5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5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5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5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5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5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5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5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5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5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5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5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5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5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5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5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5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5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5">
      <c r="C104" s="4"/>
      <c r="F104" s="4"/>
    </row>
    <row r="105" spans="3:35" x14ac:dyDescent="0.35">
      <c r="C105" s="4"/>
      <c r="F105" s="4"/>
    </row>
    <row r="106" spans="3:35" x14ac:dyDescent="0.35">
      <c r="C106" s="4"/>
      <c r="F106" s="4"/>
    </row>
    <row r="107" spans="3:35" x14ac:dyDescent="0.35">
      <c r="C107" s="4"/>
      <c r="F107" s="4"/>
    </row>
    <row r="108" spans="3:35" x14ac:dyDescent="0.35">
      <c r="C108" s="4"/>
      <c r="F108" s="4"/>
    </row>
    <row r="109" spans="3:35" x14ac:dyDescent="0.35">
      <c r="C109" s="4"/>
      <c r="F109" s="4"/>
    </row>
    <row r="110" spans="3:35" x14ac:dyDescent="0.35">
      <c r="C110" s="4"/>
      <c r="F110" s="4"/>
    </row>
    <row r="111" spans="3:35" x14ac:dyDescent="0.35">
      <c r="C111" s="4"/>
      <c r="F111" s="4"/>
    </row>
    <row r="112" spans="3:35" x14ac:dyDescent="0.35">
      <c r="C112" s="4"/>
      <c r="F112" s="4"/>
    </row>
    <row r="113" spans="3:6" x14ac:dyDescent="0.35">
      <c r="C113" s="4"/>
      <c r="F113" s="4"/>
    </row>
    <row r="114" spans="3:6" x14ac:dyDescent="0.35">
      <c r="C114" s="4"/>
      <c r="F114" s="4"/>
    </row>
    <row r="115" spans="3:6" x14ac:dyDescent="0.35">
      <c r="C115" s="4"/>
      <c r="F115" s="4"/>
    </row>
    <row r="116" spans="3:6" x14ac:dyDescent="0.35">
      <c r="C116" s="4"/>
      <c r="F116" s="4"/>
    </row>
    <row r="117" spans="3:6" x14ac:dyDescent="0.35">
      <c r="C117" s="4"/>
      <c r="F117" s="4"/>
    </row>
    <row r="118" spans="3:6" x14ac:dyDescent="0.35">
      <c r="C118" s="4"/>
      <c r="F118" s="4"/>
    </row>
    <row r="119" spans="3:6" x14ac:dyDescent="0.35">
      <c r="C119" s="4"/>
      <c r="F119" s="4"/>
    </row>
    <row r="120" spans="3:6" x14ac:dyDescent="0.35">
      <c r="C120" s="4"/>
      <c r="F120" s="4"/>
    </row>
    <row r="121" spans="3:6" x14ac:dyDescent="0.35">
      <c r="C121" s="4"/>
      <c r="F121" s="4"/>
    </row>
    <row r="122" spans="3:6" x14ac:dyDescent="0.35">
      <c r="C122" s="4"/>
      <c r="F122" s="4"/>
    </row>
    <row r="123" spans="3:6" x14ac:dyDescent="0.35">
      <c r="C123" s="4"/>
      <c r="F123" s="4"/>
    </row>
    <row r="124" spans="3:6" x14ac:dyDescent="0.35">
      <c r="C124" s="4"/>
      <c r="F124" s="4"/>
    </row>
    <row r="125" spans="3:6" x14ac:dyDescent="0.35">
      <c r="C125" s="4"/>
      <c r="F125" s="4"/>
    </row>
    <row r="126" spans="3:6" x14ac:dyDescent="0.35">
      <c r="C126" s="4"/>
      <c r="F126" s="4"/>
    </row>
    <row r="127" spans="3:6" x14ac:dyDescent="0.35">
      <c r="C127" s="4"/>
      <c r="F127" s="4"/>
    </row>
    <row r="128" spans="3:6" x14ac:dyDescent="0.35">
      <c r="C128" s="4"/>
      <c r="F128" s="4"/>
    </row>
    <row r="129" spans="3:6" x14ac:dyDescent="0.35">
      <c r="C129" s="4"/>
      <c r="F129" s="4"/>
    </row>
    <row r="130" spans="3:6" x14ac:dyDescent="0.35">
      <c r="C130" s="4"/>
      <c r="F130" s="4"/>
    </row>
    <row r="131" spans="3:6" x14ac:dyDescent="0.35">
      <c r="C131" s="4"/>
      <c r="F131" s="4"/>
    </row>
    <row r="132" spans="3:6" x14ac:dyDescent="0.35">
      <c r="F132" s="4"/>
    </row>
    <row r="133" spans="3:6" x14ac:dyDescent="0.35">
      <c r="F133" s="4"/>
    </row>
    <row r="134" spans="3:6" x14ac:dyDescent="0.35">
      <c r="F134" s="4"/>
    </row>
    <row r="135" spans="3:6" x14ac:dyDescent="0.35">
      <c r="F135" s="4"/>
    </row>
    <row r="136" spans="3:6" x14ac:dyDescent="0.35">
      <c r="F136" s="4"/>
    </row>
    <row r="137" spans="3:6" x14ac:dyDescent="0.35">
      <c r="F137" s="4"/>
    </row>
    <row r="138" spans="3:6" x14ac:dyDescent="0.35">
      <c r="F138" s="4"/>
    </row>
    <row r="139" spans="3:6" x14ac:dyDescent="0.35">
      <c r="F139" s="4"/>
    </row>
    <row r="140" spans="3:6" x14ac:dyDescent="0.35">
      <c r="F140" s="4"/>
    </row>
    <row r="141" spans="3:6" x14ac:dyDescent="0.35">
      <c r="F141" s="4"/>
    </row>
    <row r="142" spans="3:6" x14ac:dyDescent="0.35">
      <c r="F142" s="4"/>
    </row>
    <row r="143" spans="3:6" x14ac:dyDescent="0.35">
      <c r="F143" s="4"/>
    </row>
    <row r="144" spans="3:6" x14ac:dyDescent="0.35">
      <c r="F144" s="4"/>
    </row>
    <row r="145" spans="6:6" x14ac:dyDescent="0.35">
      <c r="F145" s="4"/>
    </row>
    <row r="146" spans="6:6" x14ac:dyDescent="0.35">
      <c r="F146" s="4"/>
    </row>
    <row r="147" spans="6:6" x14ac:dyDescent="0.35">
      <c r="F147" s="4"/>
    </row>
    <row r="148" spans="6:6" x14ac:dyDescent="0.35">
      <c r="F148" s="4"/>
    </row>
    <row r="149" spans="6:6" x14ac:dyDescent="0.35">
      <c r="F149" s="4"/>
    </row>
    <row r="150" spans="6:6" x14ac:dyDescent="0.35">
      <c r="F150" s="4"/>
    </row>
    <row r="151" spans="6:6" x14ac:dyDescent="0.35">
      <c r="F151" s="4"/>
    </row>
    <row r="152" spans="6:6" x14ac:dyDescent="0.35">
      <c r="F152" s="4"/>
    </row>
    <row r="153" spans="6:6" x14ac:dyDescent="0.35">
      <c r="F153" s="4"/>
    </row>
    <row r="154" spans="6:6" x14ac:dyDescent="0.35">
      <c r="F154" s="4"/>
    </row>
    <row r="155" spans="6:6" x14ac:dyDescent="0.35">
      <c r="F155" s="4"/>
    </row>
    <row r="156" spans="6:6" x14ac:dyDescent="0.35">
      <c r="F156" s="4"/>
    </row>
    <row r="157" spans="6:6" x14ac:dyDescent="0.35">
      <c r="F157" s="4"/>
    </row>
    <row r="158" spans="6:6" x14ac:dyDescent="0.35">
      <c r="F158" s="4"/>
    </row>
    <row r="159" spans="6:6" x14ac:dyDescent="0.35">
      <c r="F159" s="4"/>
    </row>
    <row r="160" spans="6:6" x14ac:dyDescent="0.35">
      <c r="F160" s="4"/>
    </row>
    <row r="161" spans="6:6" x14ac:dyDescent="0.35">
      <c r="F161" s="4"/>
    </row>
    <row r="162" spans="6:6" x14ac:dyDescent="0.35">
      <c r="F162" s="4"/>
    </row>
    <row r="163" spans="6:6" x14ac:dyDescent="0.35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53125" defaultRowHeight="14.5" x14ac:dyDescent="0.35"/>
  <cols>
    <col min="1" max="1" width="6.81640625" style="4" bestFit="1" customWidth="1"/>
    <col min="2" max="4" width="11.453125" style="4"/>
    <col min="5" max="5" width="9.54296875" style="4" customWidth="1"/>
    <col min="6" max="7" width="11.453125" style="4"/>
    <col min="8" max="8" width="10.7265625" style="4" customWidth="1"/>
    <col min="9" max="9" width="9.453125" style="4" customWidth="1"/>
    <col min="10" max="11" width="10.54296875" style="4" bestFit="1" customWidth="1"/>
    <col min="12" max="12" width="14" style="4" bestFit="1" customWidth="1"/>
    <col min="13" max="13" width="14" style="4" customWidth="1"/>
    <col min="14" max="23" width="11.453125" style="4"/>
    <col min="24" max="24" width="11.7265625" style="4" bestFit="1" customWidth="1"/>
    <col min="25" max="25" width="14.54296875" style="4" bestFit="1" customWidth="1"/>
    <col min="26" max="26" width="12.453125" style="4" bestFit="1" customWidth="1"/>
    <col min="27" max="27" width="9.7265625" style="4" bestFit="1" customWidth="1"/>
    <col min="28" max="28" width="11" style="4" bestFit="1" customWidth="1"/>
    <col min="29" max="29" width="9.453125" style="4" bestFit="1" customWidth="1"/>
    <col min="30" max="31" width="9.453125" style="4" customWidth="1"/>
    <col min="32" max="32" width="11.453125" style="4"/>
    <col min="33" max="34" width="14" style="4" bestFit="1" customWidth="1"/>
    <col min="35" max="35" width="10.54296875" style="4" bestFit="1" customWidth="1"/>
    <col min="36" max="36" width="9.453125" style="4" bestFit="1" customWidth="1"/>
    <col min="37" max="38" width="10.54296875" style="4" bestFit="1" customWidth="1"/>
    <col min="39" max="41" width="10.54296875" style="4" customWidth="1"/>
    <col min="42" max="42" width="9" style="4" bestFit="1" customWidth="1"/>
    <col min="43" max="43" width="10.54296875" style="4" bestFit="1" customWidth="1"/>
    <col min="44" max="44" width="9.26953125" style="4" bestFit="1" customWidth="1"/>
    <col min="45" max="45" width="11.7265625" style="4" bestFit="1" customWidth="1"/>
    <col min="46" max="46" width="8.453125" style="4" bestFit="1" customWidth="1"/>
    <col min="47" max="47" width="9.453125" style="4" bestFit="1" customWidth="1"/>
    <col min="48" max="48" width="9.7265625" style="4" bestFit="1" customWidth="1"/>
    <col min="49" max="49" width="11" style="4" bestFit="1" customWidth="1"/>
    <col min="50" max="50" width="9.453125" style="4" bestFit="1" customWidth="1"/>
    <col min="51" max="52" width="9.453125" style="4" customWidth="1"/>
    <col min="53" max="53" width="10.54296875" style="4" bestFit="1" customWidth="1"/>
    <col min="54" max="54" width="14.26953125" style="4" customWidth="1"/>
    <col min="55" max="55" width="14" style="4" customWidth="1"/>
    <col min="56" max="56" width="10.54296875" style="4" bestFit="1" customWidth="1"/>
    <col min="57" max="57" width="9.453125" style="4" bestFit="1" customWidth="1"/>
    <col min="58" max="59" width="10.54296875" style="4" bestFit="1" customWidth="1"/>
    <col min="60" max="62" width="10.54296875" style="4" customWidth="1"/>
    <col min="63" max="63" width="9" style="4" bestFit="1" customWidth="1"/>
    <col min="64" max="64" width="10.54296875" style="4" bestFit="1" customWidth="1"/>
    <col min="65" max="65" width="9.26953125" style="4" bestFit="1" customWidth="1"/>
    <col min="66" max="66" width="11.7265625" style="4" bestFit="1" customWidth="1"/>
    <col min="67" max="67" width="8.453125" style="4" bestFit="1" customWidth="1"/>
    <col min="68" max="68" width="9.453125" style="4" bestFit="1" customWidth="1"/>
    <col min="69" max="69" width="9.7265625" style="4" bestFit="1" customWidth="1"/>
    <col min="70" max="70" width="11" style="4" bestFit="1" customWidth="1"/>
    <col min="71" max="71" width="9.453125" style="4" bestFit="1" customWidth="1"/>
    <col min="72" max="73" width="9.453125" style="4" customWidth="1"/>
    <col min="74" max="74" width="10.54296875" style="4" bestFit="1" customWidth="1"/>
    <col min="75" max="75" width="14" style="4" bestFit="1" customWidth="1"/>
    <col min="76" max="76" width="13.81640625" style="4" customWidth="1"/>
    <col min="77" max="77" width="10.54296875" style="4" bestFit="1" customWidth="1"/>
    <col min="78" max="78" width="9.453125" style="4" bestFit="1" customWidth="1"/>
    <col min="79" max="80" width="10.54296875" style="4" bestFit="1" customWidth="1"/>
    <col min="81" max="83" width="10.54296875" style="4" customWidth="1"/>
    <col min="84" max="84" width="11.453125" style="4"/>
    <col min="85" max="85" width="10.54296875" style="4" bestFit="1" customWidth="1"/>
    <col min="86" max="86" width="9.26953125" style="4" bestFit="1" customWidth="1"/>
    <col min="87" max="87" width="11.7265625" style="4" bestFit="1" customWidth="1"/>
    <col min="88" max="88" width="8.453125" style="4" bestFit="1" customWidth="1"/>
    <col min="89" max="89" width="9.453125" style="4" bestFit="1" customWidth="1"/>
    <col min="90" max="90" width="9.7265625" style="4" bestFit="1" customWidth="1"/>
    <col min="91" max="91" width="11" style="4" bestFit="1" customWidth="1"/>
    <col min="92" max="92" width="9.453125" style="4" bestFit="1" customWidth="1"/>
    <col min="93" max="94" width="9.453125" style="4" customWidth="1"/>
    <col min="95" max="95" width="11.453125" style="4"/>
    <col min="96" max="97" width="14" style="4" customWidth="1"/>
    <col min="98" max="98" width="10.54296875" style="4" bestFit="1" customWidth="1"/>
    <col min="99" max="99" width="9.453125" style="4" bestFit="1" customWidth="1"/>
    <col min="100" max="101" width="10.54296875" style="4" bestFit="1" customWidth="1"/>
    <col min="102" max="104" width="10.54296875" style="4" customWidth="1"/>
    <col min="105" max="105" width="9" style="4" bestFit="1" customWidth="1"/>
    <col min="106" max="106" width="10.54296875" style="4" bestFit="1" customWidth="1"/>
    <col min="107" max="107" width="9.26953125" style="4" bestFit="1" customWidth="1"/>
    <col min="108" max="108" width="11.7265625" style="4" bestFit="1" customWidth="1"/>
    <col min="109" max="109" width="8.453125" style="4" bestFit="1" customWidth="1"/>
    <col min="110" max="110" width="9.453125" style="4" bestFit="1" customWidth="1"/>
    <col min="111" max="111" width="9.7265625" style="4" bestFit="1" customWidth="1"/>
    <col min="112" max="112" width="11" style="4" bestFit="1" customWidth="1"/>
    <col min="113" max="113" width="9.453125" style="4" bestFit="1" customWidth="1"/>
    <col min="114" max="115" width="9.453125" style="4" customWidth="1"/>
    <col min="116" max="116" width="10.54296875" style="4" bestFit="1" customWidth="1"/>
    <col min="117" max="117" width="14.26953125" style="4" customWidth="1"/>
    <col min="118" max="118" width="14" style="4" bestFit="1" customWidth="1"/>
    <col min="119" max="119" width="10.54296875" style="4" bestFit="1" customWidth="1"/>
    <col min="120" max="120" width="9.453125" style="4" bestFit="1" customWidth="1"/>
    <col min="121" max="122" width="10.54296875" style="4" bestFit="1" customWidth="1"/>
    <col min="123" max="125" width="10.54296875" style="4" customWidth="1"/>
    <col min="126" max="126" width="9" style="4" bestFit="1" customWidth="1"/>
    <col min="127" max="127" width="10.54296875" style="4" bestFit="1" customWidth="1"/>
    <col min="128" max="128" width="9.26953125" style="4" bestFit="1" customWidth="1"/>
    <col min="129" max="129" width="11.7265625" style="4" bestFit="1" customWidth="1"/>
    <col min="130" max="130" width="8.453125" style="4" bestFit="1" customWidth="1"/>
    <col min="131" max="131" width="9.453125" style="4" bestFit="1" customWidth="1"/>
    <col min="132" max="132" width="9.7265625" style="4" bestFit="1" customWidth="1"/>
    <col min="133" max="133" width="11" style="4" bestFit="1" customWidth="1"/>
    <col min="134" max="134" width="9.453125" style="4" bestFit="1" customWidth="1"/>
    <col min="135" max="136" width="9.453125" style="4" customWidth="1"/>
    <col min="137" max="137" width="10.54296875" style="4" bestFit="1" customWidth="1"/>
    <col min="138" max="139" width="14" style="4" customWidth="1"/>
    <col min="140" max="140" width="10.54296875" style="4" bestFit="1" customWidth="1"/>
    <col min="141" max="141" width="9.453125" style="4" bestFit="1" customWidth="1"/>
    <col min="142" max="143" width="10.54296875" style="4" bestFit="1" customWidth="1"/>
    <col min="144" max="146" width="10.54296875" style="4" customWidth="1"/>
    <col min="147" max="147" width="9" style="4" bestFit="1" customWidth="1"/>
    <col min="148" max="148" width="10.54296875" style="4" bestFit="1" customWidth="1"/>
    <col min="149" max="149" width="9.26953125" style="4" bestFit="1" customWidth="1"/>
    <col min="150" max="150" width="11.7265625" style="4" bestFit="1" customWidth="1"/>
    <col min="151" max="151" width="8.453125" style="4" bestFit="1" customWidth="1"/>
    <col min="152" max="152" width="9.453125" style="4" bestFit="1" customWidth="1"/>
    <col min="153" max="153" width="9.7265625" style="4" bestFit="1" customWidth="1"/>
    <col min="154" max="154" width="11" style="4" bestFit="1" customWidth="1"/>
    <col min="155" max="155" width="9.453125" style="4" bestFit="1" customWidth="1"/>
    <col min="156" max="157" width="9.453125" style="4" customWidth="1"/>
    <col min="158" max="158" width="11.453125" style="4"/>
    <col min="159" max="160" width="14" style="4" bestFit="1" customWidth="1"/>
    <col min="161" max="161" width="10.54296875" style="4" bestFit="1" customWidth="1"/>
    <col min="162" max="162" width="9.453125" style="4" bestFit="1" customWidth="1"/>
    <col min="163" max="164" width="10.54296875" style="4" bestFit="1" customWidth="1"/>
    <col min="165" max="167" width="10.54296875" style="4" customWidth="1"/>
    <col min="168" max="168" width="9" style="4" bestFit="1" customWidth="1"/>
    <col min="169" max="169" width="10.54296875" style="4" bestFit="1" customWidth="1"/>
    <col min="170" max="170" width="9.26953125" style="4" bestFit="1" customWidth="1"/>
    <col min="171" max="171" width="11.7265625" style="4" bestFit="1" customWidth="1"/>
    <col min="172" max="172" width="8.1796875" style="4" bestFit="1" customWidth="1"/>
    <col min="173" max="173" width="9.453125" style="4" bestFit="1" customWidth="1"/>
    <col min="174" max="174" width="9.7265625" style="4" bestFit="1" customWidth="1"/>
    <col min="175" max="175" width="11" style="4" bestFit="1" customWidth="1"/>
    <col min="176" max="176" width="9.453125" style="4" bestFit="1" customWidth="1"/>
    <col min="177" max="178" width="9.453125" style="4" customWidth="1"/>
    <col min="179" max="179" width="10.54296875" style="4" bestFit="1" customWidth="1"/>
    <col min="180" max="181" width="14" style="4" bestFit="1" customWidth="1"/>
    <col min="182" max="182" width="10.54296875" style="4" bestFit="1" customWidth="1"/>
    <col min="183" max="183" width="9.453125" style="4" bestFit="1" customWidth="1"/>
    <col min="184" max="185" width="10.54296875" style="4" bestFit="1" customWidth="1"/>
    <col min="186" max="188" width="10.54296875" style="4" customWidth="1"/>
    <col min="189" max="189" width="9" style="4" bestFit="1" customWidth="1"/>
    <col min="190" max="190" width="10.54296875" style="4" bestFit="1" customWidth="1"/>
    <col min="191" max="191" width="9.26953125" style="4" bestFit="1" customWidth="1"/>
    <col min="192" max="192" width="11.453125" style="4"/>
    <col min="193" max="193" width="8.453125" style="4" bestFit="1" customWidth="1"/>
    <col min="194" max="194" width="9.453125" style="4" bestFit="1" customWidth="1"/>
    <col min="195" max="195" width="9.7265625" style="4" bestFit="1" customWidth="1"/>
    <col min="196" max="196" width="11" style="4" bestFit="1" customWidth="1"/>
    <col min="197" max="197" width="9.453125" style="4" bestFit="1" customWidth="1"/>
    <col min="198" max="199" width="9.453125" style="4" customWidth="1"/>
    <col min="200" max="200" width="10.54296875" style="4" bestFit="1" customWidth="1"/>
    <col min="201" max="201" width="14" style="4" customWidth="1"/>
    <col min="202" max="202" width="14.26953125" style="4" customWidth="1"/>
    <col min="203" max="203" width="10.54296875" style="4" bestFit="1" customWidth="1"/>
    <col min="204" max="204" width="9.453125" style="4" bestFit="1" customWidth="1"/>
    <col min="205" max="206" width="10.54296875" style="4" bestFit="1" customWidth="1"/>
    <col min="207" max="209" width="10.54296875" style="4" customWidth="1"/>
    <col min="210" max="210" width="9" style="4" bestFit="1" customWidth="1"/>
    <col min="211" max="211" width="10.54296875" style="4" bestFit="1" customWidth="1"/>
    <col min="212" max="212" width="9.26953125" style="4" bestFit="1" customWidth="1"/>
    <col min="213" max="213" width="11.7265625" style="4" bestFit="1" customWidth="1"/>
    <col min="214" max="214" width="8.453125" style="4" bestFit="1" customWidth="1"/>
    <col min="215" max="215" width="9.453125" style="4" bestFit="1" customWidth="1"/>
    <col min="216" max="216" width="9.7265625" style="4" bestFit="1" customWidth="1"/>
    <col min="217" max="217" width="11" style="4" bestFit="1" customWidth="1"/>
    <col min="218" max="218" width="9.453125" style="4" bestFit="1" customWidth="1"/>
    <col min="219" max="16384" width="11.453125" style="4"/>
  </cols>
  <sheetData>
    <row r="1" spans="1:218" ht="26.5" thickBot="1" x14ac:dyDescent="0.65">
      <c r="B1" s="278" t="s">
        <v>176</v>
      </c>
      <c r="C1" s="279"/>
      <c r="D1" s="279"/>
      <c r="E1" s="279"/>
      <c r="F1" s="279"/>
      <c r="G1" s="279"/>
      <c r="H1" s="280"/>
      <c r="I1" s="275" t="str">
        <f>IF('Données projet'!$B$9="","",'Données projet'!$B$9)</f>
        <v>Peuplier Koster</v>
      </c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7"/>
      <c r="AD1" s="276" t="str">
        <f>IF('Données projet'!$B$10="","",'Données projet'!$B$10)</f>
        <v>Peuplier Koster</v>
      </c>
      <c r="AE1" s="276"/>
      <c r="AF1" s="276"/>
      <c r="AG1" s="276"/>
      <c r="AH1" s="276"/>
      <c r="AI1" s="276"/>
      <c r="AJ1" s="276"/>
      <c r="AK1" s="276"/>
      <c r="AL1" s="276"/>
      <c r="AM1" s="276"/>
      <c r="AN1" s="276"/>
      <c r="AO1" s="276"/>
      <c r="AP1" s="276"/>
      <c r="AQ1" s="276"/>
      <c r="AR1" s="276"/>
      <c r="AS1" s="276"/>
      <c r="AT1" s="276"/>
      <c r="AU1" s="276"/>
      <c r="AV1" s="276"/>
      <c r="AW1" s="276"/>
      <c r="AX1" s="277"/>
      <c r="AY1" s="275" t="str">
        <f>IF('Données projet'!$B$11="","",'Données projet'!$B$11)</f>
        <v>Peuplier Koster</v>
      </c>
      <c r="AZ1" s="276"/>
      <c r="BA1" s="276"/>
      <c r="BB1" s="276"/>
      <c r="BC1" s="276"/>
      <c r="BD1" s="276"/>
      <c r="BE1" s="276"/>
      <c r="BF1" s="276"/>
      <c r="BG1" s="276"/>
      <c r="BH1" s="276"/>
      <c r="BI1" s="276"/>
      <c r="BJ1" s="276"/>
      <c r="BK1" s="276"/>
      <c r="BL1" s="276"/>
      <c r="BM1" s="276"/>
      <c r="BN1" s="276"/>
      <c r="BO1" s="276"/>
      <c r="BP1" s="276"/>
      <c r="BQ1" s="276"/>
      <c r="BR1" s="276"/>
      <c r="BS1" s="277"/>
      <c r="BT1" s="275" t="str">
        <f>IF('Données projet'!$B$12="","",'Données projet'!$B$12)</f>
        <v>Peuplier Koster</v>
      </c>
      <c r="BU1" s="276"/>
      <c r="BV1" s="276"/>
      <c r="BW1" s="276"/>
      <c r="BX1" s="276"/>
      <c r="BY1" s="276"/>
      <c r="BZ1" s="276"/>
      <c r="CA1" s="276"/>
      <c r="CB1" s="276"/>
      <c r="CC1" s="276"/>
      <c r="CD1" s="276"/>
      <c r="CE1" s="276"/>
      <c r="CF1" s="276"/>
      <c r="CG1" s="276"/>
      <c r="CH1" s="276"/>
      <c r="CI1" s="276"/>
      <c r="CJ1" s="276"/>
      <c r="CK1" s="276"/>
      <c r="CL1" s="276"/>
      <c r="CM1" s="276"/>
      <c r="CN1" s="277"/>
      <c r="CO1" s="275" t="str">
        <f>IF('Données projet'!$B$13="","",'Données projet'!$B$13)</f>
        <v/>
      </c>
      <c r="CP1" s="276"/>
      <c r="CQ1" s="276"/>
      <c r="CR1" s="276"/>
      <c r="CS1" s="276"/>
      <c r="CT1" s="276"/>
      <c r="CU1" s="276"/>
      <c r="CV1" s="276"/>
      <c r="CW1" s="276"/>
      <c r="CX1" s="276"/>
      <c r="CY1" s="276"/>
      <c r="CZ1" s="276"/>
      <c r="DA1" s="276"/>
      <c r="DB1" s="276"/>
      <c r="DC1" s="276"/>
      <c r="DD1" s="276"/>
      <c r="DE1" s="276"/>
      <c r="DF1" s="276"/>
      <c r="DG1" s="276"/>
      <c r="DH1" s="276"/>
      <c r="DI1" s="277"/>
      <c r="DJ1" s="275" t="str">
        <f>IF('Données projet'!$B$14="","",'Données projet'!$B$14)</f>
        <v/>
      </c>
      <c r="DK1" s="276"/>
      <c r="DL1" s="276"/>
      <c r="DM1" s="276"/>
      <c r="DN1" s="276"/>
      <c r="DO1" s="276"/>
      <c r="DP1" s="276"/>
      <c r="DQ1" s="276"/>
      <c r="DR1" s="276"/>
      <c r="DS1" s="276"/>
      <c r="DT1" s="276"/>
      <c r="DU1" s="276"/>
      <c r="DV1" s="276"/>
      <c r="DW1" s="276"/>
      <c r="DX1" s="276"/>
      <c r="DY1" s="276"/>
      <c r="DZ1" s="276"/>
      <c r="EA1" s="276"/>
      <c r="EB1" s="276"/>
      <c r="EC1" s="276"/>
      <c r="ED1" s="277"/>
      <c r="EE1" s="275" t="str">
        <f>IF('Données projet'!$B$15="","",'Données projet'!$B$15)</f>
        <v/>
      </c>
      <c r="EF1" s="276"/>
      <c r="EG1" s="276"/>
      <c r="EH1" s="276"/>
      <c r="EI1" s="276"/>
      <c r="EJ1" s="276"/>
      <c r="EK1" s="276"/>
      <c r="EL1" s="276"/>
      <c r="EM1" s="276"/>
      <c r="EN1" s="276"/>
      <c r="EO1" s="276"/>
      <c r="EP1" s="276"/>
      <c r="EQ1" s="276"/>
      <c r="ER1" s="276"/>
      <c r="ES1" s="276"/>
      <c r="ET1" s="276"/>
      <c r="EU1" s="276"/>
      <c r="EV1" s="276"/>
      <c r="EW1" s="276"/>
      <c r="EX1" s="276"/>
      <c r="EY1" s="277"/>
      <c r="EZ1" s="275" t="str">
        <f>IF('Données projet'!$B$16="","",'Données projet'!$B$16)</f>
        <v/>
      </c>
      <c r="FA1" s="276"/>
      <c r="FB1" s="276"/>
      <c r="FC1" s="276"/>
      <c r="FD1" s="276"/>
      <c r="FE1" s="276"/>
      <c r="FF1" s="276"/>
      <c r="FG1" s="276"/>
      <c r="FH1" s="276"/>
      <c r="FI1" s="276"/>
      <c r="FJ1" s="276"/>
      <c r="FK1" s="276"/>
      <c r="FL1" s="276"/>
      <c r="FM1" s="276"/>
      <c r="FN1" s="276"/>
      <c r="FO1" s="276"/>
      <c r="FP1" s="276"/>
      <c r="FQ1" s="276"/>
      <c r="FR1" s="276"/>
      <c r="FS1" s="276"/>
      <c r="FT1" s="277"/>
      <c r="FU1" s="275" t="str">
        <f>IF('Données projet'!$B$17="","",'Données projet'!$B$17)</f>
        <v/>
      </c>
      <c r="FV1" s="276"/>
      <c r="FW1" s="276"/>
      <c r="FX1" s="276"/>
      <c r="FY1" s="276"/>
      <c r="FZ1" s="276"/>
      <c r="GA1" s="276"/>
      <c r="GB1" s="276"/>
      <c r="GC1" s="276"/>
      <c r="GD1" s="276"/>
      <c r="GE1" s="276"/>
      <c r="GF1" s="276"/>
      <c r="GG1" s="276"/>
      <c r="GH1" s="276"/>
      <c r="GI1" s="276"/>
      <c r="GJ1" s="276"/>
      <c r="GK1" s="276"/>
      <c r="GL1" s="276"/>
      <c r="GM1" s="276"/>
      <c r="GN1" s="276"/>
      <c r="GO1" s="277"/>
      <c r="GP1" s="275" t="str">
        <f>IF('Données projet'!$B$18="","",'Données projet'!$B$18)</f>
        <v/>
      </c>
      <c r="GQ1" s="276"/>
      <c r="GR1" s="276"/>
      <c r="GS1" s="276"/>
      <c r="GT1" s="276"/>
      <c r="GU1" s="276"/>
      <c r="GV1" s="276"/>
      <c r="GW1" s="276"/>
      <c r="GX1" s="276"/>
      <c r="GY1" s="276"/>
      <c r="GZ1" s="276"/>
      <c r="HA1" s="276"/>
      <c r="HB1" s="276"/>
      <c r="HC1" s="276"/>
      <c r="HD1" s="276"/>
      <c r="HE1" s="276"/>
      <c r="HF1" s="276"/>
      <c r="HG1" s="276"/>
      <c r="HH1" s="276"/>
      <c r="HI1" s="276"/>
      <c r="HJ1" s="277"/>
    </row>
    <row r="2" spans="1:218" ht="58.5" thickBot="1" x14ac:dyDescent="0.4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35">
      <c r="A3" s="10">
        <v>0</v>
      </c>
      <c r="B3" s="73">
        <f>'Scénario référence'!$B$16*5+'Scénario référence'!$B$17*0+'Scénario référence'!$B$18*5</f>
        <v>5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" s="11">
        <f>IF(OR('Scénario référence'!$F$8&gt;0,'Scénario référence'!$F$9&gt;0),('Scénario référence'!$F$8+'Scénario référence'!$F$9)*10,0)</f>
        <v>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18.333333333333332</v>
      </c>
      <c r="H3" s="67">
        <f>(B3+E3+F3)*44/12+(C3+D3)*0.475*44/12</f>
        <v>183.33333333333334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165</v>
      </c>
      <c r="S3" s="59">
        <f ca="1">AVERAGE(OFFSET($R$3,0,0,'Données projet'!$E$9+1,1))-AVERAGE(OFFSET($H$3,0,0,'Données projet'!$E$9+1,1))</f>
        <v>112.82287576550925</v>
      </c>
      <c r="T3" s="59">
        <f>IF('Données projet'!E9&gt;30,$R$33-$H$33,LOOKUP('Données projet'!$E$9,$A$3:$A$203,R3:R203)-LOOKUP('Données projet'!$E$9,$A$3:$A$203,$H$3:$H$203))</f>
        <v>317.78570695363294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165</v>
      </c>
      <c r="AN3" s="59">
        <f ca="1">AVERAGE(OFFSET($AM$3,0,0,'Données projet'!$E$10+1,1))-AVERAGE(OFFSET($H$3,0,0,'Données projet'!$E$10+1,1))</f>
        <v>112.82287576550925</v>
      </c>
      <c r="AO3" s="59">
        <f>IF('Données projet'!E10&gt;30,$AM$33-$H$33,LOOKUP('Données projet'!$E$10,$A$3:$A$203,AM3:AM203)-LOOKUP('Données projet'!$E$10,$A$3:$A$203,$H$3:$H$203))</f>
        <v>317.78570695363294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165</v>
      </c>
      <c r="BI3" s="59">
        <f ca="1">AVERAGE(OFFSET($BH$3,0,0,'Données projet'!$E$11+1,1))-AVERAGE(OFFSET($H$3,0,0,'Données projet'!$E$11+1,1))</f>
        <v>112.82287576550925</v>
      </c>
      <c r="BJ3" s="59">
        <f>IF('Données projet'!E11&gt;30,$BH$33-$H$33,LOOKUP('Données projet'!$E$11,$A$3:$A$203,BH3:BH203)-LOOKUP('Données projet'!$E$11,$A$3:$A$203,$H$3:$H$203))</f>
        <v>317.78570695363294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>
        <f>BY3*VLOOKUP('Données projet'!$B$12,Paramètres!$A$1:$I$89,3,0)*VLOOKUP('Données projet'!$B$12,Paramètres!$A$1:$I$89,5,0)</f>
        <v>0</v>
      </c>
      <c r="CA3" s="12">
        <v>0</v>
      </c>
      <c r="CB3" s="14">
        <f>(BZ3+CA3)*0.475*44/12</f>
        <v>0</v>
      </c>
      <c r="CC3" s="59">
        <f>CB3+(BT3+BU3)*44/12</f>
        <v>165</v>
      </c>
      <c r="CD3" s="59">
        <f ca="1">AVERAGE(OFFSET($CC$3,0,0,'Données projet'!$E$12+1,1))-AVERAGE(OFFSET($H$3,0,0,'Données projet'!$E$12+1,1))</f>
        <v>112.82287576550925</v>
      </c>
      <c r="CE3" s="59">
        <f>IF('Données projet'!E12&gt;30,$CC$33-$H$33,LOOKUP('Données projet'!$E$12,$A$3:$A$203,CC3:CC203)-LOOKUP('Données projet'!$E$12,$A$3:$A$203,$H$3:$H$203))</f>
        <v>317.78570695363294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5">
      <c r="A4" s="10">
        <f>A3+1</f>
        <v>1</v>
      </c>
      <c r="B4" s="73">
        <f>'Scénario référence'!$B$16*5+'Scénario référence'!$B$17*0+'Scénario référence'!$B$18*5</f>
        <v>5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1">
        <f>IFERROR(EXP(-1.0587+0.8836*LN(C4)+0.284),0)</f>
        <v>0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" s="11">
        <f>IF(OR('Scénario référence'!$F$8&gt;0,'Scénario référence'!$F$9&gt;0),('Scénario référence'!$F$8+'Scénario référence'!$F$9)*10,0)</f>
        <v>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18.333333333333332</v>
      </c>
      <c r="H4" s="67">
        <f t="shared" ref="H4:H67" si="1">(B4+E4+F4)*44/12+(C4+D4)*0.475*44/12</f>
        <v>183.33333333333334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9.2179487179486999E-2</v>
      </c>
      <c r="N4" s="13">
        <f>IF('Données projet'!$A$36&gt;35,N3+M4-V3,IF(A4&lt;'Données projet'!$A$36,$K$205^A4,IF(A4='Données projet'!$A$36,'Données projet'!$B$36,N3+M4-V3)))</f>
        <v>0.42937043954955023</v>
      </c>
      <c r="O4" s="13">
        <f>N4*VLOOKUP('Données projet'!$B$9,Paramètres!$A$1:$I$89,3,0)*VLOOKUP('Données projet'!$B$9,Paramètres!$A$1:$I$89,5,0)</f>
        <v>0.21836063073731929</v>
      </c>
      <c r="P4" s="13">
        <f>EXP(-1.0587+0.8836*LN(O4)+0.284)</f>
        <v>0.12012862656084218</v>
      </c>
      <c r="Q4" s="20">
        <f t="shared" ref="Q4:Q34" si="2">(O4+P4)*0.475*44/12</f>
        <v>0.58953545646096461</v>
      </c>
      <c r="R4" s="59">
        <f t="shared" si="0"/>
        <v>168.4019694093848</v>
      </c>
      <c r="S4" s="59">
        <f ca="1">AVERAGE(OFFSET($R$3,0,0,'Données projet'!$E$9+1,1))-AVERAGE(OFFSET($H$3,0,0,'Données projet'!$E$9+1,1))</f>
        <v>112.82287576550925</v>
      </c>
      <c r="T4" s="59">
        <f>$T$3</f>
        <v>317.78570695363294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9.2179487179486999E-2</v>
      </c>
      <c r="AI4" s="13">
        <f>IF('Données projet'!$A$62&gt;35,AI3+AH4-AQ3,IF(A4&lt;'Données projet'!$A$62,$AF$205^A4,IF(A4='Données projet'!$A$62,'Données projet'!$B$62,AI3+AH4-AQ3)))</f>
        <v>0.42937043954955023</v>
      </c>
      <c r="AJ4" s="13">
        <f>AI4*VLOOKUP('Données projet'!$B$10,Paramètres!$A$1:$I$89,3,0)*VLOOKUP('Données projet'!$B$10,Paramètres!$A$1:$I$89,5,0)</f>
        <v>0.21836063073731929</v>
      </c>
      <c r="AK4" s="13">
        <f>EXP(-1.0587+0.8836*LN(AJ4)+0.284)</f>
        <v>0.12012862656084218</v>
      </c>
      <c r="AL4" s="20">
        <f t="shared" ref="AL4:AL67" si="4">(AJ4+AK4)*0.475*44/12</f>
        <v>0.58953545646096461</v>
      </c>
      <c r="AM4" s="59">
        <f t="shared" ref="AM4:AM67" si="5">AL4+(AD4+AE4)*44/12</f>
        <v>168.4019694093848</v>
      </c>
      <c r="AN4" s="59">
        <f ca="1">AVERAGE(OFFSET($AM$3,0,0,'Données projet'!$E$10+1,1))-AVERAGE(OFFSET($H$3,0,0,'Données projet'!$E$10+1,1))</f>
        <v>112.82287576550925</v>
      </c>
      <c r="AO4" s="59">
        <f>$AO$3</f>
        <v>317.78570695363294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9.2179487179486999E-2</v>
      </c>
      <c r="BD4" s="12">
        <f>IF('Données projet'!$A$88&gt;35,BD3+BC4-BL3,IF(A4&lt;'Données projet'!$A$88,$BA$205^A4,IF(A4='Données projet'!$A$88,'Données projet'!$B$88,BD3+BC4-BL3)))</f>
        <v>0.42937043954955023</v>
      </c>
      <c r="BE4" s="13">
        <f>BD4*VLOOKUP('Données projet'!$B$11,Paramètres!$A$1:$I$89,3,0)*VLOOKUP('Données projet'!$B$11,Paramètres!$A$1:$I$89,5,0)</f>
        <v>0.21836063073731929</v>
      </c>
      <c r="BF4" s="13">
        <f>EXP(-1.0587+0.8836*LN(BE4)+0.284)</f>
        <v>0.12012862656084218</v>
      </c>
      <c r="BG4" s="20">
        <f t="shared" ref="BG4:BG67" si="7">(BE4+BF4)*0.475*44/12</f>
        <v>0.58953545646096461</v>
      </c>
      <c r="BH4" s="59">
        <f t="shared" ref="BH4:BH67" si="8">BG4+(AY4+AZ4)*44/12</f>
        <v>168.4019694093848</v>
      </c>
      <c r="BI4" s="59">
        <f ca="1">AVERAGE(OFFSET($BH$3,0,0,'Données projet'!$E$11+1,1))-AVERAGE(OFFSET($H$3,0,0,'Données projet'!$E$11+1,1))</f>
        <v>112.82287576550925</v>
      </c>
      <c r="BJ4" s="59">
        <f>$BJ$3</f>
        <v>317.78570695363294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9.2179487179486999E-2</v>
      </c>
      <c r="BY4" s="12">
        <f>IF('Données projet'!$A$114&gt;35,BY3+BX4-CG3,IF(A4&lt;'Données projet'!$A$114,$BV$205^A4,IF(A4='Données projet'!$A$114,'Données projet'!$B$114,BY3+BX4-CG3)))</f>
        <v>0.42937043954955023</v>
      </c>
      <c r="BZ4" s="13">
        <f>BY4*VLOOKUP('Données projet'!$B$12,Paramètres!$A$1:$I$89,3,0)*VLOOKUP('Données projet'!$B$12,Paramètres!$A$1:$I$89,5,0)</f>
        <v>0.21836063073731929</v>
      </c>
      <c r="CA4" s="13">
        <f>EXP(-1.0587+0.8836*LN(BZ4)+0.284)</f>
        <v>0.12012862656084218</v>
      </c>
      <c r="CB4" s="20">
        <f t="shared" ref="CB4:CB67" si="10">(BZ4+CA4)*0.475*44/12</f>
        <v>0.58953545646096461</v>
      </c>
      <c r="CC4" s="59">
        <f t="shared" ref="CC4:CC67" si="11">CB4+(BT4+BU4)*44/12</f>
        <v>168.4019694093848</v>
      </c>
      <c r="CD4" s="59">
        <f ca="1">AVERAGE(OFFSET($CC$3,0,0,'Données projet'!$E$12+1,1))-AVERAGE(OFFSET($H$3,0,0,'Données projet'!$E$12+1,1))</f>
        <v>112.82287576550925</v>
      </c>
      <c r="CE4" s="59">
        <f>$CE$3</f>
        <v>317.78570695363294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>
        <f>EXP(-LN(2)/35)*CK3+(1-EXP(-LN(2)/35))/(LN(2)/35)*CG4*CH4*VLOOKUP('Données projet'!$B$12,Paramètres!$A$1:$I$89,3,0)*0.475*44/12</f>
        <v>0</v>
      </c>
      <c r="CL4" s="21">
        <f>EXP(-LN(2)/25)*CL3+(1-EXP(-LN(2)/25))/(LN(2)/25)*Calculateur!CG4*Calculateur!CI4*VLOOKUP('Données projet'!$B$12,Paramètres!$A$1:$I$89,3,0)*0.475*44/12</f>
        <v>0</v>
      </c>
      <c r="CM4" s="21">
        <f>EXP(-LN(2)/2)*CM3+(1-EXP(-LN(2)/2))/(LN(2)/2)*CG4*CJ4*VLOOKUP('Données projet'!$B$12,Paramètres!$A$1:$I$89,3,0)*0.475*44/12</f>
        <v>0</v>
      </c>
      <c r="CN4" s="22">
        <f t="shared" ref="CN4:CN67" si="12">SUM(CK4:CM4)</f>
        <v>0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5">
      <c r="A5" s="10">
        <f t="shared" ref="A5:A68" si="31">A4+1</f>
        <v>2</v>
      </c>
      <c r="B5" s="73">
        <f>'Scénario référence'!$B$16*5+'Scénario référence'!$B$17*0+'Scénario référence'!$B$18*5</f>
        <v>5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1">
        <f t="shared" ref="D5:D68" si="32">IFERROR(EXP(-1.0587+0.8836*LN(C5)+0.284),0)</f>
        <v>0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" s="11">
        <f>IF(OR('Scénario référence'!$F$8&gt;0,'Scénario référence'!$F$9&gt;0),('Scénario référence'!$F$8+'Scénario référence'!$F$9)*10,0)</f>
        <v>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18.333333333333332</v>
      </c>
      <c r="H5" s="67">
        <f t="shared" si="1"/>
        <v>183.33333333333334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2">
        <f>VLOOKUP(A5,'Données projet'!$A$35:$I$55,2,0)</f>
        <v>0.184358974358974</v>
      </c>
      <c r="L5" s="12">
        <f>VLOOKUP(A5,'Données projet'!$A$35:$I$55,9,0)</f>
        <v>9.2179487179486999E-2</v>
      </c>
      <c r="M5" s="12">
        <f t="array" ref="M5">INDEX(L:L,MIN(IF(ISNUMBER(L5:L201),ROW(L5:L201),"")))</f>
        <v>9.2179487179486999E-2</v>
      </c>
      <c r="N5" s="13">
        <f>IF('Données projet'!$A$36&gt;35,N4+M5-V4,IF(A5&lt;'Données projet'!$A$36,$K$205^A5,IF(A5='Données projet'!$A$36,'Données projet'!$B$36,N4+M5-V4)))</f>
        <v>0.184358974358974</v>
      </c>
      <c r="O5" s="13">
        <f>N5*VLOOKUP('Données projet'!$B$9,Paramètres!$A$1:$I$89,3,0)*VLOOKUP('Données projet'!$B$9,Paramètres!$A$1:$I$89,5,0)</f>
        <v>9.375759999999983E-2</v>
      </c>
      <c r="P5" s="13">
        <f t="shared" ref="P5:P68" si="33">EXP(-1.0587+0.8836*LN(O5)+0.284)</f>
        <v>5.6913722520830795E-2</v>
      </c>
      <c r="Q5" s="20">
        <f t="shared" si="2"/>
        <v>0.26241922005711332</v>
      </c>
      <c r="R5" s="59">
        <f t="shared" si="0"/>
        <v>170.85970050755796</v>
      </c>
      <c r="S5" s="59">
        <f ca="1">AVERAGE(OFFSET($R$3,0,0,'Données projet'!$E$9+1,1))-AVERAGE(OFFSET($H$3,0,0,'Données projet'!$E$9+1,1))</f>
        <v>112.82287576550925</v>
      </c>
      <c r="T5" s="59">
        <f t="shared" ref="T5:T68" si="34">$T$3</f>
        <v>317.78570695363294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2">
        <f>VLOOKUP(A5,'Données projet'!$A$61:$I$81,2,0)</f>
        <v>0.184358974358974</v>
      </c>
      <c r="AG5" s="12">
        <f>VLOOKUP(A5,'Données projet'!$A$61:$I$81,9,0)</f>
        <v>9.2179487179486999E-2</v>
      </c>
      <c r="AH5" s="12">
        <f t="array" ref="AH5">INDEX(AG:AG,MIN(IF(ISNUMBER(AG5:AG201),ROW(AG5:AG201),"")))</f>
        <v>9.2179487179486999E-2</v>
      </c>
      <c r="AI5" s="13">
        <f>IF('Données projet'!$A$62&gt;35,AI4+AH5-AQ4,IF(A5&lt;'Données projet'!$A$62,$AF$205^A5,IF(A5='Données projet'!$A$62,'Données projet'!$B$62,AI4+AH5-AQ4)))</f>
        <v>0.184358974358974</v>
      </c>
      <c r="AJ5" s="13">
        <f>AI5*VLOOKUP('Données projet'!$B$10,Paramètres!$A$1:$I$89,3,0)*VLOOKUP('Données projet'!$B$10,Paramètres!$A$1:$I$89,5,0)</f>
        <v>9.375759999999983E-2</v>
      </c>
      <c r="AK5" s="13">
        <f t="shared" ref="AK5:AK68" si="35">EXP(-1.0587+0.8836*LN(AJ5)+0.284)</f>
        <v>5.6913722520830795E-2</v>
      </c>
      <c r="AL5" s="20">
        <f t="shared" si="4"/>
        <v>0.26241922005711332</v>
      </c>
      <c r="AM5" s="59">
        <f t="shared" si="5"/>
        <v>170.85970050755796</v>
      </c>
      <c r="AN5" s="59">
        <f ca="1">AVERAGE(OFFSET($AM$3,0,0,'Données projet'!$E$10+1,1))-AVERAGE(OFFSET($H$3,0,0,'Données projet'!$E$10+1,1))</f>
        <v>112.82287576550925</v>
      </c>
      <c r="AO5" s="59">
        <f t="shared" ref="AO5:AO68" si="36">$AO$3</f>
        <v>317.78570695363294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2">
        <f>VLOOKUP(A5,'Données projet'!$A$87:$I$107,2,0)</f>
        <v>0.184358974358974</v>
      </c>
      <c r="BB5" s="12">
        <f>VLOOKUP(A5,'Données projet'!$A$87:$I$107,9,0)</f>
        <v>9.2179487179486999E-2</v>
      </c>
      <c r="BC5" s="12">
        <f t="array" ref="BC5">INDEX(BB:BB,MIN(IF(ISNUMBER(BB5:BB201),ROW(BB5:BB201),"")))</f>
        <v>9.2179487179486999E-2</v>
      </c>
      <c r="BD5" s="12">
        <f>IF('Données projet'!$A$88&gt;35,BD4+BC5-BL4,IF(A5&lt;'Données projet'!$A$88,$BA$205^A5,IF(A5='Données projet'!$A$88,'Données projet'!$B$88,BD4+BC5-BL4)))</f>
        <v>0.184358974358974</v>
      </c>
      <c r="BE5" s="13">
        <f>BD5*VLOOKUP('Données projet'!$B$11,Paramètres!$A$1:$I$89,3,0)*VLOOKUP('Données projet'!$B$11,Paramètres!$A$1:$I$89,5,0)</f>
        <v>9.375759999999983E-2</v>
      </c>
      <c r="BF5" s="13">
        <f t="shared" ref="BF5:BF68" si="37">EXP(-1.0587+0.8836*LN(BE5)+0.284)</f>
        <v>5.6913722520830795E-2</v>
      </c>
      <c r="BG5" s="20">
        <f t="shared" si="7"/>
        <v>0.26241922005711332</v>
      </c>
      <c r="BH5" s="59">
        <f t="shared" si="8"/>
        <v>170.85970050755796</v>
      </c>
      <c r="BI5" s="59">
        <f ca="1">AVERAGE(OFFSET($BH$3,0,0,'Données projet'!$E$11+1,1))-AVERAGE(OFFSET($H$3,0,0,'Données projet'!$E$11+1,1))</f>
        <v>112.82287576550925</v>
      </c>
      <c r="BJ5" s="59">
        <f t="shared" ref="BJ5:BJ68" si="38">$BJ$3</f>
        <v>317.78570695363294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2">
        <f>VLOOKUP(A5,'Données projet'!$A$113:$I$133,2,0)</f>
        <v>0.184358974358974</v>
      </c>
      <c r="BW5" s="12">
        <f>VLOOKUP(A5,'Données projet'!$A$113:$I$133,9,0)</f>
        <v>9.2179487179486999E-2</v>
      </c>
      <c r="BX5" s="12">
        <f t="array" ref="BX5">INDEX(BW:BW,MIN(IF(ISNUMBER(BW5:BW201),ROW(BW5:BW201),"")))</f>
        <v>9.2179487179486999E-2</v>
      </c>
      <c r="BY5" s="12">
        <f>IF('Données projet'!$A$114&gt;35,BY4+BX5-CG4,IF(A5&lt;'Données projet'!$A$114,$BV$205^A5,IF(A5='Données projet'!$A$114,'Données projet'!$B$114,BY4+BX5-CG4)))</f>
        <v>0.184358974358974</v>
      </c>
      <c r="BZ5" s="13">
        <f>BY5*VLOOKUP('Données projet'!$B$12,Paramètres!$A$1:$I$89,3,0)*VLOOKUP('Données projet'!$B$12,Paramètres!$A$1:$I$89,5,0)</f>
        <v>9.375759999999983E-2</v>
      </c>
      <c r="CA5" s="13">
        <f t="shared" ref="CA5:CA68" si="39">EXP(-1.0587+0.8836*LN(BZ5)+0.284)</f>
        <v>5.6913722520830795E-2</v>
      </c>
      <c r="CB5" s="20">
        <f t="shared" si="10"/>
        <v>0.26241922005711332</v>
      </c>
      <c r="CC5" s="59">
        <f t="shared" si="11"/>
        <v>170.85970050755796</v>
      </c>
      <c r="CD5" s="59">
        <f ca="1">AVERAGE(OFFSET($CC$3,0,0,'Données projet'!$E$12+1,1))-AVERAGE(OFFSET($H$3,0,0,'Données projet'!$E$12+1,1))</f>
        <v>112.82287576550925</v>
      </c>
      <c r="CE5" s="59">
        <f t="shared" ref="CE5:CE68" si="40">$CE$3</f>
        <v>317.78570695363294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>
        <f>EXP(-LN(2)/35)*CK4+(1-EXP(-LN(2)/35))/(LN(2)/35)*CG5*CH5*VLOOKUP('Données projet'!$B$12,Paramètres!$A$1:$I$89,3,0)*0.475*44/12</f>
        <v>0</v>
      </c>
      <c r="CL5" s="21">
        <f>EXP(-LN(2)/25)*CL4+(1-EXP(-LN(2)/25))/(LN(2)/25)*Calculateur!CG5*Calculateur!CI5*VLOOKUP('Données projet'!$B$12,Paramètres!$A$1:$I$89,3,0)*0.475*44/12</f>
        <v>0</v>
      </c>
      <c r="CM5" s="21">
        <f>EXP(-LN(2)/2)*CM4+(1-EXP(-LN(2)/2))/(LN(2)/2)*CG5*CJ5*VLOOKUP('Données projet'!$B$12,Paramètres!$A$1:$I$89,3,0)*0.475*44/12</f>
        <v>0</v>
      </c>
      <c r="CN5" s="22">
        <f t="shared" si="12"/>
        <v>0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5">
      <c r="A6" s="10">
        <f t="shared" si="31"/>
        <v>3</v>
      </c>
      <c r="B6" s="73">
        <f>'Scénario référence'!$B$16*5+'Scénario référence'!$B$17*0+'Scénario référence'!$B$18*5</f>
        <v>5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1">
        <f t="shared" si="32"/>
        <v>0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" s="11">
        <f>IF(OR('Scénario référence'!$F$8&gt;0,'Scénario référence'!$F$9&gt;0),('Scénario référence'!$F$8+'Scénario référence'!$F$9)*10,0)</f>
        <v>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18.333333333333332</v>
      </c>
      <c r="H6" s="67">
        <f t="shared" si="1"/>
        <v>183.33333333333334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2">
        <f>VLOOKUP(A6,'Données projet'!$A$35:$I$55,2,0)</f>
        <v>2.31</v>
      </c>
      <c r="L6" s="12">
        <f>VLOOKUP(A6,'Données projet'!$A$35:$I$55,9,0)</f>
        <v>2.1256410256410261</v>
      </c>
      <c r="M6" s="12">
        <f t="array" ref="M6">INDEX(L:L,MIN(IF(ISNUMBER(L6:L202),ROW(L6:L202),"")))</f>
        <v>2.1256410256410261</v>
      </c>
      <c r="N6" s="13">
        <f>IF('Données projet'!$A$36&gt;35,N5+M6-V5,IF(A6&lt;'Données projet'!$A$36,$K$205^A6,IF(A6='Données projet'!$A$36,'Données projet'!$B$36,N5+M6-V5)))</f>
        <v>2.31</v>
      </c>
      <c r="O6" s="13">
        <f>N6*VLOOKUP('Données projet'!$B$9,Paramètres!$A$1:$I$89,3,0)*VLOOKUP('Données projet'!$B$9,Paramètres!$A$1:$I$89,5,0)</f>
        <v>1.1747736000000002</v>
      </c>
      <c r="P6" s="13">
        <f t="shared" si="33"/>
        <v>0.5313290690347211</v>
      </c>
      <c r="Q6" s="20">
        <f t="shared" si="2"/>
        <v>2.9714621485688064</v>
      </c>
      <c r="R6" s="59">
        <f t="shared" si="0"/>
        <v>176.32648271845369</v>
      </c>
      <c r="S6" s="59">
        <f ca="1">AVERAGE(OFFSET($R$3,0,0,'Données projet'!$E$9+1,1))-AVERAGE(OFFSET($H$3,0,0,'Données projet'!$E$9+1,1))</f>
        <v>112.82287576550925</v>
      </c>
      <c r="T6" s="59">
        <f t="shared" si="34"/>
        <v>317.78570695363294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2">
        <f>VLOOKUP(A6,'Données projet'!$A$61:$I$81,2,0)</f>
        <v>2.31</v>
      </c>
      <c r="AG6" s="12">
        <f>VLOOKUP(A6,'Données projet'!$A$61:$I$81,9,0)</f>
        <v>2.1256410256410261</v>
      </c>
      <c r="AH6" s="12">
        <f t="array" ref="AH6">INDEX(AG:AG,MIN(IF(ISNUMBER(AG6:AG202),ROW(AG6:AG202),"")))</f>
        <v>2.1256410256410261</v>
      </c>
      <c r="AI6" s="13">
        <f>IF('Données projet'!$A$62&gt;35,AI5+AH6-AQ5,IF(A6&lt;'Données projet'!$A$62,$AF$205^A6,IF(A6='Données projet'!$A$62,'Données projet'!$B$62,AI5+AH6-AQ5)))</f>
        <v>2.31</v>
      </c>
      <c r="AJ6" s="13">
        <f>AI6*VLOOKUP('Données projet'!$B$10,Paramètres!$A$1:$I$89,3,0)*VLOOKUP('Données projet'!$B$10,Paramètres!$A$1:$I$89,5,0)</f>
        <v>1.1747736000000002</v>
      </c>
      <c r="AK6" s="13">
        <f t="shared" si="35"/>
        <v>0.5313290690347211</v>
      </c>
      <c r="AL6" s="20">
        <f t="shared" si="4"/>
        <v>2.9714621485688064</v>
      </c>
      <c r="AM6" s="59">
        <f t="shared" si="5"/>
        <v>176.32648271845369</v>
      </c>
      <c r="AN6" s="59">
        <f ca="1">AVERAGE(OFFSET($AM$3,0,0,'Données projet'!$E$10+1,1))-AVERAGE(OFFSET($H$3,0,0,'Données projet'!$E$10+1,1))</f>
        <v>112.82287576550925</v>
      </c>
      <c r="AO6" s="59">
        <f t="shared" si="36"/>
        <v>317.78570695363294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2">
        <f>VLOOKUP(A6,'Données projet'!$A$87:$I$107,2,0)</f>
        <v>2.31</v>
      </c>
      <c r="BB6" s="12">
        <f>VLOOKUP(A6,'Données projet'!$A$87:$I$107,9,0)</f>
        <v>2.1256410256410261</v>
      </c>
      <c r="BC6" s="12">
        <f t="array" ref="BC6">INDEX(BB:BB,MIN(IF(ISNUMBER(BB6:BB202),ROW(BB6:BB202),"")))</f>
        <v>2.1256410256410261</v>
      </c>
      <c r="BD6" s="12">
        <f>IF('Données projet'!$A$88&gt;35,BD5+BC6-BL5,IF(A6&lt;'Données projet'!$A$88,$BA$205^A6,IF(A6='Données projet'!$A$88,'Données projet'!$B$88,BD5+BC6-BL5)))</f>
        <v>2.31</v>
      </c>
      <c r="BE6" s="13">
        <f>BD6*VLOOKUP('Données projet'!$B$11,Paramètres!$A$1:$I$89,3,0)*VLOOKUP('Données projet'!$B$11,Paramètres!$A$1:$I$89,5,0)</f>
        <v>1.1747736000000002</v>
      </c>
      <c r="BF6" s="13">
        <f t="shared" si="37"/>
        <v>0.5313290690347211</v>
      </c>
      <c r="BG6" s="20">
        <f t="shared" si="7"/>
        <v>2.9714621485688064</v>
      </c>
      <c r="BH6" s="59">
        <f t="shared" si="8"/>
        <v>176.32648271845369</v>
      </c>
      <c r="BI6" s="59">
        <f ca="1">AVERAGE(OFFSET($BH$3,0,0,'Données projet'!$E$11+1,1))-AVERAGE(OFFSET($H$3,0,0,'Données projet'!$E$11+1,1))</f>
        <v>112.82287576550925</v>
      </c>
      <c r="BJ6" s="59">
        <f t="shared" si="38"/>
        <v>317.78570695363294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2">
        <f>VLOOKUP(A6,'Données projet'!$A$113:$I$133,2,0)</f>
        <v>2.31</v>
      </c>
      <c r="BW6" s="12">
        <f>VLOOKUP(A6,'Données projet'!$A$113:$I$133,9,0)</f>
        <v>2.1256410256410261</v>
      </c>
      <c r="BX6" s="12">
        <f t="array" ref="BX6">INDEX(BW:BW,MIN(IF(ISNUMBER(BW6:BW202),ROW(BW6:BW202),"")))</f>
        <v>2.1256410256410261</v>
      </c>
      <c r="BY6" s="12">
        <f>IF('Données projet'!$A$114&gt;35,BY5+BX6-CG5,IF(A6&lt;'Données projet'!$A$114,$BV$205^A6,IF(A6='Données projet'!$A$114,'Données projet'!$B$114,BY5+BX6-CG5)))</f>
        <v>2.31</v>
      </c>
      <c r="BZ6" s="13">
        <f>BY6*VLOOKUP('Données projet'!$B$12,Paramètres!$A$1:$I$89,3,0)*VLOOKUP('Données projet'!$B$12,Paramètres!$A$1:$I$89,5,0)</f>
        <v>1.1747736000000002</v>
      </c>
      <c r="CA6" s="13">
        <f t="shared" si="39"/>
        <v>0.5313290690347211</v>
      </c>
      <c r="CB6" s="20">
        <f t="shared" si="10"/>
        <v>2.9714621485688064</v>
      </c>
      <c r="CC6" s="59">
        <f t="shared" si="11"/>
        <v>176.32648271845369</v>
      </c>
      <c r="CD6" s="59">
        <f ca="1">AVERAGE(OFFSET($CC$3,0,0,'Données projet'!$E$12+1,1))-AVERAGE(OFFSET($H$3,0,0,'Données projet'!$E$12+1,1))</f>
        <v>112.82287576550925</v>
      </c>
      <c r="CE6" s="59">
        <f t="shared" si="40"/>
        <v>317.78570695363294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>
        <f>EXP(-LN(2)/35)*CK5+(1-EXP(-LN(2)/35))/(LN(2)/35)*CG6*CH6*VLOOKUP('Données projet'!$B$12,Paramètres!$A$1:$I$89,3,0)*0.475*44/12</f>
        <v>0</v>
      </c>
      <c r="CL6" s="21">
        <f>EXP(-LN(2)/25)*CL5+(1-EXP(-LN(2)/25))/(LN(2)/25)*Calculateur!CG6*Calculateur!CI6*VLOOKUP('Données projet'!$B$12,Paramètres!$A$1:$I$89,3,0)*0.475*44/12</f>
        <v>0</v>
      </c>
      <c r="CM6" s="21">
        <f>EXP(-LN(2)/2)*CM5+(1-EXP(-LN(2)/2))/(LN(2)/2)*CG6*CJ6*VLOOKUP('Données projet'!$B$12,Paramètres!$A$1:$I$89,3,0)*0.475*44/12</f>
        <v>0</v>
      </c>
      <c r="CN6" s="22">
        <f t="shared" si="12"/>
        <v>0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5">
      <c r="A7" s="10">
        <f t="shared" si="31"/>
        <v>4</v>
      </c>
      <c r="B7" s="73">
        <f>'Scénario référence'!$B$16*5+'Scénario référence'!$B$17*0+'Scénario référence'!$B$18*5</f>
        <v>5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1">
        <f t="shared" si="32"/>
        <v>0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" s="11">
        <f>IF(OR('Scénario référence'!$F$8&gt;0,'Scénario référence'!$F$9&gt;0),('Scénario référence'!$F$8+'Scénario référence'!$F$9)*10,0)</f>
        <v>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18.333333333333332</v>
      </c>
      <c r="H7" s="67">
        <f t="shared" si="1"/>
        <v>183.33333333333334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2">
        <f>VLOOKUP(A7,'Données projet'!$A$35:$I$55,2,0)</f>
        <v>6.6838461538461518</v>
      </c>
      <c r="L7" s="12">
        <f>VLOOKUP(A7,'Données projet'!$A$35:$I$55,9,0)</f>
        <v>4.3738461538461522</v>
      </c>
      <c r="M7" s="12">
        <f t="array" ref="M7">INDEX(L:L,MIN(IF(ISNUMBER(L7:L203),ROW(L7:L203),"")))</f>
        <v>4.3738461538461522</v>
      </c>
      <c r="N7" s="13">
        <f>IF('Données projet'!$A$36&gt;35,N6+M7-V6,IF(A7&lt;'Données projet'!$A$36,$K$205^A7,IF(A7='Données projet'!$A$36,'Données projet'!$B$36,N6+M7-V6)))</f>
        <v>6.6838461538461527</v>
      </c>
      <c r="O7" s="13">
        <f>N7*VLOOKUP('Données projet'!$B$9,Paramètres!$A$1:$I$89,3,0)*VLOOKUP('Données projet'!$B$9,Paramètres!$A$1:$I$89,5,0)</f>
        <v>3.3991367999999995</v>
      </c>
      <c r="P7" s="13">
        <f t="shared" si="33"/>
        <v>1.3585305157418814</v>
      </c>
      <c r="Q7" s="20">
        <f t="shared" si="2"/>
        <v>8.2862705749171095</v>
      </c>
      <c r="R7" s="59">
        <f t="shared" si="0"/>
        <v>184.37239263909404</v>
      </c>
      <c r="S7" s="59">
        <f ca="1">AVERAGE(OFFSET($R$3,0,0,'Données projet'!$E$9+1,1))-AVERAGE(OFFSET($H$3,0,0,'Données projet'!$E$9+1,1))</f>
        <v>112.82287576550925</v>
      </c>
      <c r="T7" s="59">
        <f t="shared" si="34"/>
        <v>317.78570695363294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2">
        <f>VLOOKUP(A7,'Données projet'!$A$61:$I$81,2,0)</f>
        <v>6.6838461538461518</v>
      </c>
      <c r="AG7" s="12">
        <f>VLOOKUP(A7,'Données projet'!$A$61:$I$81,9,0)</f>
        <v>4.3738461538461522</v>
      </c>
      <c r="AH7" s="12">
        <f t="array" ref="AH7">INDEX(AG:AG,MIN(IF(ISNUMBER(AG7:AG203),ROW(AG7:AG203),"")))</f>
        <v>4.3738461538461522</v>
      </c>
      <c r="AI7" s="13">
        <f>IF('Données projet'!$A$62&gt;35,AI6+AH7-AQ6,IF(A7&lt;'Données projet'!$A$62,$AF$205^A7,IF(A7='Données projet'!$A$62,'Données projet'!$B$62,AI6+AH7-AQ6)))</f>
        <v>6.6838461538461527</v>
      </c>
      <c r="AJ7" s="13">
        <f>AI7*VLOOKUP('Données projet'!$B$10,Paramètres!$A$1:$I$89,3,0)*VLOOKUP('Données projet'!$B$10,Paramètres!$A$1:$I$89,5,0)</f>
        <v>3.3991367999999995</v>
      </c>
      <c r="AK7" s="13">
        <f t="shared" si="35"/>
        <v>1.3585305157418814</v>
      </c>
      <c r="AL7" s="20">
        <f t="shared" si="4"/>
        <v>8.2862705749171095</v>
      </c>
      <c r="AM7" s="59">
        <f t="shared" si="5"/>
        <v>184.37239263909404</v>
      </c>
      <c r="AN7" s="59">
        <f ca="1">AVERAGE(OFFSET($AM$3,0,0,'Données projet'!$E$10+1,1))-AVERAGE(OFFSET($H$3,0,0,'Données projet'!$E$10+1,1))</f>
        <v>112.82287576550925</v>
      </c>
      <c r="AO7" s="59">
        <f t="shared" si="36"/>
        <v>317.78570695363294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2">
        <f>VLOOKUP(A7,'Données projet'!$A$87:$I$107,2,0)</f>
        <v>6.6838461538461518</v>
      </c>
      <c r="BB7" s="12">
        <f>VLOOKUP(A7,'Données projet'!$A$87:$I$107,9,0)</f>
        <v>4.3738461538461522</v>
      </c>
      <c r="BC7" s="12">
        <f t="array" ref="BC7">INDEX(BB:BB,MIN(IF(ISNUMBER(BB7:BB203),ROW(BB7:BB203),"")))</f>
        <v>4.3738461538461522</v>
      </c>
      <c r="BD7" s="12">
        <f>IF('Données projet'!$A$88&gt;35,BD6+BC7-BL6,IF(A7&lt;'Données projet'!$A$88,$BA$205^A7,IF(A7='Données projet'!$A$88,'Données projet'!$B$88,BD6+BC7-BL6)))</f>
        <v>6.6838461538461527</v>
      </c>
      <c r="BE7" s="13">
        <f>BD7*VLOOKUP('Données projet'!$B$11,Paramètres!$A$1:$I$89,3,0)*VLOOKUP('Données projet'!$B$11,Paramètres!$A$1:$I$89,5,0)</f>
        <v>3.3991367999999995</v>
      </c>
      <c r="BF7" s="13">
        <f t="shared" si="37"/>
        <v>1.3585305157418814</v>
      </c>
      <c r="BG7" s="20">
        <f t="shared" si="7"/>
        <v>8.2862705749171095</v>
      </c>
      <c r="BH7" s="59">
        <f t="shared" si="8"/>
        <v>184.37239263909404</v>
      </c>
      <c r="BI7" s="59">
        <f ca="1">AVERAGE(OFFSET($BH$3,0,0,'Données projet'!$E$11+1,1))-AVERAGE(OFFSET($H$3,0,0,'Données projet'!$E$11+1,1))</f>
        <v>112.82287576550925</v>
      </c>
      <c r="BJ7" s="59">
        <f t="shared" si="38"/>
        <v>317.78570695363294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2">
        <f>VLOOKUP(A7,'Données projet'!$A$113:$I$133,2,0)</f>
        <v>6.6838461538461518</v>
      </c>
      <c r="BW7" s="12">
        <f>VLOOKUP(A7,'Données projet'!$A$113:$I$133,9,0)</f>
        <v>4.3738461538461522</v>
      </c>
      <c r="BX7" s="12">
        <f t="array" ref="BX7">INDEX(BW:BW,MIN(IF(ISNUMBER(BW7:BW203),ROW(BW7:BW203),"")))</f>
        <v>4.3738461538461522</v>
      </c>
      <c r="BY7" s="12">
        <f>IF('Données projet'!$A$114&gt;35,BY6+BX7-CG6,IF(A7&lt;'Données projet'!$A$114,$BV$205^A7,IF(A7='Données projet'!$A$114,'Données projet'!$B$114,BY6+BX7-CG6)))</f>
        <v>6.6838461538461527</v>
      </c>
      <c r="BZ7" s="13">
        <f>BY7*VLOOKUP('Données projet'!$B$12,Paramètres!$A$1:$I$89,3,0)*VLOOKUP('Données projet'!$B$12,Paramètres!$A$1:$I$89,5,0)</f>
        <v>3.3991367999999995</v>
      </c>
      <c r="CA7" s="13">
        <f t="shared" si="39"/>
        <v>1.3585305157418814</v>
      </c>
      <c r="CB7" s="20">
        <f t="shared" si="10"/>
        <v>8.2862705749171095</v>
      </c>
      <c r="CC7" s="59">
        <f t="shared" si="11"/>
        <v>184.37239263909404</v>
      </c>
      <c r="CD7" s="59">
        <f ca="1">AVERAGE(OFFSET($CC$3,0,0,'Données projet'!$E$12+1,1))-AVERAGE(OFFSET($H$3,0,0,'Données projet'!$E$12+1,1))</f>
        <v>112.82287576550925</v>
      </c>
      <c r="CE7" s="59">
        <f t="shared" si="40"/>
        <v>317.78570695363294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>
        <f>EXP(-LN(2)/35)*CK6+(1-EXP(-LN(2)/35))/(LN(2)/35)*CG7*CH7*VLOOKUP('Données projet'!$B$12,Paramètres!$A$1:$I$89,3,0)*0.475*44/12</f>
        <v>0</v>
      </c>
      <c r="CL7" s="21">
        <f>EXP(-LN(2)/25)*CL6+(1-EXP(-LN(2)/25))/(LN(2)/25)*Calculateur!CG7*Calculateur!CI7*VLOOKUP('Données projet'!$B$12,Paramètres!$A$1:$I$89,3,0)*0.475*44/12</f>
        <v>0</v>
      </c>
      <c r="CM7" s="21">
        <f>EXP(-LN(2)/2)*CM6+(1-EXP(-LN(2)/2))/(LN(2)/2)*CG7*CJ7*VLOOKUP('Données projet'!$B$12,Paramètres!$A$1:$I$89,3,0)*0.475*44/12</f>
        <v>0</v>
      </c>
      <c r="CN7" s="22">
        <f t="shared" si="12"/>
        <v>0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5">
      <c r="A8" s="10">
        <f t="shared" si="31"/>
        <v>5</v>
      </c>
      <c r="B8" s="73">
        <f>'Scénario référence'!$B$16*5+'Scénario référence'!$B$17*0+'Scénario référence'!$B$18*5</f>
        <v>5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1">
        <f t="shared" si="32"/>
        <v>0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" s="11">
        <f>IF(OR('Scénario référence'!$F$8&gt;0,'Scénario référence'!$F$9&gt;0),('Scénario référence'!$F$8+'Scénario référence'!$F$9)*10,0)</f>
        <v>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18.333333333333332</v>
      </c>
      <c r="H8" s="67">
        <f t="shared" si="1"/>
        <v>183.33333333333334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2">
        <f>VLOOKUP(A8,'Données projet'!$A$35:$I$55,2,0)</f>
        <v>13.14935897435897</v>
      </c>
      <c r="L8" s="12">
        <f>VLOOKUP(A8,'Données projet'!$A$35:$I$55,9,0)</f>
        <v>6.4655128205128181</v>
      </c>
      <c r="M8" s="12">
        <f t="array" ref="M8">INDEX(L:L,MIN(IF(ISNUMBER(L8:L204),ROW(L8:L204),"")))</f>
        <v>6.4655128205128181</v>
      </c>
      <c r="N8" s="13">
        <f>IF('Données projet'!$A$36&gt;35,N7+M8-V7,IF(A8&lt;'Données projet'!$A$36,$K$205^A8,IF(A8='Données projet'!$A$36,'Données projet'!$B$36,N7+M8-V7)))</f>
        <v>13.149358974358972</v>
      </c>
      <c r="O8" s="13">
        <f>N8*VLOOKUP('Données projet'!$B$9,Paramètres!$A$1:$I$89,3,0)*VLOOKUP('Données projet'!$B$9,Paramètres!$A$1:$I$89,5,0)</f>
        <v>6.6872379999999989</v>
      </c>
      <c r="P8" s="13">
        <f t="shared" si="33"/>
        <v>2.4702455167163944</v>
      </c>
      <c r="Q8" s="20">
        <f t="shared" si="2"/>
        <v>15.949283791614382</v>
      </c>
      <c r="R8" s="59">
        <f t="shared" si="0"/>
        <v>194.74033166806174</v>
      </c>
      <c r="S8" s="59">
        <f ca="1">AVERAGE(OFFSET($R$3,0,0,'Données projet'!$E$9+1,1))-AVERAGE(OFFSET($H$3,0,0,'Données projet'!$E$9+1,1))</f>
        <v>112.82287576550925</v>
      </c>
      <c r="T8" s="59">
        <f t="shared" si="34"/>
        <v>317.78570695363294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2">
        <f>VLOOKUP(A8,'Données projet'!$A$61:$I$81,2,0)</f>
        <v>13.14935897435897</v>
      </c>
      <c r="AG8" s="12">
        <f>VLOOKUP(A8,'Données projet'!$A$61:$I$81,9,0)</f>
        <v>6.4655128205128181</v>
      </c>
      <c r="AH8" s="12">
        <f t="array" ref="AH8">INDEX(AG:AG,MIN(IF(ISNUMBER(AG8:AG204),ROW(AG8:AG204),"")))</f>
        <v>6.4655128205128181</v>
      </c>
      <c r="AI8" s="13">
        <f>IF('Données projet'!$A$62&gt;35,AI7+AH8-AQ7,IF(A8&lt;'Données projet'!$A$62,$AF$205^A8,IF(A8='Données projet'!$A$62,'Données projet'!$B$62,AI7+AH8-AQ7)))</f>
        <v>13.149358974358972</v>
      </c>
      <c r="AJ8" s="13">
        <f>AI8*VLOOKUP('Données projet'!$B$10,Paramètres!$A$1:$I$89,3,0)*VLOOKUP('Données projet'!$B$10,Paramètres!$A$1:$I$89,5,0)</f>
        <v>6.6872379999999989</v>
      </c>
      <c r="AK8" s="13">
        <f t="shared" si="35"/>
        <v>2.4702455167163944</v>
      </c>
      <c r="AL8" s="20">
        <f t="shared" si="4"/>
        <v>15.949283791614382</v>
      </c>
      <c r="AM8" s="59">
        <f t="shared" si="5"/>
        <v>194.74033166806174</v>
      </c>
      <c r="AN8" s="59">
        <f ca="1">AVERAGE(OFFSET($AM$3,0,0,'Données projet'!$E$10+1,1))-AVERAGE(OFFSET($H$3,0,0,'Données projet'!$E$10+1,1))</f>
        <v>112.82287576550925</v>
      </c>
      <c r="AO8" s="59">
        <f t="shared" si="36"/>
        <v>317.78570695363294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2">
        <f>VLOOKUP(A8,'Données projet'!$A$87:$I$107,2,0)</f>
        <v>13.14935897435897</v>
      </c>
      <c r="BB8" s="12">
        <f>VLOOKUP(A8,'Données projet'!$A$87:$I$107,9,0)</f>
        <v>6.4655128205128181</v>
      </c>
      <c r="BC8" s="12">
        <f t="array" ref="BC8">INDEX(BB:BB,MIN(IF(ISNUMBER(BB8:BB204),ROW(BB8:BB204),"")))</f>
        <v>6.4655128205128181</v>
      </c>
      <c r="BD8" s="12">
        <f>IF('Données projet'!$A$88&gt;35,BD7+BC8-BL7,IF(A8&lt;'Données projet'!$A$88,$BA$205^A8,IF(A8='Données projet'!$A$88,'Données projet'!$B$88,BD7+BC8-BL7)))</f>
        <v>13.149358974358972</v>
      </c>
      <c r="BE8" s="13">
        <f>BD8*VLOOKUP('Données projet'!$B$11,Paramètres!$A$1:$I$89,3,0)*VLOOKUP('Données projet'!$B$11,Paramètres!$A$1:$I$89,5,0)</f>
        <v>6.6872379999999989</v>
      </c>
      <c r="BF8" s="13">
        <f t="shared" si="37"/>
        <v>2.4702455167163944</v>
      </c>
      <c r="BG8" s="20">
        <f t="shared" si="7"/>
        <v>15.949283791614382</v>
      </c>
      <c r="BH8" s="59">
        <f t="shared" si="8"/>
        <v>194.74033166806174</v>
      </c>
      <c r="BI8" s="59">
        <f ca="1">AVERAGE(OFFSET($BH$3,0,0,'Données projet'!$E$11+1,1))-AVERAGE(OFFSET($H$3,0,0,'Données projet'!$E$11+1,1))</f>
        <v>112.82287576550925</v>
      </c>
      <c r="BJ8" s="59">
        <f t="shared" si="38"/>
        <v>317.78570695363294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2">
        <f>VLOOKUP(A8,'Données projet'!$A$113:$I$133,2,0)</f>
        <v>13.14935897435897</v>
      </c>
      <c r="BW8" s="12">
        <f>VLOOKUP(A8,'Données projet'!$A$113:$I$133,9,0)</f>
        <v>6.4655128205128181</v>
      </c>
      <c r="BX8" s="12">
        <f t="array" ref="BX8">INDEX(BW:BW,MIN(IF(ISNUMBER(BW8:BW204),ROW(BW8:BW204),"")))</f>
        <v>6.4655128205128181</v>
      </c>
      <c r="BY8" s="12">
        <f>IF('Données projet'!$A$114&gt;35,BY7+BX8-CG7,IF(A8&lt;'Données projet'!$A$114,$BV$205^A8,IF(A8='Données projet'!$A$114,'Données projet'!$B$114,BY7+BX8-CG7)))</f>
        <v>13.149358974358972</v>
      </c>
      <c r="BZ8" s="13">
        <f>BY8*VLOOKUP('Données projet'!$B$12,Paramètres!$A$1:$I$89,3,0)*VLOOKUP('Données projet'!$B$12,Paramètres!$A$1:$I$89,5,0)</f>
        <v>6.6872379999999989</v>
      </c>
      <c r="CA8" s="13">
        <f t="shared" si="39"/>
        <v>2.4702455167163944</v>
      </c>
      <c r="CB8" s="20">
        <f t="shared" si="10"/>
        <v>15.949283791614382</v>
      </c>
      <c r="CC8" s="59">
        <f t="shared" si="11"/>
        <v>194.74033166806174</v>
      </c>
      <c r="CD8" s="59">
        <f ca="1">AVERAGE(OFFSET($CC$3,0,0,'Données projet'!$E$12+1,1))-AVERAGE(OFFSET($H$3,0,0,'Données projet'!$E$12+1,1))</f>
        <v>112.82287576550925</v>
      </c>
      <c r="CE8" s="59">
        <f t="shared" si="40"/>
        <v>317.78570695363294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>
        <f>EXP(-LN(2)/35)*CK7+(1-EXP(-LN(2)/35))/(LN(2)/35)*CG8*CH8*VLOOKUP('Données projet'!$B$12,Paramètres!$A$1:$I$89,3,0)*0.475*44/12</f>
        <v>0</v>
      </c>
      <c r="CL8" s="21">
        <f>EXP(-LN(2)/25)*CL7+(1-EXP(-LN(2)/25))/(LN(2)/25)*Calculateur!CG8*Calculateur!CI8*VLOOKUP('Données projet'!$B$12,Paramètres!$A$1:$I$89,3,0)*0.475*44/12</f>
        <v>0</v>
      </c>
      <c r="CM8" s="21">
        <f>EXP(-LN(2)/2)*CM7+(1-EXP(-LN(2)/2))/(LN(2)/2)*CG8*CJ8*VLOOKUP('Données projet'!$B$12,Paramètres!$A$1:$I$89,3,0)*0.475*44/12</f>
        <v>0</v>
      </c>
      <c r="CN8" s="22">
        <f t="shared" si="12"/>
        <v>0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5">
      <c r="A9" s="10">
        <f t="shared" si="31"/>
        <v>6</v>
      </c>
      <c r="B9" s="73">
        <f>'Scénario référence'!$B$16*5+'Scénario référence'!$B$17*0+'Scénario référence'!$B$18*5</f>
        <v>5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1">
        <f t="shared" si="32"/>
        <v>0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" s="11">
        <f>IF(OR('Scénario référence'!$F$8&gt;0,'Scénario référence'!$F$9&gt;0),('Scénario référence'!$F$8+'Scénario référence'!$F$9)*10,0)</f>
        <v>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18.333333333333332</v>
      </c>
      <c r="H9" s="67">
        <f t="shared" si="1"/>
        <v>183.33333333333334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2">
        <f>VLOOKUP(A9,'Données projet'!$A$35:$I$55,2,0)</f>
        <v>21.55</v>
      </c>
      <c r="L9" s="12">
        <f>VLOOKUP(A9,'Données projet'!$A$35:$I$55,9,0)</f>
        <v>8.4006410256410309</v>
      </c>
      <c r="M9" s="12">
        <f t="array" ref="M9">INDEX(L:L,MIN(IF(ISNUMBER(L9:L205),ROW(L9:L205),"")))</f>
        <v>8.4006410256410309</v>
      </c>
      <c r="N9" s="13">
        <f>IF('Données projet'!$A$36&gt;35,N8+M9-V8,IF(A9&lt;'Données projet'!$A$36,$K$205^A9,IF(A9='Données projet'!$A$36,'Données projet'!$B$36,N8+M9-V8)))</f>
        <v>21.550000000000004</v>
      </c>
      <c r="O9" s="13">
        <f>N9*VLOOKUP('Données projet'!$B$9,Paramètres!$A$1:$I$89,3,0)*VLOOKUP('Données projet'!$B$9,Paramètres!$A$1:$I$89,5,0)</f>
        <v>10.959468000000003</v>
      </c>
      <c r="P9" s="13">
        <f t="shared" si="33"/>
        <v>3.8221703848080173</v>
      </c>
      <c r="Q9" s="20">
        <f t="shared" si="2"/>
        <v>25.744686853540632</v>
      </c>
      <c r="R9" s="59">
        <f t="shared" si="0"/>
        <v>207.2149389497996</v>
      </c>
      <c r="S9" s="59">
        <f ca="1">AVERAGE(OFFSET($R$3,0,0,'Données projet'!$E$9+1,1))-AVERAGE(OFFSET($H$3,0,0,'Données projet'!$E$9+1,1))</f>
        <v>112.82287576550925</v>
      </c>
      <c r="T9" s="59">
        <f t="shared" si="34"/>
        <v>317.78570695363294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2">
        <f>VLOOKUP(A9,'Données projet'!$A$61:$I$81,2,0)</f>
        <v>21.55</v>
      </c>
      <c r="AG9" s="12">
        <f>VLOOKUP(A9,'Données projet'!$A$61:$I$81,9,0)</f>
        <v>8.4006410256410309</v>
      </c>
      <c r="AH9" s="12">
        <f t="array" ref="AH9">INDEX(AG:AG,MIN(IF(ISNUMBER(AG9:AG205),ROW(AG9:AG205),"")))</f>
        <v>8.4006410256410309</v>
      </c>
      <c r="AI9" s="13">
        <f>IF('Données projet'!$A$62&gt;35,AI8+AH9-AQ8,IF(A9&lt;'Données projet'!$A$62,$AF$205^A9,IF(A9='Données projet'!$A$62,'Données projet'!$B$62,AI8+AH9-AQ8)))</f>
        <v>21.550000000000004</v>
      </c>
      <c r="AJ9" s="13">
        <f>AI9*VLOOKUP('Données projet'!$B$10,Paramètres!$A$1:$I$89,3,0)*VLOOKUP('Données projet'!$B$10,Paramètres!$A$1:$I$89,5,0)</f>
        <v>10.959468000000003</v>
      </c>
      <c r="AK9" s="13">
        <f t="shared" si="35"/>
        <v>3.8221703848080173</v>
      </c>
      <c r="AL9" s="20">
        <f t="shared" si="4"/>
        <v>25.744686853540632</v>
      </c>
      <c r="AM9" s="59">
        <f t="shared" si="5"/>
        <v>207.2149389497996</v>
      </c>
      <c r="AN9" s="59">
        <f ca="1">AVERAGE(OFFSET($AM$3,0,0,'Données projet'!$E$10+1,1))-AVERAGE(OFFSET($H$3,0,0,'Données projet'!$E$10+1,1))</f>
        <v>112.82287576550925</v>
      </c>
      <c r="AO9" s="59">
        <f t="shared" si="36"/>
        <v>317.78570695363294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2">
        <f>VLOOKUP(A9,'Données projet'!$A$87:$I$107,2,0)</f>
        <v>21.55</v>
      </c>
      <c r="BB9" s="12">
        <f>VLOOKUP(A9,'Données projet'!$A$87:$I$107,9,0)</f>
        <v>8.4006410256410309</v>
      </c>
      <c r="BC9" s="12">
        <f t="array" ref="BC9">INDEX(BB:BB,MIN(IF(ISNUMBER(BB9:BB205),ROW(BB9:BB205),"")))</f>
        <v>8.4006410256410309</v>
      </c>
      <c r="BD9" s="12">
        <f>IF('Données projet'!$A$88&gt;35,BD8+BC9-BL8,IF(A9&lt;'Données projet'!$A$88,$BA$205^A9,IF(A9='Données projet'!$A$88,'Données projet'!$B$88,BD8+BC9-BL8)))</f>
        <v>21.550000000000004</v>
      </c>
      <c r="BE9" s="13">
        <f>BD9*VLOOKUP('Données projet'!$B$11,Paramètres!$A$1:$I$89,3,0)*VLOOKUP('Données projet'!$B$11,Paramètres!$A$1:$I$89,5,0)</f>
        <v>10.959468000000003</v>
      </c>
      <c r="BF9" s="13">
        <f t="shared" si="37"/>
        <v>3.8221703848080173</v>
      </c>
      <c r="BG9" s="20">
        <f t="shared" si="7"/>
        <v>25.744686853540632</v>
      </c>
      <c r="BH9" s="59">
        <f t="shared" si="8"/>
        <v>207.2149389497996</v>
      </c>
      <c r="BI9" s="59">
        <f ca="1">AVERAGE(OFFSET($BH$3,0,0,'Données projet'!$E$11+1,1))-AVERAGE(OFFSET($H$3,0,0,'Données projet'!$E$11+1,1))</f>
        <v>112.82287576550925</v>
      </c>
      <c r="BJ9" s="59">
        <f t="shared" si="38"/>
        <v>317.78570695363294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2">
        <f>VLOOKUP(A9,'Données projet'!$A$113:$I$133,2,0)</f>
        <v>21.55</v>
      </c>
      <c r="BW9" s="12">
        <f>VLOOKUP(A9,'Données projet'!$A$113:$I$133,9,0)</f>
        <v>8.4006410256410309</v>
      </c>
      <c r="BX9" s="12">
        <f t="array" ref="BX9">INDEX(BW:BW,MIN(IF(ISNUMBER(BW9:BW205),ROW(BW9:BW205),"")))</f>
        <v>8.4006410256410309</v>
      </c>
      <c r="BY9" s="12">
        <f>IF('Données projet'!$A$114&gt;35,BY8+BX9-CG8,IF(A9&lt;'Données projet'!$A$114,$BV$205^A9,IF(A9='Données projet'!$A$114,'Données projet'!$B$114,BY8+BX9-CG8)))</f>
        <v>21.550000000000004</v>
      </c>
      <c r="BZ9" s="13">
        <f>BY9*VLOOKUP('Données projet'!$B$12,Paramètres!$A$1:$I$89,3,0)*VLOOKUP('Données projet'!$B$12,Paramètres!$A$1:$I$89,5,0)</f>
        <v>10.959468000000003</v>
      </c>
      <c r="CA9" s="13">
        <f t="shared" si="39"/>
        <v>3.8221703848080173</v>
      </c>
      <c r="CB9" s="20">
        <f t="shared" si="10"/>
        <v>25.744686853540632</v>
      </c>
      <c r="CC9" s="59">
        <f t="shared" si="11"/>
        <v>207.2149389497996</v>
      </c>
      <c r="CD9" s="59">
        <f ca="1">AVERAGE(OFFSET($CC$3,0,0,'Données projet'!$E$12+1,1))-AVERAGE(OFFSET($H$3,0,0,'Données projet'!$E$12+1,1))</f>
        <v>112.82287576550925</v>
      </c>
      <c r="CE9" s="59">
        <f t="shared" si="40"/>
        <v>317.78570695363294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>
        <f>EXP(-LN(2)/35)*CK8+(1-EXP(-LN(2)/35))/(LN(2)/35)*CG9*CH9*VLOOKUP('Données projet'!$B$12,Paramètres!$A$1:$I$89,3,0)*0.475*44/12</f>
        <v>0</v>
      </c>
      <c r="CL9" s="21">
        <f>EXP(-LN(2)/25)*CL8+(1-EXP(-LN(2)/25))/(LN(2)/25)*Calculateur!CG9*Calculateur!CI9*VLOOKUP('Données projet'!$B$12,Paramètres!$A$1:$I$89,3,0)*0.475*44/12</f>
        <v>0</v>
      </c>
      <c r="CM9" s="21">
        <f>EXP(-LN(2)/2)*CM8+(1-EXP(-LN(2)/2))/(LN(2)/2)*CG9*CJ9*VLOOKUP('Données projet'!$B$12,Paramètres!$A$1:$I$89,3,0)*0.475*44/12</f>
        <v>0</v>
      </c>
      <c r="CN9" s="22">
        <f t="shared" si="12"/>
        <v>0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5">
      <c r="A10" s="10">
        <f t="shared" si="31"/>
        <v>7</v>
      </c>
      <c r="B10" s="73">
        <f>'Scénario référence'!$B$16*5+'Scénario référence'!$B$17*0+'Scénario référence'!$B$18*5</f>
        <v>5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1">
        <f t="shared" si="32"/>
        <v>0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" s="11">
        <f>IF(OR('Scénario référence'!$F$8&gt;0,'Scénario référence'!$F$9&gt;0),('Scénario référence'!$F$8+'Scénario référence'!$F$9)*10,0)</f>
        <v>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18.333333333333332</v>
      </c>
      <c r="H10" s="67">
        <f t="shared" si="1"/>
        <v>183.33333333333334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2">
        <f>VLOOKUP(A10,'Données projet'!$A$35:$I$55,2,0)</f>
        <v>31.72923076923076</v>
      </c>
      <c r="L10" s="12">
        <f>VLOOKUP(A10,'Données projet'!$A$35:$I$55,9,0)</f>
        <v>10.17923076923076</v>
      </c>
      <c r="M10" s="12">
        <f t="array" ref="M10">INDEX(L:L,MIN(IF(ISNUMBER(L10:L206),ROW(L10:L206),"")))</f>
        <v>10.17923076923076</v>
      </c>
      <c r="N10" s="13">
        <f>IF('Données projet'!$A$36&gt;35,N9+M10-V9,IF(A10&lt;'Données projet'!$A$36,$K$205^A10,IF(A10='Données projet'!$A$36,'Données projet'!$B$36,N9+M10-V9)))</f>
        <v>31.729230769230764</v>
      </c>
      <c r="O10" s="13">
        <f>N10*VLOOKUP('Données projet'!$B$9,Paramètres!$A$1:$I$89,3,0)*VLOOKUP('Données projet'!$B$9,Paramètres!$A$1:$I$89,5,0)</f>
        <v>16.136217599999998</v>
      </c>
      <c r="P10" s="13">
        <f t="shared" si="33"/>
        <v>5.3797944668297326</v>
      </c>
      <c r="Q10" s="20">
        <f t="shared" si="2"/>
        <v>37.47372101639511</v>
      </c>
      <c r="R10" s="59">
        <f t="shared" si="0"/>
        <v>221.59790195213134</v>
      </c>
      <c r="S10" s="59">
        <f ca="1">AVERAGE(OFFSET($R$3,0,0,'Données projet'!$E$9+1,1))-AVERAGE(OFFSET($H$3,0,0,'Données projet'!$E$9+1,1))</f>
        <v>112.82287576550925</v>
      </c>
      <c r="T10" s="59">
        <f t="shared" si="34"/>
        <v>317.78570695363294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2">
        <f>VLOOKUP(A10,'Données projet'!$A$61:$I$81,2,0)</f>
        <v>31.72923076923076</v>
      </c>
      <c r="AG10" s="12">
        <f>VLOOKUP(A10,'Données projet'!$A$61:$I$81,9,0)</f>
        <v>10.17923076923076</v>
      </c>
      <c r="AH10" s="12">
        <f t="array" ref="AH10">INDEX(AG:AG,MIN(IF(ISNUMBER(AG10:AG206),ROW(AG10:AG206),"")))</f>
        <v>10.17923076923076</v>
      </c>
      <c r="AI10" s="13">
        <f>IF('Données projet'!$A$62&gt;35,AI9+AH10-AQ9,IF(A10&lt;'Données projet'!$A$62,$AF$205^A10,IF(A10='Données projet'!$A$62,'Données projet'!$B$62,AI9+AH10-AQ9)))</f>
        <v>31.729230769230764</v>
      </c>
      <c r="AJ10" s="13">
        <f>AI10*VLOOKUP('Données projet'!$B$10,Paramètres!$A$1:$I$89,3,0)*VLOOKUP('Données projet'!$B$10,Paramètres!$A$1:$I$89,5,0)</f>
        <v>16.136217599999998</v>
      </c>
      <c r="AK10" s="13">
        <f t="shared" si="35"/>
        <v>5.3797944668297326</v>
      </c>
      <c r="AL10" s="20">
        <f t="shared" si="4"/>
        <v>37.47372101639511</v>
      </c>
      <c r="AM10" s="59">
        <f t="shared" si="5"/>
        <v>221.59790195213134</v>
      </c>
      <c r="AN10" s="59">
        <f ca="1">AVERAGE(OFFSET($AM$3,0,0,'Données projet'!$E$10+1,1))-AVERAGE(OFFSET($H$3,0,0,'Données projet'!$E$10+1,1))</f>
        <v>112.82287576550925</v>
      </c>
      <c r="AO10" s="59">
        <f t="shared" si="36"/>
        <v>317.78570695363294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2">
        <f>VLOOKUP(A10,'Données projet'!$A$87:$I$107,2,0)</f>
        <v>31.72923076923076</v>
      </c>
      <c r="BB10" s="12">
        <f>VLOOKUP(A10,'Données projet'!$A$87:$I$107,9,0)</f>
        <v>10.17923076923076</v>
      </c>
      <c r="BC10" s="12">
        <f t="array" ref="BC10">INDEX(BB:BB,MIN(IF(ISNUMBER(BB10:BB206),ROW(BB10:BB206),"")))</f>
        <v>10.17923076923076</v>
      </c>
      <c r="BD10" s="12">
        <f>IF('Données projet'!$A$88&gt;35,BD9+BC10-BL9,IF(A10&lt;'Données projet'!$A$88,$BA$205^A10,IF(A10='Données projet'!$A$88,'Données projet'!$B$88,BD9+BC10-BL9)))</f>
        <v>31.729230769230764</v>
      </c>
      <c r="BE10" s="13">
        <f>BD10*VLOOKUP('Données projet'!$B$11,Paramètres!$A$1:$I$89,3,0)*VLOOKUP('Données projet'!$B$11,Paramètres!$A$1:$I$89,5,0)</f>
        <v>16.136217599999998</v>
      </c>
      <c r="BF10" s="13">
        <f t="shared" si="37"/>
        <v>5.3797944668297326</v>
      </c>
      <c r="BG10" s="20">
        <f t="shared" si="7"/>
        <v>37.47372101639511</v>
      </c>
      <c r="BH10" s="59">
        <f t="shared" si="8"/>
        <v>221.59790195213134</v>
      </c>
      <c r="BI10" s="59">
        <f ca="1">AVERAGE(OFFSET($BH$3,0,0,'Données projet'!$E$11+1,1))-AVERAGE(OFFSET($H$3,0,0,'Données projet'!$E$11+1,1))</f>
        <v>112.82287576550925</v>
      </c>
      <c r="BJ10" s="59">
        <f t="shared" si="38"/>
        <v>317.78570695363294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2">
        <f>VLOOKUP(A10,'Données projet'!$A$113:$I$133,2,0)</f>
        <v>31.72923076923076</v>
      </c>
      <c r="BW10" s="12">
        <f>VLOOKUP(A10,'Données projet'!$A$113:$I$133,9,0)</f>
        <v>10.17923076923076</v>
      </c>
      <c r="BX10" s="12">
        <f t="array" ref="BX10">INDEX(BW:BW,MIN(IF(ISNUMBER(BW10:BW206),ROW(BW10:BW206),"")))</f>
        <v>10.17923076923076</v>
      </c>
      <c r="BY10" s="12">
        <f>IF('Données projet'!$A$114&gt;35,BY9+BX10-CG9,IF(A10&lt;'Données projet'!$A$114,$BV$205^A10,IF(A10='Données projet'!$A$114,'Données projet'!$B$114,BY9+BX10-CG9)))</f>
        <v>31.729230769230764</v>
      </c>
      <c r="BZ10" s="13">
        <f>BY10*VLOOKUP('Données projet'!$B$12,Paramètres!$A$1:$I$89,3,0)*VLOOKUP('Données projet'!$B$12,Paramètres!$A$1:$I$89,5,0)</f>
        <v>16.136217599999998</v>
      </c>
      <c r="CA10" s="13">
        <f t="shared" si="39"/>
        <v>5.3797944668297326</v>
      </c>
      <c r="CB10" s="20">
        <f t="shared" si="10"/>
        <v>37.47372101639511</v>
      </c>
      <c r="CC10" s="59">
        <f t="shared" si="11"/>
        <v>221.59790195213134</v>
      </c>
      <c r="CD10" s="59">
        <f ca="1">AVERAGE(OFFSET($CC$3,0,0,'Données projet'!$E$12+1,1))-AVERAGE(OFFSET($H$3,0,0,'Données projet'!$E$12+1,1))</f>
        <v>112.82287576550925</v>
      </c>
      <c r="CE10" s="59">
        <f t="shared" si="40"/>
        <v>317.78570695363294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>
        <f>EXP(-LN(2)/35)*CK9+(1-EXP(-LN(2)/35))/(LN(2)/35)*CG10*CH10*VLOOKUP('Données projet'!$B$12,Paramètres!$A$1:$I$89,3,0)*0.475*44/12</f>
        <v>0</v>
      </c>
      <c r="CL10" s="21">
        <f>EXP(-LN(2)/25)*CL9+(1-EXP(-LN(2)/25))/(LN(2)/25)*Calculateur!CG10*Calculateur!CI10*VLOOKUP('Données projet'!$B$12,Paramètres!$A$1:$I$89,3,0)*0.475*44/12</f>
        <v>0</v>
      </c>
      <c r="CM10" s="21">
        <f>EXP(-LN(2)/2)*CM9+(1-EXP(-LN(2)/2))/(LN(2)/2)*CG10*CJ10*VLOOKUP('Données projet'!$B$12,Paramètres!$A$1:$I$89,3,0)*0.475*44/12</f>
        <v>0</v>
      </c>
      <c r="CN10" s="22">
        <f t="shared" si="12"/>
        <v>0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5">
      <c r="A11" s="10">
        <f t="shared" si="31"/>
        <v>8</v>
      </c>
      <c r="B11" s="73">
        <f>'Scénario référence'!$B$16*5+'Scénario référence'!$B$17*0+'Scénario référence'!$B$18*5</f>
        <v>5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1">
        <f t="shared" si="32"/>
        <v>0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" s="11">
        <f>IF(OR('Scénario référence'!$F$8&gt;0,'Scénario référence'!$F$9&gt;0),('Scénario référence'!$F$8+'Scénario référence'!$F$9)*10,0)</f>
        <v>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18.333333333333332</v>
      </c>
      <c r="H11" s="67">
        <f t="shared" si="1"/>
        <v>183.33333333333334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2">
        <f>VLOOKUP(A11,'Données projet'!$A$35:$I$55,2,0)</f>
        <v>43.530512820512811</v>
      </c>
      <c r="L11" s="12">
        <f>VLOOKUP(A11,'Données projet'!$A$35:$I$55,9,0)</f>
        <v>11.801282051282051</v>
      </c>
      <c r="M11" s="12">
        <f t="array" ref="M11">INDEX(L:L,MIN(IF(ISNUMBER(L11:L207),ROW(L11:L207),"")))</f>
        <v>11.801282051282051</v>
      </c>
      <c r="N11" s="13">
        <f>IF('Données projet'!$A$36&gt;35,N10+M11-V10,IF(A11&lt;'Données projet'!$A$36,$K$205^A11,IF(A11='Données projet'!$A$36,'Données projet'!$B$36,N10+M11-V10)))</f>
        <v>43.530512820512811</v>
      </c>
      <c r="O11" s="13">
        <f>N11*VLOOKUP('Données projet'!$B$9,Paramètres!$A$1:$I$89,3,0)*VLOOKUP('Données projet'!$B$9,Paramètres!$A$1:$I$89,5,0)</f>
        <v>22.137877599999996</v>
      </c>
      <c r="P11" s="13">
        <f t="shared" si="33"/>
        <v>7.1140058582669683</v>
      </c>
      <c r="Q11" s="20">
        <f t="shared" si="2"/>
        <v>50.947030356481626</v>
      </c>
      <c r="R11" s="59">
        <f t="shared" si="0"/>
        <v>237.70030322270219</v>
      </c>
      <c r="S11" s="59">
        <f ca="1">AVERAGE(OFFSET($R$3,0,0,'Données projet'!$E$9+1,1))-AVERAGE(OFFSET($H$3,0,0,'Données projet'!$E$9+1,1))</f>
        <v>112.82287576550925</v>
      </c>
      <c r="T11" s="59">
        <f t="shared" si="34"/>
        <v>317.78570695363294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2">
        <f>VLOOKUP(A11,'Données projet'!$A$61:$I$81,2,0)</f>
        <v>43.530512820512811</v>
      </c>
      <c r="AG11" s="12">
        <f>VLOOKUP(A11,'Données projet'!$A$61:$I$81,9,0)</f>
        <v>11.801282051282051</v>
      </c>
      <c r="AH11" s="12">
        <f t="array" ref="AH11">INDEX(AG:AG,MIN(IF(ISNUMBER(AG11:AG207),ROW(AG11:AG207),"")))</f>
        <v>11.801282051282051</v>
      </c>
      <c r="AI11" s="13">
        <f>IF('Données projet'!$A$62&gt;35,AI10+AH11-AQ10,IF(A11&lt;'Données projet'!$A$62,$AF$205^A11,IF(A11='Données projet'!$A$62,'Données projet'!$B$62,AI10+AH11-AQ10)))</f>
        <v>43.530512820512811</v>
      </c>
      <c r="AJ11" s="13">
        <f>AI11*VLOOKUP('Données projet'!$B$10,Paramètres!$A$1:$I$89,3,0)*VLOOKUP('Données projet'!$B$10,Paramètres!$A$1:$I$89,5,0)</f>
        <v>22.137877599999996</v>
      </c>
      <c r="AK11" s="13">
        <f t="shared" si="35"/>
        <v>7.1140058582669683</v>
      </c>
      <c r="AL11" s="20">
        <f t="shared" si="4"/>
        <v>50.947030356481626</v>
      </c>
      <c r="AM11" s="59">
        <f t="shared" si="5"/>
        <v>237.70030322270219</v>
      </c>
      <c r="AN11" s="59">
        <f ca="1">AVERAGE(OFFSET($AM$3,0,0,'Données projet'!$E$10+1,1))-AVERAGE(OFFSET($H$3,0,0,'Données projet'!$E$10+1,1))</f>
        <v>112.82287576550925</v>
      </c>
      <c r="AO11" s="59">
        <f t="shared" si="36"/>
        <v>317.78570695363294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2">
        <f>VLOOKUP(A11,'Données projet'!$A$87:$I$107,2,0)</f>
        <v>43.530512820512811</v>
      </c>
      <c r="BB11" s="12">
        <f>VLOOKUP(A11,'Données projet'!$A$87:$I$107,9,0)</f>
        <v>11.801282051282051</v>
      </c>
      <c r="BC11" s="12">
        <f t="array" ref="BC11">INDEX(BB:BB,MIN(IF(ISNUMBER(BB11:BB207),ROW(BB11:BB207),"")))</f>
        <v>11.801282051282051</v>
      </c>
      <c r="BD11" s="12">
        <f>IF('Données projet'!$A$88&gt;35,BD10+BC11-BL10,IF(A11&lt;'Données projet'!$A$88,$BA$205^A11,IF(A11='Données projet'!$A$88,'Données projet'!$B$88,BD10+BC11-BL10)))</f>
        <v>43.530512820512811</v>
      </c>
      <c r="BE11" s="13">
        <f>BD11*VLOOKUP('Données projet'!$B$11,Paramètres!$A$1:$I$89,3,0)*VLOOKUP('Données projet'!$B$11,Paramètres!$A$1:$I$89,5,0)</f>
        <v>22.137877599999996</v>
      </c>
      <c r="BF11" s="13">
        <f t="shared" si="37"/>
        <v>7.1140058582669683</v>
      </c>
      <c r="BG11" s="20">
        <f t="shared" si="7"/>
        <v>50.947030356481626</v>
      </c>
      <c r="BH11" s="59">
        <f t="shared" si="8"/>
        <v>237.70030322270219</v>
      </c>
      <c r="BI11" s="59">
        <f ca="1">AVERAGE(OFFSET($BH$3,0,0,'Données projet'!$E$11+1,1))-AVERAGE(OFFSET($H$3,0,0,'Données projet'!$E$11+1,1))</f>
        <v>112.82287576550925</v>
      </c>
      <c r="BJ11" s="59">
        <f t="shared" si="38"/>
        <v>317.78570695363294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2">
        <f>VLOOKUP(A11,'Données projet'!$A$113:$I$133,2,0)</f>
        <v>43.530512820512811</v>
      </c>
      <c r="BW11" s="12">
        <f>VLOOKUP(A11,'Données projet'!$A$113:$I$133,9,0)</f>
        <v>11.801282051282051</v>
      </c>
      <c r="BX11" s="12">
        <f t="array" ref="BX11">INDEX(BW:BW,MIN(IF(ISNUMBER(BW11:BW207),ROW(BW11:BW207),"")))</f>
        <v>11.801282051282051</v>
      </c>
      <c r="BY11" s="12">
        <f>IF('Données projet'!$A$114&gt;35,BY10+BX11-CG10,IF(A11&lt;'Données projet'!$A$114,$BV$205^A11,IF(A11='Données projet'!$A$114,'Données projet'!$B$114,BY10+BX11-CG10)))</f>
        <v>43.530512820512811</v>
      </c>
      <c r="BZ11" s="13">
        <f>BY11*VLOOKUP('Données projet'!$B$12,Paramètres!$A$1:$I$89,3,0)*VLOOKUP('Données projet'!$B$12,Paramètres!$A$1:$I$89,5,0)</f>
        <v>22.137877599999996</v>
      </c>
      <c r="CA11" s="13">
        <f t="shared" si="39"/>
        <v>7.1140058582669683</v>
      </c>
      <c r="CB11" s="20">
        <f t="shared" si="10"/>
        <v>50.947030356481626</v>
      </c>
      <c r="CC11" s="59">
        <f t="shared" si="11"/>
        <v>237.70030322270219</v>
      </c>
      <c r="CD11" s="59">
        <f ca="1">AVERAGE(OFFSET($CC$3,0,0,'Données projet'!$E$12+1,1))-AVERAGE(OFFSET($H$3,0,0,'Données projet'!$E$12+1,1))</f>
        <v>112.82287576550925</v>
      </c>
      <c r="CE11" s="59">
        <f t="shared" si="40"/>
        <v>317.78570695363294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>
        <f>EXP(-LN(2)/35)*CK10+(1-EXP(-LN(2)/35))/(LN(2)/35)*CG11*CH11*VLOOKUP('Données projet'!$B$12,Paramètres!$A$1:$I$89,3,0)*0.475*44/12</f>
        <v>0</v>
      </c>
      <c r="CL11" s="21">
        <f>EXP(-LN(2)/25)*CL10+(1-EXP(-LN(2)/25))/(LN(2)/25)*Calculateur!CG11*Calculateur!CI11*VLOOKUP('Données projet'!$B$12,Paramètres!$A$1:$I$89,3,0)*0.475*44/12</f>
        <v>0</v>
      </c>
      <c r="CM11" s="21">
        <f>EXP(-LN(2)/2)*CM10+(1-EXP(-LN(2)/2))/(LN(2)/2)*CG11*CJ11*VLOOKUP('Données projet'!$B$12,Paramètres!$A$1:$I$89,3,0)*0.475*44/12</f>
        <v>0</v>
      </c>
      <c r="CN11" s="22">
        <f t="shared" si="12"/>
        <v>0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5">
      <c r="A12" s="10">
        <f t="shared" si="31"/>
        <v>9</v>
      </c>
      <c r="B12" s="73">
        <f>'Scénario référence'!$B$16*5+'Scénario référence'!$B$17*0+'Scénario référence'!$B$18*5</f>
        <v>5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1">
        <f t="shared" si="32"/>
        <v>0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" s="11">
        <f>IF(OR('Scénario référence'!$F$8&gt;0,'Scénario référence'!$F$9&gt;0),('Scénario référence'!$F$8+'Scénario référence'!$F$9)*10,0)</f>
        <v>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18.333333333333332</v>
      </c>
      <c r="H12" s="67">
        <f t="shared" si="1"/>
        <v>183.33333333333334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2">
        <f>VLOOKUP(A12,'Données projet'!$A$35:$I$55,2,0)</f>
        <v>56.797307692307683</v>
      </c>
      <c r="L12" s="12">
        <f>VLOOKUP(A12,'Données projet'!$A$35:$I$55,9,0)</f>
        <v>13.266794871794872</v>
      </c>
      <c r="M12" s="12">
        <f t="array" ref="M12">INDEX(L:L,MIN(IF(ISNUMBER(L12:L208),ROW(L12:L208),"")))</f>
        <v>13.266794871794872</v>
      </c>
      <c r="N12" s="13">
        <f>IF('Données projet'!$A$36&gt;35,N11+M12-V11,IF(A12&lt;'Données projet'!$A$36,$K$205^A12,IF(A12='Données projet'!$A$36,'Données projet'!$B$36,N11+M12-V11)))</f>
        <v>56.797307692307683</v>
      </c>
      <c r="O12" s="13">
        <f>N12*VLOOKUP('Données projet'!$B$9,Paramètres!$A$1:$I$89,3,0)*VLOOKUP('Données projet'!$B$9,Paramètres!$A$1:$I$89,5,0)</f>
        <v>28.884838800000001</v>
      </c>
      <c r="P12" s="13">
        <f t="shared" si="33"/>
        <v>8.9991197527674434</v>
      </c>
      <c r="Q12" s="20">
        <f t="shared" si="2"/>
        <v>65.981227812736634</v>
      </c>
      <c r="R12" s="59">
        <f t="shared" si="0"/>
        <v>255.33918656529272</v>
      </c>
      <c r="S12" s="59">
        <f ca="1">AVERAGE(OFFSET($R$3,0,0,'Données projet'!$E$9+1,1))-AVERAGE(OFFSET($H$3,0,0,'Données projet'!$E$9+1,1))</f>
        <v>112.82287576550925</v>
      </c>
      <c r="T12" s="59">
        <f t="shared" si="34"/>
        <v>317.78570695363294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2">
        <f>VLOOKUP(A12,'Données projet'!$A$61:$I$81,2,0)</f>
        <v>56.797307692307683</v>
      </c>
      <c r="AG12" s="12">
        <f>VLOOKUP(A12,'Données projet'!$A$61:$I$81,9,0)</f>
        <v>13.266794871794872</v>
      </c>
      <c r="AH12" s="12">
        <f t="array" ref="AH12">INDEX(AG:AG,MIN(IF(ISNUMBER(AG12:AG208),ROW(AG12:AG208),"")))</f>
        <v>13.266794871794872</v>
      </c>
      <c r="AI12" s="13">
        <f>IF('Données projet'!$A$62&gt;35,AI11+AH12-AQ11,IF(A12&lt;'Données projet'!$A$62,$AF$205^A12,IF(A12='Données projet'!$A$62,'Données projet'!$B$62,AI11+AH12-AQ11)))</f>
        <v>56.797307692307683</v>
      </c>
      <c r="AJ12" s="13">
        <f>AI12*VLOOKUP('Données projet'!$B$10,Paramètres!$A$1:$I$89,3,0)*VLOOKUP('Données projet'!$B$10,Paramètres!$A$1:$I$89,5,0)</f>
        <v>28.884838800000001</v>
      </c>
      <c r="AK12" s="13">
        <f t="shared" si="35"/>
        <v>8.9991197527674434</v>
      </c>
      <c r="AL12" s="20">
        <f t="shared" si="4"/>
        <v>65.981227812736634</v>
      </c>
      <c r="AM12" s="59">
        <f t="shared" si="5"/>
        <v>255.33918656529272</v>
      </c>
      <c r="AN12" s="59">
        <f ca="1">AVERAGE(OFFSET($AM$3,0,0,'Données projet'!$E$10+1,1))-AVERAGE(OFFSET($H$3,0,0,'Données projet'!$E$10+1,1))</f>
        <v>112.82287576550925</v>
      </c>
      <c r="AO12" s="59">
        <f t="shared" si="36"/>
        <v>317.78570695363294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2">
        <f>VLOOKUP(A12,'Données projet'!$A$87:$I$107,2,0)</f>
        <v>56.797307692307683</v>
      </c>
      <c r="BB12" s="12">
        <f>VLOOKUP(A12,'Données projet'!$A$87:$I$107,9,0)</f>
        <v>13.266794871794872</v>
      </c>
      <c r="BC12" s="12">
        <f t="array" ref="BC12">INDEX(BB:BB,MIN(IF(ISNUMBER(BB12:BB208),ROW(BB12:BB208),"")))</f>
        <v>13.266794871794872</v>
      </c>
      <c r="BD12" s="12">
        <f>IF('Données projet'!$A$88&gt;35,BD11+BC12-BL11,IF(A12&lt;'Données projet'!$A$88,$BA$205^A12,IF(A12='Données projet'!$A$88,'Données projet'!$B$88,BD11+BC12-BL11)))</f>
        <v>56.797307692307683</v>
      </c>
      <c r="BE12" s="13">
        <f>BD12*VLOOKUP('Données projet'!$B$11,Paramètres!$A$1:$I$89,3,0)*VLOOKUP('Données projet'!$B$11,Paramètres!$A$1:$I$89,5,0)</f>
        <v>28.884838800000001</v>
      </c>
      <c r="BF12" s="13">
        <f t="shared" si="37"/>
        <v>8.9991197527674434</v>
      </c>
      <c r="BG12" s="20">
        <f t="shared" si="7"/>
        <v>65.981227812736634</v>
      </c>
      <c r="BH12" s="59">
        <f t="shared" si="8"/>
        <v>255.33918656529272</v>
      </c>
      <c r="BI12" s="59">
        <f ca="1">AVERAGE(OFFSET($BH$3,0,0,'Données projet'!$E$11+1,1))-AVERAGE(OFFSET($H$3,0,0,'Données projet'!$E$11+1,1))</f>
        <v>112.82287576550925</v>
      </c>
      <c r="BJ12" s="59">
        <f t="shared" si="38"/>
        <v>317.78570695363294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2">
        <f>VLOOKUP(A12,'Données projet'!$A$113:$I$133,2,0)</f>
        <v>56.797307692307683</v>
      </c>
      <c r="BW12" s="12">
        <f>VLOOKUP(A12,'Données projet'!$A$113:$I$133,9,0)</f>
        <v>13.266794871794872</v>
      </c>
      <c r="BX12" s="12">
        <f t="array" ref="BX12">INDEX(BW:BW,MIN(IF(ISNUMBER(BW12:BW208),ROW(BW12:BW208),"")))</f>
        <v>13.266794871794872</v>
      </c>
      <c r="BY12" s="12">
        <f>IF('Données projet'!$A$114&gt;35,BY11+BX12-CG11,IF(A12&lt;'Données projet'!$A$114,$BV$205^A12,IF(A12='Données projet'!$A$114,'Données projet'!$B$114,BY11+BX12-CG11)))</f>
        <v>56.797307692307683</v>
      </c>
      <c r="BZ12" s="13">
        <f>BY12*VLOOKUP('Données projet'!$B$12,Paramètres!$A$1:$I$89,3,0)*VLOOKUP('Données projet'!$B$12,Paramètres!$A$1:$I$89,5,0)</f>
        <v>28.884838800000001</v>
      </c>
      <c r="CA12" s="13">
        <f t="shared" si="39"/>
        <v>8.9991197527674434</v>
      </c>
      <c r="CB12" s="20">
        <f t="shared" si="10"/>
        <v>65.981227812736634</v>
      </c>
      <c r="CC12" s="59">
        <f t="shared" si="11"/>
        <v>255.33918656529272</v>
      </c>
      <c r="CD12" s="59">
        <f ca="1">AVERAGE(OFFSET($CC$3,0,0,'Données projet'!$E$12+1,1))-AVERAGE(OFFSET($H$3,0,0,'Données projet'!$E$12+1,1))</f>
        <v>112.82287576550925</v>
      </c>
      <c r="CE12" s="59">
        <f t="shared" si="40"/>
        <v>317.78570695363294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>
        <f>EXP(-LN(2)/35)*CK11+(1-EXP(-LN(2)/35))/(LN(2)/35)*CG12*CH12*VLOOKUP('Données projet'!$B$12,Paramètres!$A$1:$I$89,3,0)*0.475*44/12</f>
        <v>0</v>
      </c>
      <c r="CL12" s="21">
        <f>EXP(-LN(2)/25)*CL11+(1-EXP(-LN(2)/25))/(LN(2)/25)*Calculateur!CG12*Calculateur!CI12*VLOOKUP('Données projet'!$B$12,Paramètres!$A$1:$I$89,3,0)*0.475*44/12</f>
        <v>0</v>
      </c>
      <c r="CM12" s="21">
        <f>EXP(-LN(2)/2)*CM11+(1-EXP(-LN(2)/2))/(LN(2)/2)*CG12*CJ12*VLOOKUP('Données projet'!$B$12,Paramètres!$A$1:$I$89,3,0)*0.475*44/12</f>
        <v>0</v>
      </c>
      <c r="CN12" s="22">
        <f t="shared" si="12"/>
        <v>0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5">
      <c r="A13" s="10">
        <f t="shared" si="31"/>
        <v>10</v>
      </c>
      <c r="B13" s="73">
        <f>'Scénario référence'!$B$16*5+'Scénario référence'!$B$17*0+'Scénario référence'!$B$18*5</f>
        <v>5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1">
        <f t="shared" si="32"/>
        <v>0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" s="11">
        <f>IF(OR('Scénario référence'!$F$8&gt;0,'Scénario référence'!$F$9&gt;0),('Scénario référence'!$F$8+'Scénario référence'!$F$9)*10,0)</f>
        <v>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18.333333333333332</v>
      </c>
      <c r="H13" s="67">
        <f t="shared" si="1"/>
        <v>183.33333333333334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2">
        <f>VLOOKUP(A13,'Données projet'!$A$35:$I$55,2,0)</f>
        <v>71.373076923076894</v>
      </c>
      <c r="L13" s="12">
        <f>VLOOKUP(A13,'Données projet'!$A$35:$I$55,9,0)</f>
        <v>14.575769230769211</v>
      </c>
      <c r="M13" s="12">
        <f t="array" ref="M13">INDEX(L:L,MIN(IF(ISNUMBER(L13:L209),ROW(L13:L209),"")))</f>
        <v>14.575769230769211</v>
      </c>
      <c r="N13" s="13">
        <f>IF('Données projet'!$A$36&gt;35,N12+M13-V12,IF(A13&lt;'Données projet'!$A$36,$K$205^A13,IF(A13='Données projet'!$A$36,'Données projet'!$B$36,N12+M13-V12)))</f>
        <v>71.373076923076894</v>
      </c>
      <c r="O13" s="13">
        <f>N13*VLOOKUP('Données projet'!$B$9,Paramètres!$A$1:$I$89,3,0)*VLOOKUP('Données projet'!$B$9,Paramètres!$A$1:$I$89,5,0)</f>
        <v>36.297491999999991</v>
      </c>
      <c r="P13" s="13">
        <f t="shared" si="33"/>
        <v>11.011818502484722</v>
      </c>
      <c r="Q13" s="20">
        <f t="shared" si="2"/>
        <v>82.397049125160876</v>
      </c>
      <c r="R13" s="59">
        <f t="shared" si="0"/>
        <v>274.33571111020575</v>
      </c>
      <c r="S13" s="59">
        <f ca="1">AVERAGE(OFFSET($R$3,0,0,'Données projet'!$E$9+1,1))-AVERAGE(OFFSET($H$3,0,0,'Données projet'!$E$9+1,1))</f>
        <v>112.82287576550925</v>
      </c>
      <c r="T13" s="59">
        <f t="shared" si="34"/>
        <v>317.78570695363294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2">
        <f>VLOOKUP(A13,'Données projet'!$A$61:$I$81,2,0)</f>
        <v>71.373076923076894</v>
      </c>
      <c r="AG13" s="12">
        <f>VLOOKUP(A13,'Données projet'!$A$61:$I$81,9,0)</f>
        <v>14.575769230769211</v>
      </c>
      <c r="AH13" s="12">
        <f t="array" ref="AH13">INDEX(AG:AG,MIN(IF(ISNUMBER(AG13:AG209),ROW(AG13:AG209),"")))</f>
        <v>14.575769230769211</v>
      </c>
      <c r="AI13" s="13">
        <f>IF('Données projet'!$A$62&gt;35,AI12+AH13-AQ12,IF(A13&lt;'Données projet'!$A$62,$AF$205^A13,IF(A13='Données projet'!$A$62,'Données projet'!$B$62,AI12+AH13-AQ12)))</f>
        <v>71.373076923076894</v>
      </c>
      <c r="AJ13" s="13">
        <f>AI13*VLOOKUP('Données projet'!$B$10,Paramètres!$A$1:$I$89,3,0)*VLOOKUP('Données projet'!$B$10,Paramètres!$A$1:$I$89,5,0)</f>
        <v>36.297491999999991</v>
      </c>
      <c r="AK13" s="13">
        <f t="shared" si="35"/>
        <v>11.011818502484722</v>
      </c>
      <c r="AL13" s="20">
        <f t="shared" si="4"/>
        <v>82.397049125160876</v>
      </c>
      <c r="AM13" s="59">
        <f t="shared" si="5"/>
        <v>274.33571111020575</v>
      </c>
      <c r="AN13" s="59">
        <f ca="1">AVERAGE(OFFSET($AM$3,0,0,'Données projet'!$E$10+1,1))-AVERAGE(OFFSET($H$3,0,0,'Données projet'!$E$10+1,1))</f>
        <v>112.82287576550925</v>
      </c>
      <c r="AO13" s="59">
        <f t="shared" si="36"/>
        <v>317.78570695363294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2">
        <f>VLOOKUP(A13,'Données projet'!$A$87:$I$107,2,0)</f>
        <v>71.373076923076894</v>
      </c>
      <c r="BB13" s="12">
        <f>VLOOKUP(A13,'Données projet'!$A$87:$I$107,9,0)</f>
        <v>14.575769230769211</v>
      </c>
      <c r="BC13" s="12">
        <f t="array" ref="BC13">INDEX(BB:BB,MIN(IF(ISNUMBER(BB13:BB209),ROW(BB13:BB209),"")))</f>
        <v>14.575769230769211</v>
      </c>
      <c r="BD13" s="12">
        <f>IF('Données projet'!$A$88&gt;35,BD12+BC13-BL12,IF(A13&lt;'Données projet'!$A$88,$BA$205^A13,IF(A13='Données projet'!$A$88,'Données projet'!$B$88,BD12+BC13-BL12)))</f>
        <v>71.373076923076894</v>
      </c>
      <c r="BE13" s="13">
        <f>BD13*VLOOKUP('Données projet'!$B$11,Paramètres!$A$1:$I$89,3,0)*VLOOKUP('Données projet'!$B$11,Paramètres!$A$1:$I$89,5,0)</f>
        <v>36.297491999999991</v>
      </c>
      <c r="BF13" s="13">
        <f t="shared" si="37"/>
        <v>11.011818502484722</v>
      </c>
      <c r="BG13" s="20">
        <f t="shared" si="7"/>
        <v>82.397049125160876</v>
      </c>
      <c r="BH13" s="59">
        <f t="shared" si="8"/>
        <v>274.33571111020575</v>
      </c>
      <c r="BI13" s="59">
        <f ca="1">AVERAGE(OFFSET($BH$3,0,0,'Données projet'!$E$11+1,1))-AVERAGE(OFFSET($H$3,0,0,'Données projet'!$E$11+1,1))</f>
        <v>112.82287576550925</v>
      </c>
      <c r="BJ13" s="59">
        <f t="shared" si="38"/>
        <v>317.78570695363294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2">
        <f>VLOOKUP(A13,'Données projet'!$A$113:$I$133,2,0)</f>
        <v>71.373076923076894</v>
      </c>
      <c r="BW13" s="12">
        <f>VLOOKUP(A13,'Données projet'!$A$113:$I$133,9,0)</f>
        <v>14.575769230769211</v>
      </c>
      <c r="BX13" s="12">
        <f t="array" ref="BX13">INDEX(BW:BW,MIN(IF(ISNUMBER(BW13:BW209),ROW(BW13:BW209),"")))</f>
        <v>14.575769230769211</v>
      </c>
      <c r="BY13" s="12">
        <f>IF('Données projet'!$A$114&gt;35,BY12+BX13-CG12,IF(A13&lt;'Données projet'!$A$114,$BV$205^A13,IF(A13='Données projet'!$A$114,'Données projet'!$B$114,BY12+BX13-CG12)))</f>
        <v>71.373076923076894</v>
      </c>
      <c r="BZ13" s="13">
        <f>BY13*VLOOKUP('Données projet'!$B$12,Paramètres!$A$1:$I$89,3,0)*VLOOKUP('Données projet'!$B$12,Paramètres!$A$1:$I$89,5,0)</f>
        <v>36.297491999999991</v>
      </c>
      <c r="CA13" s="13">
        <f t="shared" si="39"/>
        <v>11.011818502484722</v>
      </c>
      <c r="CB13" s="20">
        <f t="shared" si="10"/>
        <v>82.397049125160876</v>
      </c>
      <c r="CC13" s="59">
        <f t="shared" si="11"/>
        <v>274.33571111020575</v>
      </c>
      <c r="CD13" s="59">
        <f ca="1">AVERAGE(OFFSET($CC$3,0,0,'Données projet'!$E$12+1,1))-AVERAGE(OFFSET($H$3,0,0,'Données projet'!$E$12+1,1))</f>
        <v>112.82287576550925</v>
      </c>
      <c r="CE13" s="59">
        <f t="shared" si="40"/>
        <v>317.78570695363294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>
        <f>EXP(-LN(2)/35)*CK12+(1-EXP(-LN(2)/35))/(LN(2)/35)*CG13*CH13*VLOOKUP('Données projet'!$B$12,Paramètres!$A$1:$I$89,3,0)*0.475*44/12</f>
        <v>0</v>
      </c>
      <c r="CL13" s="21">
        <f>EXP(-LN(2)/25)*CL12+(1-EXP(-LN(2)/25))/(LN(2)/25)*Calculateur!CG13*Calculateur!CI13*VLOOKUP('Données projet'!$B$12,Paramètres!$A$1:$I$89,3,0)*0.475*44/12</f>
        <v>0</v>
      </c>
      <c r="CM13" s="21">
        <f>EXP(-LN(2)/2)*CM12+(1-EXP(-LN(2)/2))/(LN(2)/2)*CG13*CJ13*VLOOKUP('Données projet'!$B$12,Paramètres!$A$1:$I$89,3,0)*0.475*44/12</f>
        <v>0</v>
      </c>
      <c r="CN13" s="22">
        <f t="shared" si="12"/>
        <v>0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5">
      <c r="A14" s="10">
        <f t="shared" si="31"/>
        <v>11</v>
      </c>
      <c r="B14" s="73">
        <f>'Scénario référence'!$B$16*5+'Scénario référence'!$B$17*0+'Scénario référence'!$B$18*5</f>
        <v>5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1">
        <f t="shared" si="32"/>
        <v>0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" s="11">
        <f>IF(OR('Scénario référence'!$F$8&gt;0,'Scénario référence'!$F$9&gt;0),('Scénario référence'!$F$8+'Scénario référence'!$F$9)*10,0)</f>
        <v>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18.333333333333332</v>
      </c>
      <c r="H14" s="67">
        <f t="shared" si="1"/>
        <v>183.33333333333334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2">
        <f>VLOOKUP(A14,'Données projet'!$A$35:$I$55,2,0)</f>
        <v>87.101282051282055</v>
      </c>
      <c r="L14" s="12">
        <f>VLOOKUP(A14,'Données projet'!$A$35:$I$55,9,0)</f>
        <v>15.728205128205161</v>
      </c>
      <c r="M14" s="12">
        <f t="array" ref="M14">INDEX(L:L,MIN(IF(ISNUMBER(L14:L210),ROW(L14:L210),"")))</f>
        <v>15.728205128205161</v>
      </c>
      <c r="N14" s="13">
        <f>IF('Données projet'!$A$36&gt;35,N13+M14-V13,IF(A14&lt;'Données projet'!$A$36,$K$205^A14,IF(A14='Données projet'!$A$36,'Données projet'!$B$36,N13+M14-V13)))</f>
        <v>87.101282051282055</v>
      </c>
      <c r="O14" s="13">
        <f>N14*VLOOKUP('Données projet'!$B$9,Paramètres!$A$1:$I$89,3,0)*VLOOKUP('Données projet'!$B$9,Paramètres!$A$1:$I$89,5,0)</f>
        <v>44.296228000000006</v>
      </c>
      <c r="P14" s="13">
        <f t="shared" si="33"/>
        <v>13.130513832601283</v>
      </c>
      <c r="Q14" s="20">
        <f t="shared" si="2"/>
        <v>100.01824202511391</v>
      </c>
      <c r="R14" s="59">
        <f t="shared" si="0"/>
        <v>294.51404063422802</v>
      </c>
      <c r="S14" s="59">
        <f ca="1">AVERAGE(OFFSET($R$3,0,0,'Données projet'!$E$9+1,1))-AVERAGE(OFFSET($H$3,0,0,'Données projet'!$E$9+1,1))</f>
        <v>112.82287576550925</v>
      </c>
      <c r="T14" s="59">
        <f t="shared" si="34"/>
        <v>317.78570695363294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2">
        <f>VLOOKUP(A14,'Données projet'!$A$61:$I$81,2,0)</f>
        <v>87.101282051282055</v>
      </c>
      <c r="AG14" s="12">
        <f>VLOOKUP(A14,'Données projet'!$A$61:$I$81,9,0)</f>
        <v>15.728205128205161</v>
      </c>
      <c r="AH14" s="12">
        <f t="array" ref="AH14">INDEX(AG:AG,MIN(IF(ISNUMBER(AG14:AG210),ROW(AG14:AG210),"")))</f>
        <v>15.728205128205161</v>
      </c>
      <c r="AI14" s="13">
        <f>IF('Données projet'!$A$62&gt;35,AI13+AH14-AQ13,IF(A14&lt;'Données projet'!$A$62,$AF$205^A14,IF(A14='Données projet'!$A$62,'Données projet'!$B$62,AI13+AH14-AQ13)))</f>
        <v>87.101282051282055</v>
      </c>
      <c r="AJ14" s="13">
        <f>AI14*VLOOKUP('Données projet'!$B$10,Paramètres!$A$1:$I$89,3,0)*VLOOKUP('Données projet'!$B$10,Paramètres!$A$1:$I$89,5,0)</f>
        <v>44.296228000000006</v>
      </c>
      <c r="AK14" s="13">
        <f t="shared" si="35"/>
        <v>13.130513832601283</v>
      </c>
      <c r="AL14" s="20">
        <f t="shared" si="4"/>
        <v>100.01824202511391</v>
      </c>
      <c r="AM14" s="59">
        <f t="shared" si="5"/>
        <v>294.51404063422802</v>
      </c>
      <c r="AN14" s="59">
        <f ca="1">AVERAGE(OFFSET($AM$3,0,0,'Données projet'!$E$10+1,1))-AVERAGE(OFFSET($H$3,0,0,'Données projet'!$E$10+1,1))</f>
        <v>112.82287576550925</v>
      </c>
      <c r="AO14" s="59">
        <f t="shared" si="36"/>
        <v>317.78570695363294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2">
        <f>VLOOKUP(A14,'Données projet'!$A$87:$I$107,2,0)</f>
        <v>87.101282051282055</v>
      </c>
      <c r="BB14" s="12">
        <f>VLOOKUP(A14,'Données projet'!$A$87:$I$107,9,0)</f>
        <v>15.728205128205161</v>
      </c>
      <c r="BC14" s="12">
        <f t="array" ref="BC14">INDEX(BB:BB,MIN(IF(ISNUMBER(BB14:BB210),ROW(BB14:BB210),"")))</f>
        <v>15.728205128205161</v>
      </c>
      <c r="BD14" s="12">
        <f>IF('Données projet'!$A$88&gt;35,BD13+BC14-BL13,IF(A14&lt;'Données projet'!$A$88,$BA$205^A14,IF(A14='Données projet'!$A$88,'Données projet'!$B$88,BD13+BC14-BL13)))</f>
        <v>87.101282051282055</v>
      </c>
      <c r="BE14" s="13">
        <f>BD14*VLOOKUP('Données projet'!$B$11,Paramètres!$A$1:$I$89,3,0)*VLOOKUP('Données projet'!$B$11,Paramètres!$A$1:$I$89,5,0)</f>
        <v>44.296228000000006</v>
      </c>
      <c r="BF14" s="13">
        <f t="shared" si="37"/>
        <v>13.130513832601283</v>
      </c>
      <c r="BG14" s="20">
        <f t="shared" si="7"/>
        <v>100.01824202511391</v>
      </c>
      <c r="BH14" s="59">
        <f t="shared" si="8"/>
        <v>294.51404063422802</v>
      </c>
      <c r="BI14" s="59">
        <f ca="1">AVERAGE(OFFSET($BH$3,0,0,'Données projet'!$E$11+1,1))-AVERAGE(OFFSET($H$3,0,0,'Données projet'!$E$11+1,1))</f>
        <v>112.82287576550925</v>
      </c>
      <c r="BJ14" s="59">
        <f t="shared" si="38"/>
        <v>317.78570695363294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2">
        <f>VLOOKUP(A14,'Données projet'!$A$113:$I$133,2,0)</f>
        <v>87.101282051282055</v>
      </c>
      <c r="BW14" s="12">
        <f>VLOOKUP(A14,'Données projet'!$A$113:$I$133,9,0)</f>
        <v>15.728205128205161</v>
      </c>
      <c r="BX14" s="12">
        <f t="array" ref="BX14">INDEX(BW:BW,MIN(IF(ISNUMBER(BW14:BW210),ROW(BW14:BW210),"")))</f>
        <v>15.728205128205161</v>
      </c>
      <c r="BY14" s="12">
        <f>IF('Données projet'!$A$114&gt;35,BY13+BX14-CG13,IF(A14&lt;'Données projet'!$A$114,$BV$205^A14,IF(A14='Données projet'!$A$114,'Données projet'!$B$114,BY13+BX14-CG13)))</f>
        <v>87.101282051282055</v>
      </c>
      <c r="BZ14" s="13">
        <f>BY14*VLOOKUP('Données projet'!$B$12,Paramètres!$A$1:$I$89,3,0)*VLOOKUP('Données projet'!$B$12,Paramètres!$A$1:$I$89,5,0)</f>
        <v>44.296228000000006</v>
      </c>
      <c r="CA14" s="13">
        <f t="shared" si="39"/>
        <v>13.130513832601283</v>
      </c>
      <c r="CB14" s="20">
        <f t="shared" si="10"/>
        <v>100.01824202511391</v>
      </c>
      <c r="CC14" s="59">
        <f t="shared" si="11"/>
        <v>294.51404063422802</v>
      </c>
      <c r="CD14" s="59">
        <f ca="1">AVERAGE(OFFSET($CC$3,0,0,'Données projet'!$E$12+1,1))-AVERAGE(OFFSET($H$3,0,0,'Données projet'!$E$12+1,1))</f>
        <v>112.82287576550925</v>
      </c>
      <c r="CE14" s="59">
        <f t="shared" si="40"/>
        <v>317.78570695363294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>
        <f>EXP(-LN(2)/35)*CK13+(1-EXP(-LN(2)/35))/(LN(2)/35)*CG14*CH14*VLOOKUP('Données projet'!$B$12,Paramètres!$A$1:$I$89,3,0)*0.475*44/12</f>
        <v>0</v>
      </c>
      <c r="CL14" s="21">
        <f>EXP(-LN(2)/25)*CL13+(1-EXP(-LN(2)/25))/(LN(2)/25)*Calculateur!CG14*Calculateur!CI14*VLOOKUP('Données projet'!$B$12,Paramètres!$A$1:$I$89,3,0)*0.475*44/12</f>
        <v>0</v>
      </c>
      <c r="CM14" s="21">
        <f>EXP(-LN(2)/2)*CM13+(1-EXP(-LN(2)/2))/(LN(2)/2)*CG14*CJ14*VLOOKUP('Données projet'!$B$12,Paramètres!$A$1:$I$89,3,0)*0.475*44/12</f>
        <v>0</v>
      </c>
      <c r="CN14" s="22">
        <f t="shared" si="12"/>
        <v>0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5">
      <c r="A15" s="10">
        <f t="shared" si="31"/>
        <v>12</v>
      </c>
      <c r="B15" s="73">
        <f>'Scénario référence'!$B$16*5+'Scénario référence'!$B$17*0+'Scénario référence'!$B$18*5</f>
        <v>5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1">
        <f t="shared" si="32"/>
        <v>0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" s="11">
        <f>IF(OR('Scénario référence'!$F$8&gt;0,'Scénario référence'!$F$9&gt;0),('Scénario référence'!$F$8+'Scénario référence'!$F$9)*10,0)</f>
        <v>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18.333333333333332</v>
      </c>
      <c r="H15" s="67">
        <f t="shared" si="1"/>
        <v>183.33333333333334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2">
        <f>VLOOKUP(A15,'Données projet'!$A$35:$I$55,2,0)</f>
        <v>103.82538461538461</v>
      </c>
      <c r="L15" s="12">
        <f>VLOOKUP(A15,'Données projet'!$A$35:$I$55,9,0)</f>
        <v>16.724102564102552</v>
      </c>
      <c r="M15" s="12">
        <f t="array" ref="M15">INDEX(L:L,MIN(IF(ISNUMBER(L15:L211),ROW(L15:L211),"")))</f>
        <v>16.724102564102552</v>
      </c>
      <c r="N15" s="13">
        <f>IF('Données projet'!$A$36&gt;35,N14+M15-V14,IF(A15&lt;'Données projet'!$A$36,$K$205^A15,IF(A15='Données projet'!$A$36,'Données projet'!$B$36,N14+M15-V14)))</f>
        <v>103.82538461538461</v>
      </c>
      <c r="O15" s="13">
        <f>N15*VLOOKUP('Données projet'!$B$9,Paramètres!$A$1:$I$89,3,0)*VLOOKUP('Données projet'!$B$9,Paramètres!$A$1:$I$89,5,0)</f>
        <v>52.801437599999993</v>
      </c>
      <c r="P15" s="13">
        <f t="shared" si="33"/>
        <v>15.334931732378154</v>
      </c>
      <c r="Q15" s="20">
        <f t="shared" si="2"/>
        <v>118.67084325389193</v>
      </c>
      <c r="R15" s="59">
        <f t="shared" si="0"/>
        <v>315.70062070662482</v>
      </c>
      <c r="S15" s="59">
        <f ca="1">AVERAGE(OFFSET($R$3,0,0,'Données projet'!$E$9+1,1))-AVERAGE(OFFSET($H$3,0,0,'Données projet'!$E$9+1,1))</f>
        <v>112.82287576550925</v>
      </c>
      <c r="T15" s="59">
        <f t="shared" si="34"/>
        <v>317.78570695363294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2">
        <f>VLOOKUP(A15,'Données projet'!$A$61:$I$81,2,0)</f>
        <v>103.82538461538461</v>
      </c>
      <c r="AG15" s="12">
        <f>VLOOKUP(A15,'Données projet'!$A$61:$I$81,9,0)</f>
        <v>16.724102564102552</v>
      </c>
      <c r="AH15" s="12">
        <f t="array" ref="AH15">INDEX(AG:AG,MIN(IF(ISNUMBER(AG15:AG211),ROW(AG15:AG211),"")))</f>
        <v>16.724102564102552</v>
      </c>
      <c r="AI15" s="13">
        <f>IF('Données projet'!$A$62&gt;35,AI14+AH15-AQ14,IF(A15&lt;'Données projet'!$A$62,$AF$205^A15,IF(A15='Données projet'!$A$62,'Données projet'!$B$62,AI14+AH15-AQ14)))</f>
        <v>103.82538461538461</v>
      </c>
      <c r="AJ15" s="13">
        <f>AI15*VLOOKUP('Données projet'!$B$10,Paramètres!$A$1:$I$89,3,0)*VLOOKUP('Données projet'!$B$10,Paramètres!$A$1:$I$89,5,0)</f>
        <v>52.801437599999993</v>
      </c>
      <c r="AK15" s="13">
        <f t="shared" si="35"/>
        <v>15.334931732378154</v>
      </c>
      <c r="AL15" s="20">
        <f t="shared" si="4"/>
        <v>118.67084325389193</v>
      </c>
      <c r="AM15" s="59">
        <f t="shared" si="5"/>
        <v>315.70062070662482</v>
      </c>
      <c r="AN15" s="59">
        <f ca="1">AVERAGE(OFFSET($AM$3,0,0,'Données projet'!$E$10+1,1))-AVERAGE(OFFSET($H$3,0,0,'Données projet'!$E$10+1,1))</f>
        <v>112.82287576550925</v>
      </c>
      <c r="AO15" s="59">
        <f t="shared" si="36"/>
        <v>317.78570695363294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2">
        <f>VLOOKUP(A15,'Données projet'!$A$87:$I$107,2,0)</f>
        <v>103.82538461538461</v>
      </c>
      <c r="BB15" s="12">
        <f>VLOOKUP(A15,'Données projet'!$A$87:$I$107,9,0)</f>
        <v>16.724102564102552</v>
      </c>
      <c r="BC15" s="12">
        <f t="array" ref="BC15">INDEX(BB:BB,MIN(IF(ISNUMBER(BB15:BB211),ROW(BB15:BB211),"")))</f>
        <v>16.724102564102552</v>
      </c>
      <c r="BD15" s="12">
        <f>IF('Données projet'!$A$88&gt;35,BD14+BC15-BL14,IF(A15&lt;'Données projet'!$A$88,$BA$205^A15,IF(A15='Données projet'!$A$88,'Données projet'!$B$88,BD14+BC15-BL14)))</f>
        <v>103.82538461538461</v>
      </c>
      <c r="BE15" s="13">
        <f>BD15*VLOOKUP('Données projet'!$B$11,Paramètres!$A$1:$I$89,3,0)*VLOOKUP('Données projet'!$B$11,Paramètres!$A$1:$I$89,5,0)</f>
        <v>52.801437599999993</v>
      </c>
      <c r="BF15" s="13">
        <f t="shared" si="37"/>
        <v>15.334931732378154</v>
      </c>
      <c r="BG15" s="20">
        <f t="shared" si="7"/>
        <v>118.67084325389193</v>
      </c>
      <c r="BH15" s="59">
        <f t="shared" si="8"/>
        <v>315.70062070662482</v>
      </c>
      <c r="BI15" s="59">
        <f ca="1">AVERAGE(OFFSET($BH$3,0,0,'Données projet'!$E$11+1,1))-AVERAGE(OFFSET($H$3,0,0,'Données projet'!$E$11+1,1))</f>
        <v>112.82287576550925</v>
      </c>
      <c r="BJ15" s="59">
        <f t="shared" si="38"/>
        <v>317.78570695363294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2">
        <f>VLOOKUP(A15,'Données projet'!$A$113:$I$133,2,0)</f>
        <v>103.82538461538461</v>
      </c>
      <c r="BW15" s="12">
        <f>VLOOKUP(A15,'Données projet'!$A$113:$I$133,9,0)</f>
        <v>16.724102564102552</v>
      </c>
      <c r="BX15" s="12">
        <f t="array" ref="BX15">INDEX(BW:BW,MIN(IF(ISNUMBER(BW15:BW211),ROW(BW15:BW211),"")))</f>
        <v>16.724102564102552</v>
      </c>
      <c r="BY15" s="12">
        <f>IF('Données projet'!$A$114&gt;35,BY14+BX15-CG14,IF(A15&lt;'Données projet'!$A$114,$BV$205^A15,IF(A15='Données projet'!$A$114,'Données projet'!$B$114,BY14+BX15-CG14)))</f>
        <v>103.82538461538461</v>
      </c>
      <c r="BZ15" s="13">
        <f>BY15*VLOOKUP('Données projet'!$B$12,Paramètres!$A$1:$I$89,3,0)*VLOOKUP('Données projet'!$B$12,Paramètres!$A$1:$I$89,5,0)</f>
        <v>52.801437599999993</v>
      </c>
      <c r="CA15" s="13">
        <f t="shared" si="39"/>
        <v>15.334931732378154</v>
      </c>
      <c r="CB15" s="20">
        <f t="shared" si="10"/>
        <v>118.67084325389193</v>
      </c>
      <c r="CC15" s="59">
        <f t="shared" si="11"/>
        <v>315.70062070662482</v>
      </c>
      <c r="CD15" s="59">
        <f ca="1">AVERAGE(OFFSET($CC$3,0,0,'Données projet'!$E$12+1,1))-AVERAGE(OFFSET($H$3,0,0,'Données projet'!$E$12+1,1))</f>
        <v>112.82287576550925</v>
      </c>
      <c r="CE15" s="59">
        <f t="shared" si="40"/>
        <v>317.78570695363294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>
        <f>EXP(-LN(2)/35)*CK14+(1-EXP(-LN(2)/35))/(LN(2)/35)*CG15*CH15*VLOOKUP('Données projet'!$B$12,Paramètres!$A$1:$I$89,3,0)*0.475*44/12</f>
        <v>0</v>
      </c>
      <c r="CL15" s="21">
        <f>EXP(-LN(2)/25)*CL14+(1-EXP(-LN(2)/25))/(LN(2)/25)*Calculateur!CG15*Calculateur!CI15*VLOOKUP('Données projet'!$B$12,Paramètres!$A$1:$I$89,3,0)*0.475*44/12</f>
        <v>0</v>
      </c>
      <c r="CM15" s="21">
        <f>EXP(-LN(2)/2)*CM14+(1-EXP(-LN(2)/2))/(LN(2)/2)*CG15*CJ15*VLOOKUP('Données projet'!$B$12,Paramètres!$A$1:$I$89,3,0)*0.475*44/12</f>
        <v>0</v>
      </c>
      <c r="CN15" s="22">
        <f t="shared" si="12"/>
        <v>0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5">
      <c r="A16" s="10">
        <f t="shared" si="31"/>
        <v>13</v>
      </c>
      <c r="B16" s="73">
        <f>'Scénario référence'!$B$16*5+'Scénario référence'!$B$17*0+'Scénario référence'!$B$18*5</f>
        <v>5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1">
        <f t="shared" si="32"/>
        <v>0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" s="11">
        <f>IF(OR('Scénario référence'!$F$8&gt;0,'Scénario référence'!$F$9&gt;0),('Scénario référence'!$F$8+'Scénario référence'!$F$9)*10,0)</f>
        <v>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18.333333333333332</v>
      </c>
      <c r="H16" s="67">
        <f t="shared" si="1"/>
        <v>183.33333333333334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2">
        <f>VLOOKUP(A16,'Données projet'!$A$35:$I$55,2,0)</f>
        <v>121.3888461538461</v>
      </c>
      <c r="L16" s="12">
        <f>VLOOKUP(A16,'Données projet'!$A$35:$I$55,9,0)</f>
        <v>17.563461538461496</v>
      </c>
      <c r="M16" s="12">
        <f t="array" ref="M16">INDEX(L:L,MIN(IF(ISNUMBER(L16:L212),ROW(L16:L212),"")))</f>
        <v>17.563461538461496</v>
      </c>
      <c r="N16" s="13">
        <f>IF('Données projet'!$A$36&gt;35,N15+M16-V15,IF(A16&lt;'Données projet'!$A$36,$K$205^A16,IF(A16='Données projet'!$A$36,'Données projet'!$B$36,N15+M16-V15)))</f>
        <v>121.3888461538461</v>
      </c>
      <c r="O16" s="13">
        <f>N16*VLOOKUP('Données projet'!$B$9,Paramètres!$A$1:$I$89,3,0)*VLOOKUP('Données projet'!$B$9,Paramètres!$A$1:$I$89,5,0)</f>
        <v>61.733511599999979</v>
      </c>
      <c r="P16" s="13">
        <f t="shared" si="33"/>
        <v>17.605825957786696</v>
      </c>
      <c r="Q16" s="20">
        <f t="shared" si="2"/>
        <v>138.1826795798118</v>
      </c>
      <c r="R16" s="59">
        <f t="shared" si="0"/>
        <v>337.72367983143062</v>
      </c>
      <c r="S16" s="59">
        <f ca="1">AVERAGE(OFFSET($R$3,0,0,'Données projet'!$E$9+1,1))-AVERAGE(OFFSET($H$3,0,0,'Données projet'!$E$9+1,1))</f>
        <v>112.82287576550925</v>
      </c>
      <c r="T16" s="59">
        <f t="shared" si="34"/>
        <v>317.78570695363294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2">
        <f>VLOOKUP(A16,'Données projet'!$A$61:$I$81,2,0)</f>
        <v>121.3888461538461</v>
      </c>
      <c r="AG16" s="12">
        <f>VLOOKUP(A16,'Données projet'!$A$61:$I$81,9,0)</f>
        <v>17.563461538461496</v>
      </c>
      <c r="AH16" s="12">
        <f t="array" ref="AH16">INDEX(AG:AG,MIN(IF(ISNUMBER(AG16:AG212),ROW(AG16:AG212),"")))</f>
        <v>17.563461538461496</v>
      </c>
      <c r="AI16" s="13">
        <f>IF('Données projet'!$A$62&gt;35,AI15+AH16-AQ15,IF(A16&lt;'Données projet'!$A$62,$AF$205^A16,IF(A16='Données projet'!$A$62,'Données projet'!$B$62,AI15+AH16-AQ15)))</f>
        <v>121.3888461538461</v>
      </c>
      <c r="AJ16" s="13">
        <f>AI16*VLOOKUP('Données projet'!$B$10,Paramètres!$A$1:$I$89,3,0)*VLOOKUP('Données projet'!$B$10,Paramètres!$A$1:$I$89,5,0)</f>
        <v>61.733511599999979</v>
      </c>
      <c r="AK16" s="13">
        <f t="shared" si="35"/>
        <v>17.605825957786696</v>
      </c>
      <c r="AL16" s="20">
        <f t="shared" si="4"/>
        <v>138.1826795798118</v>
      </c>
      <c r="AM16" s="59">
        <f t="shared" si="5"/>
        <v>337.72367983143062</v>
      </c>
      <c r="AN16" s="59">
        <f ca="1">AVERAGE(OFFSET($AM$3,0,0,'Données projet'!$E$10+1,1))-AVERAGE(OFFSET($H$3,0,0,'Données projet'!$E$10+1,1))</f>
        <v>112.82287576550925</v>
      </c>
      <c r="AO16" s="59">
        <f t="shared" si="36"/>
        <v>317.78570695363294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2">
        <f>VLOOKUP(A16,'Données projet'!$A$87:$I$107,2,0)</f>
        <v>121.3888461538461</v>
      </c>
      <c r="BB16" s="12">
        <f>VLOOKUP(A16,'Données projet'!$A$87:$I$107,9,0)</f>
        <v>17.563461538461496</v>
      </c>
      <c r="BC16" s="12">
        <f t="array" ref="BC16">INDEX(BB:BB,MIN(IF(ISNUMBER(BB16:BB212),ROW(BB16:BB212),"")))</f>
        <v>17.563461538461496</v>
      </c>
      <c r="BD16" s="12">
        <f>IF('Données projet'!$A$88&gt;35,BD15+BC16-BL15,IF(A16&lt;'Données projet'!$A$88,$BA$205^A16,IF(A16='Données projet'!$A$88,'Données projet'!$B$88,BD15+BC16-BL15)))</f>
        <v>121.3888461538461</v>
      </c>
      <c r="BE16" s="13">
        <f>BD16*VLOOKUP('Données projet'!$B$11,Paramètres!$A$1:$I$89,3,0)*VLOOKUP('Données projet'!$B$11,Paramètres!$A$1:$I$89,5,0)</f>
        <v>61.733511599999979</v>
      </c>
      <c r="BF16" s="13">
        <f t="shared" si="37"/>
        <v>17.605825957786696</v>
      </c>
      <c r="BG16" s="20">
        <f t="shared" si="7"/>
        <v>138.1826795798118</v>
      </c>
      <c r="BH16" s="59">
        <f t="shared" si="8"/>
        <v>337.72367983143062</v>
      </c>
      <c r="BI16" s="59">
        <f ca="1">AVERAGE(OFFSET($BH$3,0,0,'Données projet'!$E$11+1,1))-AVERAGE(OFFSET($H$3,0,0,'Données projet'!$E$11+1,1))</f>
        <v>112.82287576550925</v>
      </c>
      <c r="BJ16" s="59">
        <f t="shared" si="38"/>
        <v>317.78570695363294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2">
        <f>VLOOKUP(A16,'Données projet'!$A$113:$I$133,2,0)</f>
        <v>121.3888461538461</v>
      </c>
      <c r="BW16" s="12">
        <f>VLOOKUP(A16,'Données projet'!$A$113:$I$133,9,0)</f>
        <v>17.563461538461496</v>
      </c>
      <c r="BX16" s="12">
        <f t="array" ref="BX16">INDEX(BW:BW,MIN(IF(ISNUMBER(BW16:BW212),ROW(BW16:BW212),"")))</f>
        <v>17.563461538461496</v>
      </c>
      <c r="BY16" s="12">
        <f>IF('Données projet'!$A$114&gt;35,BY15+BX16-CG15,IF(A16&lt;'Données projet'!$A$114,$BV$205^A16,IF(A16='Données projet'!$A$114,'Données projet'!$B$114,BY15+BX16-CG15)))</f>
        <v>121.3888461538461</v>
      </c>
      <c r="BZ16" s="13">
        <f>BY16*VLOOKUP('Données projet'!$B$12,Paramètres!$A$1:$I$89,3,0)*VLOOKUP('Données projet'!$B$12,Paramètres!$A$1:$I$89,5,0)</f>
        <v>61.733511599999979</v>
      </c>
      <c r="CA16" s="13">
        <f t="shared" si="39"/>
        <v>17.605825957786696</v>
      </c>
      <c r="CB16" s="20">
        <f t="shared" si="10"/>
        <v>138.1826795798118</v>
      </c>
      <c r="CC16" s="59">
        <f t="shared" si="11"/>
        <v>337.72367983143062</v>
      </c>
      <c r="CD16" s="59">
        <f ca="1">AVERAGE(OFFSET($CC$3,0,0,'Données projet'!$E$12+1,1))-AVERAGE(OFFSET($H$3,0,0,'Données projet'!$E$12+1,1))</f>
        <v>112.82287576550925</v>
      </c>
      <c r="CE16" s="59">
        <f t="shared" si="40"/>
        <v>317.78570695363294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>
        <f>EXP(-LN(2)/35)*CK15+(1-EXP(-LN(2)/35))/(LN(2)/35)*CG16*CH16*VLOOKUP('Données projet'!$B$12,Paramètres!$A$1:$I$89,3,0)*0.475*44/12</f>
        <v>0</v>
      </c>
      <c r="CL16" s="21">
        <f>EXP(-LN(2)/25)*CL15+(1-EXP(-LN(2)/25))/(LN(2)/25)*Calculateur!CG16*Calculateur!CI16*VLOOKUP('Données projet'!$B$12,Paramètres!$A$1:$I$89,3,0)*0.475*44/12</f>
        <v>0</v>
      </c>
      <c r="CM16" s="21">
        <f>EXP(-LN(2)/2)*CM15+(1-EXP(-LN(2)/2))/(LN(2)/2)*CG16*CJ16*VLOOKUP('Données projet'!$B$12,Paramètres!$A$1:$I$89,3,0)*0.475*44/12</f>
        <v>0</v>
      </c>
      <c r="CN16" s="22">
        <f t="shared" si="12"/>
        <v>0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5">
      <c r="A17" s="10">
        <f t="shared" si="31"/>
        <v>14</v>
      </c>
      <c r="B17" s="73">
        <f>'Scénario référence'!$B$16*5+'Scénario référence'!$B$17*0+'Scénario référence'!$B$18*5</f>
        <v>5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1">
        <f t="shared" si="32"/>
        <v>0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" s="11">
        <f>IF(OR('Scénario référence'!$F$8&gt;0,'Scénario référence'!$F$9&gt;0),('Scénario référence'!$F$8+'Scénario référence'!$F$9)*10,0)</f>
        <v>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18.333333333333332</v>
      </c>
      <c r="H17" s="67">
        <f t="shared" si="1"/>
        <v>183.33333333333334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2">
        <f>VLOOKUP(A17,'Données projet'!$A$35:$I$55,2,0)</f>
        <v>139.6351282051281</v>
      </c>
      <c r="L17" s="12">
        <f>VLOOKUP(A17,'Données projet'!$A$35:$I$55,9,0)</f>
        <v>18.246282051281995</v>
      </c>
      <c r="M17" s="12">
        <f t="array" ref="M17">INDEX(L:L,MIN(IF(ISNUMBER(L17:L213),ROW(L17:L213),"")))</f>
        <v>18.246282051281995</v>
      </c>
      <c r="N17" s="13">
        <f>IF('Données projet'!$A$36&gt;35,N16+M17-V16,IF(A17&lt;'Données projet'!$A$36,$K$205^A17,IF(A17='Données projet'!$A$36,'Données projet'!$B$36,N16+M17-V16)))</f>
        <v>139.6351282051281</v>
      </c>
      <c r="O17" s="13">
        <f>N17*VLOOKUP('Données projet'!$B$9,Paramètres!$A$1:$I$89,3,0)*VLOOKUP('Données projet'!$B$9,Paramètres!$A$1:$I$89,5,0)</f>
        <v>71.01284079999995</v>
      </c>
      <c r="P17" s="13">
        <f t="shared" si="33"/>
        <v>19.924770961221924</v>
      </c>
      <c r="Q17" s="20">
        <f t="shared" si="2"/>
        <v>158.38300715079475</v>
      </c>
      <c r="R17" s="59">
        <f t="shared" si="0"/>
        <v>360.41286892306795</v>
      </c>
      <c r="S17" s="59">
        <f ca="1">AVERAGE(OFFSET($R$3,0,0,'Données projet'!$E$9+1,1))-AVERAGE(OFFSET($H$3,0,0,'Données projet'!$E$9+1,1))</f>
        <v>112.82287576550925</v>
      </c>
      <c r="T17" s="59">
        <f t="shared" si="34"/>
        <v>317.78570695363294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2">
        <f>VLOOKUP(A17,'Données projet'!$A$61:$I$81,2,0)</f>
        <v>139.6351282051281</v>
      </c>
      <c r="AG17" s="12">
        <f>VLOOKUP(A17,'Données projet'!$A$61:$I$81,9,0)</f>
        <v>18.246282051281995</v>
      </c>
      <c r="AH17" s="12">
        <f t="array" ref="AH17">INDEX(AG:AG,MIN(IF(ISNUMBER(AG17:AG213),ROW(AG17:AG213),"")))</f>
        <v>18.246282051281995</v>
      </c>
      <c r="AI17" s="13">
        <f>IF('Données projet'!$A$62&gt;35,AI16+AH17-AQ16,IF(A17&lt;'Données projet'!$A$62,$AF$205^A17,IF(A17='Données projet'!$A$62,'Données projet'!$B$62,AI16+AH17-AQ16)))</f>
        <v>139.6351282051281</v>
      </c>
      <c r="AJ17" s="13">
        <f>AI17*VLOOKUP('Données projet'!$B$10,Paramètres!$A$1:$I$89,3,0)*VLOOKUP('Données projet'!$B$10,Paramètres!$A$1:$I$89,5,0)</f>
        <v>71.01284079999995</v>
      </c>
      <c r="AK17" s="13">
        <f t="shared" si="35"/>
        <v>19.924770961221924</v>
      </c>
      <c r="AL17" s="20">
        <f t="shared" si="4"/>
        <v>158.38300715079475</v>
      </c>
      <c r="AM17" s="59">
        <f t="shared" si="5"/>
        <v>360.41286892306795</v>
      </c>
      <c r="AN17" s="59">
        <f ca="1">AVERAGE(OFFSET($AM$3,0,0,'Données projet'!$E$10+1,1))-AVERAGE(OFFSET($H$3,0,0,'Données projet'!$E$10+1,1))</f>
        <v>112.82287576550925</v>
      </c>
      <c r="AO17" s="59">
        <f t="shared" si="36"/>
        <v>317.78570695363294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2">
        <f>VLOOKUP(A17,'Données projet'!$A$87:$I$107,2,0)</f>
        <v>139.6351282051281</v>
      </c>
      <c r="BB17" s="12">
        <f>VLOOKUP(A17,'Données projet'!$A$87:$I$107,9,0)</f>
        <v>18.246282051281995</v>
      </c>
      <c r="BC17" s="12">
        <f t="array" ref="BC17">INDEX(BB:BB,MIN(IF(ISNUMBER(BB17:BB213),ROW(BB17:BB213),"")))</f>
        <v>18.246282051281995</v>
      </c>
      <c r="BD17" s="12">
        <f>IF('Données projet'!$A$88&gt;35,BD16+BC17-BL16,IF(A17&lt;'Données projet'!$A$88,$BA$205^A17,IF(A17='Données projet'!$A$88,'Données projet'!$B$88,BD16+BC17-BL16)))</f>
        <v>139.6351282051281</v>
      </c>
      <c r="BE17" s="13">
        <f>BD17*VLOOKUP('Données projet'!$B$11,Paramètres!$A$1:$I$89,3,0)*VLOOKUP('Données projet'!$B$11,Paramètres!$A$1:$I$89,5,0)</f>
        <v>71.01284079999995</v>
      </c>
      <c r="BF17" s="13">
        <f t="shared" si="37"/>
        <v>19.924770961221924</v>
      </c>
      <c r="BG17" s="20">
        <f t="shared" si="7"/>
        <v>158.38300715079475</v>
      </c>
      <c r="BH17" s="59">
        <f t="shared" si="8"/>
        <v>360.41286892306795</v>
      </c>
      <c r="BI17" s="59">
        <f ca="1">AVERAGE(OFFSET($BH$3,0,0,'Données projet'!$E$11+1,1))-AVERAGE(OFFSET($H$3,0,0,'Données projet'!$E$11+1,1))</f>
        <v>112.82287576550925</v>
      </c>
      <c r="BJ17" s="59">
        <f t="shared" si="38"/>
        <v>317.78570695363294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2">
        <f>VLOOKUP(A17,'Données projet'!$A$113:$I$133,2,0)</f>
        <v>139.6351282051281</v>
      </c>
      <c r="BW17" s="12">
        <f>VLOOKUP(A17,'Données projet'!$A$113:$I$133,9,0)</f>
        <v>18.246282051281995</v>
      </c>
      <c r="BX17" s="12">
        <f t="array" ref="BX17">INDEX(BW:BW,MIN(IF(ISNUMBER(BW17:BW213),ROW(BW17:BW213),"")))</f>
        <v>18.246282051281995</v>
      </c>
      <c r="BY17" s="12">
        <f>IF('Données projet'!$A$114&gt;35,BY16+BX17-CG16,IF(A17&lt;'Données projet'!$A$114,$BV$205^A17,IF(A17='Données projet'!$A$114,'Données projet'!$B$114,BY16+BX17-CG16)))</f>
        <v>139.6351282051281</v>
      </c>
      <c r="BZ17" s="13">
        <f>BY17*VLOOKUP('Données projet'!$B$12,Paramètres!$A$1:$I$89,3,0)*VLOOKUP('Données projet'!$B$12,Paramètres!$A$1:$I$89,5,0)</f>
        <v>71.01284079999995</v>
      </c>
      <c r="CA17" s="13">
        <f t="shared" si="39"/>
        <v>19.924770961221924</v>
      </c>
      <c r="CB17" s="20">
        <f t="shared" si="10"/>
        <v>158.38300715079475</v>
      </c>
      <c r="CC17" s="59">
        <f t="shared" si="11"/>
        <v>360.41286892306795</v>
      </c>
      <c r="CD17" s="59">
        <f ca="1">AVERAGE(OFFSET($CC$3,0,0,'Données projet'!$E$12+1,1))-AVERAGE(OFFSET($H$3,0,0,'Données projet'!$E$12+1,1))</f>
        <v>112.82287576550925</v>
      </c>
      <c r="CE17" s="59">
        <f t="shared" si="40"/>
        <v>317.78570695363294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>
        <f>EXP(-LN(2)/35)*CK16+(1-EXP(-LN(2)/35))/(LN(2)/35)*CG17*CH17*VLOOKUP('Données projet'!$B$12,Paramètres!$A$1:$I$89,3,0)*0.475*44/12</f>
        <v>0</v>
      </c>
      <c r="CL17" s="21">
        <f>EXP(-LN(2)/25)*CL16+(1-EXP(-LN(2)/25))/(LN(2)/25)*Calculateur!CG17*Calculateur!CI17*VLOOKUP('Données projet'!$B$12,Paramètres!$A$1:$I$89,3,0)*0.475*44/12</f>
        <v>0</v>
      </c>
      <c r="CM17" s="21">
        <f>EXP(-LN(2)/2)*CM16+(1-EXP(-LN(2)/2))/(LN(2)/2)*CG17*CJ17*VLOOKUP('Données projet'!$B$12,Paramètres!$A$1:$I$89,3,0)*0.475*44/12</f>
        <v>0</v>
      </c>
      <c r="CN17" s="22">
        <f t="shared" si="12"/>
        <v>0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5">
      <c r="A18" s="10">
        <f t="shared" si="31"/>
        <v>15</v>
      </c>
      <c r="B18" s="73">
        <f>'Scénario référence'!$B$16*5+'Scénario référence'!$B$17*0+'Scénario référence'!$B$18*5</f>
        <v>5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1">
        <f t="shared" si="32"/>
        <v>0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" s="11">
        <f>IF(OR('Scénario référence'!$F$8&gt;0,'Scénario référence'!$F$9&gt;0),('Scénario référence'!$F$8+'Scénario référence'!$F$9)*10,0)</f>
        <v>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18.333333333333332</v>
      </c>
      <c r="H18" s="67">
        <f t="shared" si="1"/>
        <v>183.33333333333334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2">
        <f>VLOOKUP(A18,'Données projet'!$A$35:$I$55,2,0)</f>
        <v>158.40769230769229</v>
      </c>
      <c r="L18" s="12">
        <f>VLOOKUP(A18,'Données projet'!$A$35:$I$55,9,0)</f>
        <v>18.772564102564189</v>
      </c>
      <c r="M18" s="12">
        <f t="array" ref="M18">INDEX(L:L,MIN(IF(ISNUMBER(L18:L214),ROW(L18:L214),"")))</f>
        <v>18.772564102564189</v>
      </c>
      <c r="N18" s="13">
        <f>IF('Données projet'!$A$36&gt;35,N17+M18-V17,IF(A18&lt;'Données projet'!$A$36,$K$205^A18,IF(A18='Données projet'!$A$36,'Données projet'!$B$36,N17+M18-V17)))</f>
        <v>158.40769230769229</v>
      </c>
      <c r="O18" s="13">
        <f>N18*VLOOKUP('Données projet'!$B$9,Paramètres!$A$1:$I$89,3,0)*VLOOKUP('Données projet'!$B$9,Paramètres!$A$1:$I$89,5,0)</f>
        <v>80.559815999999998</v>
      </c>
      <c r="P18" s="13">
        <f t="shared" si="33"/>
        <v>22.274006449865396</v>
      </c>
      <c r="Q18" s="20">
        <f t="shared" si="2"/>
        <v>179.10224076684889</v>
      </c>
      <c r="R18" s="59">
        <f t="shared" si="0"/>
        <v>383.59899069972994</v>
      </c>
      <c r="S18" s="59">
        <f ca="1">AVERAGE(OFFSET($R$3,0,0,'Données projet'!$E$9+1,1))-AVERAGE(OFFSET($H$3,0,0,'Données projet'!$E$9+1,1))</f>
        <v>112.82287576550925</v>
      </c>
      <c r="T18" s="59">
        <f t="shared" si="34"/>
        <v>317.78570695363294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2">
        <f>VLOOKUP(A18,'Données projet'!$A$61:$I$81,2,0)</f>
        <v>158.40769230769229</v>
      </c>
      <c r="AG18" s="12">
        <f>VLOOKUP(A18,'Données projet'!$A$61:$I$81,9,0)</f>
        <v>18.772564102564189</v>
      </c>
      <c r="AH18" s="12">
        <f t="array" ref="AH18">INDEX(AG:AG,MIN(IF(ISNUMBER(AG18:AG214),ROW(AG18:AG214),"")))</f>
        <v>18.772564102564189</v>
      </c>
      <c r="AI18" s="13">
        <f>IF('Données projet'!$A$62&gt;35,AI17+AH18-AQ17,IF(A18&lt;'Données projet'!$A$62,$AF$205^A18,IF(A18='Données projet'!$A$62,'Données projet'!$B$62,AI17+AH18-AQ17)))</f>
        <v>158.40769230769229</v>
      </c>
      <c r="AJ18" s="13">
        <f>AI18*VLOOKUP('Données projet'!$B$10,Paramètres!$A$1:$I$89,3,0)*VLOOKUP('Données projet'!$B$10,Paramètres!$A$1:$I$89,5,0)</f>
        <v>80.559815999999998</v>
      </c>
      <c r="AK18" s="13">
        <f t="shared" si="35"/>
        <v>22.274006449865396</v>
      </c>
      <c r="AL18" s="20">
        <f t="shared" si="4"/>
        <v>179.10224076684889</v>
      </c>
      <c r="AM18" s="59">
        <f t="shared" si="5"/>
        <v>383.59899069972994</v>
      </c>
      <c r="AN18" s="59">
        <f ca="1">AVERAGE(OFFSET($AM$3,0,0,'Données projet'!$E$10+1,1))-AVERAGE(OFFSET($H$3,0,0,'Données projet'!$E$10+1,1))</f>
        <v>112.82287576550925</v>
      </c>
      <c r="AO18" s="59">
        <f t="shared" si="36"/>
        <v>317.78570695363294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2">
        <f>VLOOKUP(A18,'Données projet'!$A$87:$I$107,2,0)</f>
        <v>158.40769230769229</v>
      </c>
      <c r="BB18" s="12">
        <f>VLOOKUP(A18,'Données projet'!$A$87:$I$107,9,0)</f>
        <v>18.772564102564189</v>
      </c>
      <c r="BC18" s="12">
        <f t="array" ref="BC18">INDEX(BB:BB,MIN(IF(ISNUMBER(BB18:BB214),ROW(BB18:BB214),"")))</f>
        <v>18.772564102564189</v>
      </c>
      <c r="BD18" s="12">
        <f>IF('Données projet'!$A$88&gt;35,BD17+BC18-BL17,IF(A18&lt;'Données projet'!$A$88,$BA$205^A18,IF(A18='Données projet'!$A$88,'Données projet'!$B$88,BD17+BC18-BL17)))</f>
        <v>158.40769230769229</v>
      </c>
      <c r="BE18" s="13">
        <f>BD18*VLOOKUP('Données projet'!$B$11,Paramètres!$A$1:$I$89,3,0)*VLOOKUP('Données projet'!$B$11,Paramètres!$A$1:$I$89,5,0)</f>
        <v>80.559815999999998</v>
      </c>
      <c r="BF18" s="13">
        <f t="shared" si="37"/>
        <v>22.274006449865396</v>
      </c>
      <c r="BG18" s="20">
        <f t="shared" si="7"/>
        <v>179.10224076684889</v>
      </c>
      <c r="BH18" s="59">
        <f t="shared" si="8"/>
        <v>383.59899069972994</v>
      </c>
      <c r="BI18" s="59">
        <f ca="1">AVERAGE(OFFSET($BH$3,0,0,'Données projet'!$E$11+1,1))-AVERAGE(OFFSET($H$3,0,0,'Données projet'!$E$11+1,1))</f>
        <v>112.82287576550925</v>
      </c>
      <c r="BJ18" s="59">
        <f t="shared" si="38"/>
        <v>317.78570695363294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2">
        <f>VLOOKUP(A18,'Données projet'!$A$113:$I$133,2,0)</f>
        <v>158.40769230769229</v>
      </c>
      <c r="BW18" s="12">
        <f>VLOOKUP(A18,'Données projet'!$A$113:$I$133,9,0)</f>
        <v>18.772564102564189</v>
      </c>
      <c r="BX18" s="12">
        <f t="array" ref="BX18">INDEX(BW:BW,MIN(IF(ISNUMBER(BW18:BW214),ROW(BW18:BW214),"")))</f>
        <v>18.772564102564189</v>
      </c>
      <c r="BY18" s="12">
        <f>IF('Données projet'!$A$114&gt;35,BY17+BX18-CG17,IF(A18&lt;'Données projet'!$A$114,$BV$205^A18,IF(A18='Données projet'!$A$114,'Données projet'!$B$114,BY17+BX18-CG17)))</f>
        <v>158.40769230769229</v>
      </c>
      <c r="BZ18" s="13">
        <f>BY18*VLOOKUP('Données projet'!$B$12,Paramètres!$A$1:$I$89,3,0)*VLOOKUP('Données projet'!$B$12,Paramètres!$A$1:$I$89,5,0)</f>
        <v>80.559815999999998</v>
      </c>
      <c r="CA18" s="13">
        <f t="shared" si="39"/>
        <v>22.274006449865396</v>
      </c>
      <c r="CB18" s="20">
        <f t="shared" si="10"/>
        <v>179.10224076684889</v>
      </c>
      <c r="CC18" s="59">
        <f t="shared" si="11"/>
        <v>383.59899069972994</v>
      </c>
      <c r="CD18" s="59">
        <f ca="1">AVERAGE(OFFSET($CC$3,0,0,'Données projet'!$E$12+1,1))-AVERAGE(OFFSET($H$3,0,0,'Données projet'!$E$12+1,1))</f>
        <v>112.82287576550925</v>
      </c>
      <c r="CE18" s="59">
        <f t="shared" si="40"/>
        <v>317.78570695363294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>
        <f>EXP(-LN(2)/35)*CK17+(1-EXP(-LN(2)/35))/(LN(2)/35)*CG18*CH18*VLOOKUP('Données projet'!$B$12,Paramètres!$A$1:$I$89,3,0)*0.475*44/12</f>
        <v>0</v>
      </c>
      <c r="CL18" s="21">
        <f>EXP(-LN(2)/25)*CL17+(1-EXP(-LN(2)/25))/(LN(2)/25)*Calculateur!CG18*Calculateur!CI18*VLOOKUP('Données projet'!$B$12,Paramètres!$A$1:$I$89,3,0)*0.475*44/12</f>
        <v>0</v>
      </c>
      <c r="CM18" s="21">
        <f>EXP(-LN(2)/2)*CM17+(1-EXP(-LN(2)/2))/(LN(2)/2)*CG18*CJ18*VLOOKUP('Données projet'!$B$12,Paramètres!$A$1:$I$89,3,0)*0.475*44/12</f>
        <v>0</v>
      </c>
      <c r="CN18" s="22">
        <f t="shared" si="12"/>
        <v>0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5">
      <c r="A19" s="10">
        <f t="shared" si="31"/>
        <v>16</v>
      </c>
      <c r="B19" s="73">
        <f>'Scénario référence'!$B$16*5+'Scénario référence'!$B$17*0+'Scénario référence'!$B$18*5</f>
        <v>5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1">
        <f t="shared" si="32"/>
        <v>0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" s="11">
        <f>IF(OR('Scénario référence'!$F$8&gt;0,'Scénario référence'!$F$9&gt;0),('Scénario référence'!$F$8+'Scénario référence'!$F$9)*10,0)</f>
        <v>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18.333333333333332</v>
      </c>
      <c r="H19" s="67">
        <f t="shared" si="1"/>
        <v>183.33333333333334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2">
        <f>VLOOKUP(A19,'Données projet'!$A$35:$I$55,2,0)</f>
        <v>177.55</v>
      </c>
      <c r="L19" s="12">
        <f>VLOOKUP(A19,'Données projet'!$A$35:$I$55,9,0)</f>
        <v>19.142307692307725</v>
      </c>
      <c r="M19" s="12">
        <f t="array" ref="M19">INDEX(L:L,MIN(IF(ISNUMBER(L19:L215),ROW(L19:L215),"")))</f>
        <v>19.142307692307725</v>
      </c>
      <c r="N19" s="13">
        <f>IF('Données projet'!$A$36&gt;35,N18+M19-V18,IF(A19&lt;'Données projet'!$A$36,$K$205^A19,IF(A19='Données projet'!$A$36,'Données projet'!$B$36,N18+M19-V18)))</f>
        <v>177.55</v>
      </c>
      <c r="O19" s="13">
        <f>N19*VLOOKUP('Données projet'!$B$9,Paramètres!$A$1:$I$89,3,0)*VLOOKUP('Données projet'!$B$9,Paramètres!$A$1:$I$89,5,0)</f>
        <v>90.29482800000001</v>
      </c>
      <c r="P19" s="13">
        <f t="shared" si="33"/>
        <v>24.636316867930056</v>
      </c>
      <c r="Q19" s="20">
        <f t="shared" si="2"/>
        <v>200.17174397831153</v>
      </c>
      <c r="R19" s="59">
        <f t="shared" si="0"/>
        <v>407.11378990042556</v>
      </c>
      <c r="S19" s="59">
        <f ca="1">AVERAGE(OFFSET($R$3,0,0,'Données projet'!$E$9+1,1))-AVERAGE(OFFSET($H$3,0,0,'Données projet'!$E$9+1,1))</f>
        <v>112.82287576550925</v>
      </c>
      <c r="T19" s="59">
        <f t="shared" si="34"/>
        <v>317.78570695363294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2">
        <f>VLOOKUP(A19,'Données projet'!$A$61:$I$81,2,0)</f>
        <v>177.55</v>
      </c>
      <c r="AG19" s="12">
        <f>VLOOKUP(A19,'Données projet'!$A$61:$I$81,9,0)</f>
        <v>19.142307692307725</v>
      </c>
      <c r="AH19" s="12">
        <f t="array" ref="AH19">INDEX(AG:AG,MIN(IF(ISNUMBER(AG19:AG215),ROW(AG19:AG215),"")))</f>
        <v>19.142307692307725</v>
      </c>
      <c r="AI19" s="13">
        <f>IF('Données projet'!$A$62&gt;35,AI18+AH19-AQ18,IF(A19&lt;'Données projet'!$A$62,$AF$205^A19,IF(A19='Données projet'!$A$62,'Données projet'!$B$62,AI18+AH19-AQ18)))</f>
        <v>177.55</v>
      </c>
      <c r="AJ19" s="13">
        <f>AI19*VLOOKUP('Données projet'!$B$10,Paramètres!$A$1:$I$89,3,0)*VLOOKUP('Données projet'!$B$10,Paramètres!$A$1:$I$89,5,0)</f>
        <v>90.29482800000001</v>
      </c>
      <c r="AK19" s="13">
        <f t="shared" si="35"/>
        <v>24.636316867930056</v>
      </c>
      <c r="AL19" s="20">
        <f t="shared" si="4"/>
        <v>200.17174397831153</v>
      </c>
      <c r="AM19" s="59">
        <f t="shared" si="5"/>
        <v>407.11378990042556</v>
      </c>
      <c r="AN19" s="59">
        <f ca="1">AVERAGE(OFFSET($AM$3,0,0,'Données projet'!$E$10+1,1))-AVERAGE(OFFSET($H$3,0,0,'Données projet'!$E$10+1,1))</f>
        <v>112.82287576550925</v>
      </c>
      <c r="AO19" s="59">
        <f t="shared" si="36"/>
        <v>317.78570695363294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2">
        <f>VLOOKUP(A19,'Données projet'!$A$87:$I$107,2,0)</f>
        <v>177.55</v>
      </c>
      <c r="BB19" s="12">
        <f>VLOOKUP(A19,'Données projet'!$A$87:$I$107,9,0)</f>
        <v>19.142307692307725</v>
      </c>
      <c r="BC19" s="12">
        <f t="array" ref="BC19">INDEX(BB:BB,MIN(IF(ISNUMBER(BB19:BB215),ROW(BB19:BB215),"")))</f>
        <v>19.142307692307725</v>
      </c>
      <c r="BD19" s="12">
        <f>IF('Données projet'!$A$88&gt;35,BD18+BC19-BL18,IF(A19&lt;'Données projet'!$A$88,$BA$205^A19,IF(A19='Données projet'!$A$88,'Données projet'!$B$88,BD18+BC19-BL18)))</f>
        <v>177.55</v>
      </c>
      <c r="BE19" s="13">
        <f>BD19*VLOOKUP('Données projet'!$B$11,Paramètres!$A$1:$I$89,3,0)*VLOOKUP('Données projet'!$B$11,Paramètres!$A$1:$I$89,5,0)</f>
        <v>90.29482800000001</v>
      </c>
      <c r="BF19" s="13">
        <f t="shared" si="37"/>
        <v>24.636316867930056</v>
      </c>
      <c r="BG19" s="20">
        <f t="shared" si="7"/>
        <v>200.17174397831153</v>
      </c>
      <c r="BH19" s="59">
        <f t="shared" si="8"/>
        <v>407.11378990042556</v>
      </c>
      <c r="BI19" s="59">
        <f ca="1">AVERAGE(OFFSET($BH$3,0,0,'Données projet'!$E$11+1,1))-AVERAGE(OFFSET($H$3,0,0,'Données projet'!$E$11+1,1))</f>
        <v>112.82287576550925</v>
      </c>
      <c r="BJ19" s="59">
        <f t="shared" si="38"/>
        <v>317.78570695363294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2">
        <f>VLOOKUP(A19,'Données projet'!$A$113:$I$133,2,0)</f>
        <v>177.55</v>
      </c>
      <c r="BW19" s="12">
        <f>VLOOKUP(A19,'Données projet'!$A$113:$I$133,9,0)</f>
        <v>19.142307692307725</v>
      </c>
      <c r="BX19" s="12">
        <f t="array" ref="BX19">INDEX(BW:BW,MIN(IF(ISNUMBER(BW19:BW215),ROW(BW19:BW215),"")))</f>
        <v>19.142307692307725</v>
      </c>
      <c r="BY19" s="12">
        <f>IF('Données projet'!$A$114&gt;35,BY18+BX19-CG18,IF(A19&lt;'Données projet'!$A$114,$BV$205^A19,IF(A19='Données projet'!$A$114,'Données projet'!$B$114,BY18+BX19-CG18)))</f>
        <v>177.55</v>
      </c>
      <c r="BZ19" s="13">
        <f>BY19*VLOOKUP('Données projet'!$B$12,Paramètres!$A$1:$I$89,3,0)*VLOOKUP('Données projet'!$B$12,Paramètres!$A$1:$I$89,5,0)</f>
        <v>90.29482800000001</v>
      </c>
      <c r="CA19" s="13">
        <f t="shared" si="39"/>
        <v>24.636316867930056</v>
      </c>
      <c r="CB19" s="20">
        <f t="shared" si="10"/>
        <v>200.17174397831153</v>
      </c>
      <c r="CC19" s="59">
        <f t="shared" si="11"/>
        <v>407.11378990042556</v>
      </c>
      <c r="CD19" s="59">
        <f ca="1">AVERAGE(OFFSET($CC$3,0,0,'Données projet'!$E$12+1,1))-AVERAGE(OFFSET($H$3,0,0,'Données projet'!$E$12+1,1))</f>
        <v>112.82287576550925</v>
      </c>
      <c r="CE19" s="59">
        <f t="shared" si="40"/>
        <v>317.78570695363294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>
        <f>EXP(-LN(2)/35)*CK18+(1-EXP(-LN(2)/35))/(LN(2)/35)*CG19*CH19*VLOOKUP('Données projet'!$B$12,Paramètres!$A$1:$I$89,3,0)*0.475*44/12</f>
        <v>0</v>
      </c>
      <c r="CL19" s="21">
        <f>EXP(-LN(2)/25)*CL18+(1-EXP(-LN(2)/25))/(LN(2)/25)*Calculateur!CG19*Calculateur!CI19*VLOOKUP('Données projet'!$B$12,Paramètres!$A$1:$I$89,3,0)*0.475*44/12</f>
        <v>0</v>
      </c>
      <c r="CM19" s="21">
        <f>EXP(-LN(2)/2)*CM18+(1-EXP(-LN(2)/2))/(LN(2)/2)*CG19*CJ19*VLOOKUP('Données projet'!$B$12,Paramètres!$A$1:$I$89,3,0)*0.475*44/12</f>
        <v>0</v>
      </c>
      <c r="CN19" s="22">
        <f t="shared" si="12"/>
        <v>0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5">
      <c r="A20" s="10">
        <f t="shared" si="31"/>
        <v>17</v>
      </c>
      <c r="B20" s="73">
        <f>'Scénario référence'!$B$16*5+'Scénario référence'!$B$17*0+'Scénario référence'!$B$18*5</f>
        <v>5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1">
        <f t="shared" si="32"/>
        <v>0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" s="11">
        <f>IF(OR('Scénario référence'!$F$8&gt;0,'Scénario référence'!$F$9&gt;0),('Scénario référence'!$F$8+'Scénario référence'!$F$9)*10,0)</f>
        <v>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18.333333333333332</v>
      </c>
      <c r="H20" s="67">
        <f t="shared" si="1"/>
        <v>183.33333333333334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2">
        <f>VLOOKUP(A20,'Données projet'!$A$35:$I$55,2,0)</f>
        <v>196.90551282051271</v>
      </c>
      <c r="L20" s="12">
        <f>VLOOKUP(A20,'Données projet'!$A$35:$I$55,9,0)</f>
        <v>19.355512820512701</v>
      </c>
      <c r="M20" s="12">
        <f t="array" ref="M20">INDEX(L:L,MIN(IF(ISNUMBER(L20:L216),ROW(L20:L216),"")))</f>
        <v>19.355512820512701</v>
      </c>
      <c r="N20" s="13">
        <f>IF('Données projet'!$A$36&gt;35,N19+M20-V19,IF(A20&lt;'Données projet'!$A$36,$K$205^A20,IF(A20='Données projet'!$A$36,'Données projet'!$B$36,N19+M20-V19)))</f>
        <v>196.90551282051271</v>
      </c>
      <c r="O20" s="13">
        <f>N20*VLOOKUP('Données projet'!$B$9,Paramètres!$A$1:$I$89,3,0)*VLOOKUP('Données projet'!$B$9,Paramètres!$A$1:$I$89,5,0)</f>
        <v>100.13826759999995</v>
      </c>
      <c r="P20" s="13">
        <f t="shared" si="33"/>
        <v>26.994935247983022</v>
      </c>
      <c r="Q20" s="20">
        <f t="shared" si="2"/>
        <v>221.42366162690368</v>
      </c>
      <c r="R20" s="59">
        <f t="shared" si="0"/>
        <v>430.7897859427764</v>
      </c>
      <c r="S20" s="59">
        <f ca="1">AVERAGE(OFFSET($R$3,0,0,'Données projet'!$E$9+1,1))-AVERAGE(OFFSET($H$3,0,0,'Données projet'!$E$9+1,1))</f>
        <v>112.82287576550925</v>
      </c>
      <c r="T20" s="59">
        <f t="shared" si="34"/>
        <v>317.78570695363294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2">
        <f>VLOOKUP(A20,'Données projet'!$A$61:$I$81,2,0)</f>
        <v>196.90551282051271</v>
      </c>
      <c r="AG20" s="12">
        <f>VLOOKUP(A20,'Données projet'!$A$61:$I$81,9,0)</f>
        <v>19.355512820512701</v>
      </c>
      <c r="AH20" s="12">
        <f t="array" ref="AH20">INDEX(AG:AG,MIN(IF(ISNUMBER(AG20:AG216),ROW(AG20:AG216),"")))</f>
        <v>19.355512820512701</v>
      </c>
      <c r="AI20" s="13">
        <f>IF('Données projet'!$A$62&gt;35,AI19+AH20-AQ19,IF(A20&lt;'Données projet'!$A$62,$AF$205^A20,IF(A20='Données projet'!$A$62,'Données projet'!$B$62,AI19+AH20-AQ19)))</f>
        <v>196.90551282051271</v>
      </c>
      <c r="AJ20" s="13">
        <f>AI20*VLOOKUP('Données projet'!$B$10,Paramètres!$A$1:$I$89,3,0)*VLOOKUP('Données projet'!$B$10,Paramètres!$A$1:$I$89,5,0)</f>
        <v>100.13826759999995</v>
      </c>
      <c r="AK20" s="13">
        <f t="shared" si="35"/>
        <v>26.994935247983022</v>
      </c>
      <c r="AL20" s="20">
        <f t="shared" si="4"/>
        <v>221.42366162690368</v>
      </c>
      <c r="AM20" s="59">
        <f t="shared" si="5"/>
        <v>430.7897859427764</v>
      </c>
      <c r="AN20" s="59">
        <f ca="1">AVERAGE(OFFSET($AM$3,0,0,'Données projet'!$E$10+1,1))-AVERAGE(OFFSET($H$3,0,0,'Données projet'!$E$10+1,1))</f>
        <v>112.82287576550925</v>
      </c>
      <c r="AO20" s="59">
        <f t="shared" si="36"/>
        <v>317.78570695363294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2">
        <f>VLOOKUP(A20,'Données projet'!$A$87:$I$107,2,0)</f>
        <v>196.90551282051271</v>
      </c>
      <c r="BB20" s="12">
        <f>VLOOKUP(A20,'Données projet'!$A$87:$I$107,9,0)</f>
        <v>19.355512820512701</v>
      </c>
      <c r="BC20" s="12">
        <f t="array" ref="BC20">INDEX(BB:BB,MIN(IF(ISNUMBER(BB20:BB216),ROW(BB20:BB216),"")))</f>
        <v>19.355512820512701</v>
      </c>
      <c r="BD20" s="12">
        <f>IF('Données projet'!$A$88&gt;35,BD19+BC20-BL19,IF(A20&lt;'Données projet'!$A$88,$BA$205^A20,IF(A20='Données projet'!$A$88,'Données projet'!$B$88,BD19+BC20-BL19)))</f>
        <v>196.90551282051271</v>
      </c>
      <c r="BE20" s="13">
        <f>BD20*VLOOKUP('Données projet'!$B$11,Paramètres!$A$1:$I$89,3,0)*VLOOKUP('Données projet'!$B$11,Paramètres!$A$1:$I$89,5,0)</f>
        <v>100.13826759999995</v>
      </c>
      <c r="BF20" s="13">
        <f t="shared" si="37"/>
        <v>26.994935247983022</v>
      </c>
      <c r="BG20" s="20">
        <f t="shared" si="7"/>
        <v>221.42366162690368</v>
      </c>
      <c r="BH20" s="59">
        <f t="shared" si="8"/>
        <v>430.7897859427764</v>
      </c>
      <c r="BI20" s="59">
        <f ca="1">AVERAGE(OFFSET($BH$3,0,0,'Données projet'!$E$11+1,1))-AVERAGE(OFFSET($H$3,0,0,'Données projet'!$E$11+1,1))</f>
        <v>112.82287576550925</v>
      </c>
      <c r="BJ20" s="59">
        <f t="shared" si="38"/>
        <v>317.78570695363294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2">
        <f>VLOOKUP(A20,'Données projet'!$A$113:$I$133,2,0)</f>
        <v>196.90551282051271</v>
      </c>
      <c r="BW20" s="12">
        <f>VLOOKUP(A20,'Données projet'!$A$113:$I$133,9,0)</f>
        <v>19.355512820512701</v>
      </c>
      <c r="BX20" s="12">
        <f t="array" ref="BX20">INDEX(BW:BW,MIN(IF(ISNUMBER(BW20:BW216),ROW(BW20:BW216),"")))</f>
        <v>19.355512820512701</v>
      </c>
      <c r="BY20" s="12">
        <f>IF('Données projet'!$A$114&gt;35,BY19+BX20-CG19,IF(A20&lt;'Données projet'!$A$114,$BV$205^A20,IF(A20='Données projet'!$A$114,'Données projet'!$B$114,BY19+BX20-CG19)))</f>
        <v>196.90551282051271</v>
      </c>
      <c r="BZ20" s="13">
        <f>BY20*VLOOKUP('Données projet'!$B$12,Paramètres!$A$1:$I$89,3,0)*VLOOKUP('Données projet'!$B$12,Paramètres!$A$1:$I$89,5,0)</f>
        <v>100.13826759999995</v>
      </c>
      <c r="CA20" s="13">
        <f t="shared" si="39"/>
        <v>26.994935247983022</v>
      </c>
      <c r="CB20" s="20">
        <f t="shared" si="10"/>
        <v>221.42366162690368</v>
      </c>
      <c r="CC20" s="59">
        <f t="shared" si="11"/>
        <v>430.7897859427764</v>
      </c>
      <c r="CD20" s="59">
        <f ca="1">AVERAGE(OFFSET($CC$3,0,0,'Données projet'!$E$12+1,1))-AVERAGE(OFFSET($H$3,0,0,'Données projet'!$E$12+1,1))</f>
        <v>112.82287576550925</v>
      </c>
      <c r="CE20" s="59">
        <f t="shared" si="40"/>
        <v>317.78570695363294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>
        <f>EXP(-LN(2)/35)*CK19+(1-EXP(-LN(2)/35))/(LN(2)/35)*CG20*CH20*VLOOKUP('Données projet'!$B$12,Paramètres!$A$1:$I$89,3,0)*0.475*44/12</f>
        <v>0</v>
      </c>
      <c r="CL20" s="21">
        <f>EXP(-LN(2)/25)*CL19+(1-EXP(-LN(2)/25))/(LN(2)/25)*Calculateur!CG20*Calculateur!CI20*VLOOKUP('Données projet'!$B$12,Paramètres!$A$1:$I$89,3,0)*0.475*44/12</f>
        <v>0</v>
      </c>
      <c r="CM20" s="21">
        <f>EXP(-LN(2)/2)*CM19+(1-EXP(-LN(2)/2))/(LN(2)/2)*CG20*CJ20*VLOOKUP('Données projet'!$B$12,Paramètres!$A$1:$I$89,3,0)*0.475*44/12</f>
        <v>0</v>
      </c>
      <c r="CN20" s="22">
        <f t="shared" si="12"/>
        <v>0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5">
      <c r="A21" s="10">
        <f t="shared" si="31"/>
        <v>18</v>
      </c>
      <c r="B21" s="73">
        <f>'Scénario référence'!$B$16*5+'Scénario référence'!$B$17*0+'Scénario référence'!$B$18*5</f>
        <v>5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1">
        <f t="shared" si="32"/>
        <v>0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1" s="11">
        <f>IF(OR('Scénario référence'!$F$8&gt;0,'Scénario référence'!$F$9&gt;0),('Scénario référence'!$F$8+'Scénario référence'!$F$9)*10,0)</f>
        <v>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18.333333333333332</v>
      </c>
      <c r="H21" s="67">
        <f t="shared" si="1"/>
        <v>183.33333333333334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2">
        <f>VLOOKUP(A21,'Données projet'!$A$35:$I$55,2,0)</f>
        <v>216.31769230769231</v>
      </c>
      <c r="L21" s="12">
        <f>VLOOKUP(A21,'Données projet'!$A$35:$I$55,9,0)</f>
        <v>19.4121794871796</v>
      </c>
      <c r="M21" s="12">
        <f t="array" ref="M21">INDEX(L:L,MIN(IF(ISNUMBER(L21:L217),ROW(L21:L217),"")))</f>
        <v>19.4121794871796</v>
      </c>
      <c r="N21" s="13">
        <f>IF('Données projet'!$A$36&gt;35,N20+M21-V20,IF(A21&lt;'Données projet'!$A$36,$K$205^A21,IF(A21='Données projet'!$A$36,'Données projet'!$B$36,N20+M21-V20)))</f>
        <v>216.31769230769231</v>
      </c>
      <c r="O21" s="13">
        <f>N21*VLOOKUP('Données projet'!$B$9,Paramètres!$A$1:$I$89,3,0)*VLOOKUP('Données projet'!$B$9,Paramètres!$A$1:$I$89,5,0)</f>
        <v>110.01052560000002</v>
      </c>
      <c r="P21" s="13">
        <f t="shared" si="33"/>
        <v>29.333464472205538</v>
      </c>
      <c r="Q21" s="20">
        <f t="shared" si="2"/>
        <v>242.69078270909134</v>
      </c>
      <c r="R21" s="59">
        <f t="shared" si="0"/>
        <v>454.46013590109442</v>
      </c>
      <c r="S21" s="59">
        <f ca="1">AVERAGE(OFFSET($R$3,0,0,'Données projet'!$E$9+1,1))-AVERAGE(OFFSET($H$3,0,0,'Données projet'!$E$9+1,1))</f>
        <v>112.82287576550925</v>
      </c>
      <c r="T21" s="59">
        <f t="shared" si="34"/>
        <v>317.78570695363294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2">
        <f>VLOOKUP(A21,'Données projet'!$A$61:$I$81,2,0)</f>
        <v>216.31769230769231</v>
      </c>
      <c r="AG21" s="12">
        <f>VLOOKUP(A21,'Données projet'!$A$61:$I$81,9,0)</f>
        <v>19.4121794871796</v>
      </c>
      <c r="AH21" s="12">
        <f t="array" ref="AH21">INDEX(AG:AG,MIN(IF(ISNUMBER(AG21:AG217),ROW(AG21:AG217),"")))</f>
        <v>19.4121794871796</v>
      </c>
      <c r="AI21" s="13">
        <f>IF('Données projet'!$A$62&gt;35,AI20+AH21-AQ20,IF(A21&lt;'Données projet'!$A$62,$AF$205^A21,IF(A21='Données projet'!$A$62,'Données projet'!$B$62,AI20+AH21-AQ20)))</f>
        <v>216.31769230769231</v>
      </c>
      <c r="AJ21" s="13">
        <f>AI21*VLOOKUP('Données projet'!$B$10,Paramètres!$A$1:$I$89,3,0)*VLOOKUP('Données projet'!$B$10,Paramètres!$A$1:$I$89,5,0)</f>
        <v>110.01052560000002</v>
      </c>
      <c r="AK21" s="13">
        <f t="shared" si="35"/>
        <v>29.333464472205538</v>
      </c>
      <c r="AL21" s="20">
        <f t="shared" si="4"/>
        <v>242.69078270909134</v>
      </c>
      <c r="AM21" s="59">
        <f t="shared" si="5"/>
        <v>454.46013590109442</v>
      </c>
      <c r="AN21" s="59">
        <f ca="1">AVERAGE(OFFSET($AM$3,0,0,'Données projet'!$E$10+1,1))-AVERAGE(OFFSET($H$3,0,0,'Données projet'!$E$10+1,1))</f>
        <v>112.82287576550925</v>
      </c>
      <c r="AO21" s="59">
        <f t="shared" si="36"/>
        <v>317.78570695363294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2">
        <f>VLOOKUP(A21,'Données projet'!$A$87:$I$107,2,0)</f>
        <v>216.31769230769231</v>
      </c>
      <c r="BB21" s="12">
        <f>VLOOKUP(A21,'Données projet'!$A$87:$I$107,9,0)</f>
        <v>19.4121794871796</v>
      </c>
      <c r="BC21" s="12">
        <f t="array" ref="BC21">INDEX(BB:BB,MIN(IF(ISNUMBER(BB21:BB217),ROW(BB21:BB217),"")))</f>
        <v>19.4121794871796</v>
      </c>
      <c r="BD21" s="12">
        <f>IF('Données projet'!$A$88&gt;35,BD20+BC21-BL20,IF(A21&lt;'Données projet'!$A$88,$BA$205^A21,IF(A21='Données projet'!$A$88,'Données projet'!$B$88,BD20+BC21-BL20)))</f>
        <v>216.31769230769231</v>
      </c>
      <c r="BE21" s="13">
        <f>BD21*VLOOKUP('Données projet'!$B$11,Paramètres!$A$1:$I$89,3,0)*VLOOKUP('Données projet'!$B$11,Paramètres!$A$1:$I$89,5,0)</f>
        <v>110.01052560000002</v>
      </c>
      <c r="BF21" s="13">
        <f t="shared" si="37"/>
        <v>29.333464472205538</v>
      </c>
      <c r="BG21" s="20">
        <f t="shared" si="7"/>
        <v>242.69078270909134</v>
      </c>
      <c r="BH21" s="59">
        <f t="shared" si="8"/>
        <v>454.46013590109442</v>
      </c>
      <c r="BI21" s="59">
        <f ca="1">AVERAGE(OFFSET($BH$3,0,0,'Données projet'!$E$11+1,1))-AVERAGE(OFFSET($H$3,0,0,'Données projet'!$E$11+1,1))</f>
        <v>112.82287576550925</v>
      </c>
      <c r="BJ21" s="59">
        <f t="shared" si="38"/>
        <v>317.78570695363294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2">
        <f>VLOOKUP(A21,'Données projet'!$A$113:$I$133,2,0)</f>
        <v>216.31769230769231</v>
      </c>
      <c r="BW21" s="12">
        <f>VLOOKUP(A21,'Données projet'!$A$113:$I$133,9,0)</f>
        <v>19.4121794871796</v>
      </c>
      <c r="BX21" s="12">
        <f t="array" ref="BX21">INDEX(BW:BW,MIN(IF(ISNUMBER(BW21:BW217),ROW(BW21:BW217),"")))</f>
        <v>19.4121794871796</v>
      </c>
      <c r="BY21" s="12">
        <f>IF('Données projet'!$A$114&gt;35,BY20+BX21-CG20,IF(A21&lt;'Données projet'!$A$114,$BV$205^A21,IF(A21='Données projet'!$A$114,'Données projet'!$B$114,BY20+BX21-CG20)))</f>
        <v>216.31769230769231</v>
      </c>
      <c r="BZ21" s="13">
        <f>BY21*VLOOKUP('Données projet'!$B$12,Paramètres!$A$1:$I$89,3,0)*VLOOKUP('Données projet'!$B$12,Paramètres!$A$1:$I$89,5,0)</f>
        <v>110.01052560000002</v>
      </c>
      <c r="CA21" s="13">
        <f t="shared" si="39"/>
        <v>29.333464472205538</v>
      </c>
      <c r="CB21" s="20">
        <f t="shared" si="10"/>
        <v>242.69078270909134</v>
      </c>
      <c r="CC21" s="59">
        <f t="shared" si="11"/>
        <v>454.46013590109442</v>
      </c>
      <c r="CD21" s="59">
        <f ca="1">AVERAGE(OFFSET($CC$3,0,0,'Données projet'!$E$12+1,1))-AVERAGE(OFFSET($H$3,0,0,'Données projet'!$E$12+1,1))</f>
        <v>112.82287576550925</v>
      </c>
      <c r="CE21" s="59">
        <f t="shared" si="40"/>
        <v>317.78570695363294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>
        <f>EXP(-LN(2)/35)*CK20+(1-EXP(-LN(2)/35))/(LN(2)/35)*CG21*CH21*VLOOKUP('Données projet'!$B$12,Paramètres!$A$1:$I$89,3,0)*0.475*44/12</f>
        <v>0</v>
      </c>
      <c r="CL21" s="21">
        <f>EXP(-LN(2)/25)*CL20+(1-EXP(-LN(2)/25))/(LN(2)/25)*Calculateur!CG21*Calculateur!CI21*VLOOKUP('Données projet'!$B$12,Paramètres!$A$1:$I$89,3,0)*0.475*44/12</f>
        <v>0</v>
      </c>
      <c r="CM21" s="21">
        <f>EXP(-LN(2)/2)*CM20+(1-EXP(-LN(2)/2))/(LN(2)/2)*CG21*CJ21*VLOOKUP('Données projet'!$B$12,Paramètres!$A$1:$I$89,3,0)*0.475*44/12</f>
        <v>0</v>
      </c>
      <c r="CN21" s="22">
        <f t="shared" si="12"/>
        <v>0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5">
      <c r="A22" s="10">
        <f t="shared" si="31"/>
        <v>19</v>
      </c>
      <c r="B22" s="73">
        <f>'Scénario référence'!$B$16*5+'Scénario référence'!$B$17*0+'Scénario référence'!$B$18*5</f>
        <v>5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1">
        <f t="shared" si="32"/>
        <v>0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2" s="11">
        <f>IF(OR('Scénario référence'!$F$8&gt;0,'Scénario référence'!$F$9&gt;0),('Scénario référence'!$F$8+'Scénario référence'!$F$9)*10,0)</f>
        <v>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18.333333333333332</v>
      </c>
      <c r="H22" s="67">
        <f t="shared" si="1"/>
        <v>183.33333333333334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2">
        <f>VLOOKUP(A22,'Données projet'!$A$35:$I$55,2,0)</f>
        <v>235.63</v>
      </c>
      <c r="L22" s="12">
        <f>VLOOKUP(A22,'Données projet'!$A$35:$I$55,9,0)</f>
        <v>19.312307692307684</v>
      </c>
      <c r="M22" s="12">
        <f t="array" ref="M22">INDEX(L:L,MIN(IF(ISNUMBER(L22:L218),ROW(L22:L218),"")))</f>
        <v>19.312307692307684</v>
      </c>
      <c r="N22" s="13">
        <f>IF('Données projet'!$A$36&gt;35,N21+M22-V21,IF(A22&lt;'Données projet'!$A$36,$K$205^A22,IF(A22='Données projet'!$A$36,'Données projet'!$B$36,N21+M22-V21)))</f>
        <v>235.63</v>
      </c>
      <c r="O22" s="13">
        <f>N22*VLOOKUP('Données projet'!$B$9,Paramètres!$A$1:$I$89,3,0)*VLOOKUP('Données projet'!$B$9,Paramètres!$A$1:$I$89,5,0)</f>
        <v>119.83199280000001</v>
      </c>
      <c r="P22" s="13">
        <f t="shared" si="33"/>
        <v>31.635811179125575</v>
      </c>
      <c r="Q22" s="20">
        <f t="shared" si="2"/>
        <v>263.80642526364375</v>
      </c>
      <c r="R22" s="59">
        <f t="shared" si="0"/>
        <v>477.95851950666724</v>
      </c>
      <c r="S22" s="59">
        <f ca="1">AVERAGE(OFFSET($R$3,0,0,'Données projet'!$E$9+1,1))-AVERAGE(OFFSET($H$3,0,0,'Données projet'!$E$9+1,1))</f>
        <v>112.82287576550925</v>
      </c>
      <c r="T22" s="59">
        <f t="shared" si="34"/>
        <v>317.78570695363294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2">
        <f>VLOOKUP(A22,'Données projet'!$A$61:$I$81,2,0)</f>
        <v>235.63</v>
      </c>
      <c r="AG22" s="12">
        <f>VLOOKUP(A22,'Données projet'!$A$61:$I$81,9,0)</f>
        <v>19.312307692307684</v>
      </c>
      <c r="AH22" s="12">
        <f t="array" ref="AH22">INDEX(AG:AG,MIN(IF(ISNUMBER(AG22:AG218),ROW(AG22:AG218),"")))</f>
        <v>19.312307692307684</v>
      </c>
      <c r="AI22" s="13">
        <f>IF('Données projet'!$A$62&gt;35,AI21+AH22-AQ21,IF(A22&lt;'Données projet'!$A$62,$AF$205^A22,IF(A22='Données projet'!$A$62,'Données projet'!$B$62,AI21+AH22-AQ21)))</f>
        <v>235.63</v>
      </c>
      <c r="AJ22" s="13">
        <f>AI22*VLOOKUP('Données projet'!$B$10,Paramètres!$A$1:$I$89,3,0)*VLOOKUP('Données projet'!$B$10,Paramètres!$A$1:$I$89,5,0)</f>
        <v>119.83199280000001</v>
      </c>
      <c r="AK22" s="13">
        <f t="shared" si="35"/>
        <v>31.635811179125575</v>
      </c>
      <c r="AL22" s="20">
        <f t="shared" si="4"/>
        <v>263.80642526364375</v>
      </c>
      <c r="AM22" s="59">
        <f t="shared" si="5"/>
        <v>477.95851950666724</v>
      </c>
      <c r="AN22" s="59">
        <f ca="1">AVERAGE(OFFSET($AM$3,0,0,'Données projet'!$E$10+1,1))-AVERAGE(OFFSET($H$3,0,0,'Données projet'!$E$10+1,1))</f>
        <v>112.82287576550925</v>
      </c>
      <c r="AO22" s="59">
        <f t="shared" si="36"/>
        <v>317.78570695363294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2">
        <f>VLOOKUP(A22,'Données projet'!$A$87:$I$107,2,0)</f>
        <v>235.63</v>
      </c>
      <c r="BB22" s="12">
        <f>VLOOKUP(A22,'Données projet'!$A$87:$I$107,9,0)</f>
        <v>19.312307692307684</v>
      </c>
      <c r="BC22" s="12">
        <f t="array" ref="BC22">INDEX(BB:BB,MIN(IF(ISNUMBER(BB22:BB218),ROW(BB22:BB218),"")))</f>
        <v>19.312307692307684</v>
      </c>
      <c r="BD22" s="12">
        <f>IF('Données projet'!$A$88&gt;35,BD21+BC22-BL21,IF(A22&lt;'Données projet'!$A$88,$BA$205^A22,IF(A22='Données projet'!$A$88,'Données projet'!$B$88,BD21+BC22-BL21)))</f>
        <v>235.63</v>
      </c>
      <c r="BE22" s="13">
        <f>BD22*VLOOKUP('Données projet'!$B$11,Paramètres!$A$1:$I$89,3,0)*VLOOKUP('Données projet'!$B$11,Paramètres!$A$1:$I$89,5,0)</f>
        <v>119.83199280000001</v>
      </c>
      <c r="BF22" s="13">
        <f t="shared" si="37"/>
        <v>31.635811179125575</v>
      </c>
      <c r="BG22" s="20">
        <f t="shared" si="7"/>
        <v>263.80642526364375</v>
      </c>
      <c r="BH22" s="59">
        <f t="shared" si="8"/>
        <v>477.95851950666724</v>
      </c>
      <c r="BI22" s="59">
        <f ca="1">AVERAGE(OFFSET($BH$3,0,0,'Données projet'!$E$11+1,1))-AVERAGE(OFFSET($H$3,0,0,'Données projet'!$E$11+1,1))</f>
        <v>112.82287576550925</v>
      </c>
      <c r="BJ22" s="59">
        <f t="shared" si="38"/>
        <v>317.78570695363294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2">
        <f>VLOOKUP(A22,'Données projet'!$A$113:$I$133,2,0)</f>
        <v>235.63</v>
      </c>
      <c r="BW22" s="12">
        <f>VLOOKUP(A22,'Données projet'!$A$113:$I$133,9,0)</f>
        <v>19.312307692307684</v>
      </c>
      <c r="BX22" s="12">
        <f t="array" ref="BX22">INDEX(BW:BW,MIN(IF(ISNUMBER(BW22:BW218),ROW(BW22:BW218),"")))</f>
        <v>19.312307692307684</v>
      </c>
      <c r="BY22" s="12">
        <f>IF('Données projet'!$A$114&gt;35,BY21+BX22-CG21,IF(A22&lt;'Données projet'!$A$114,$BV$205^A22,IF(A22='Données projet'!$A$114,'Données projet'!$B$114,BY21+BX22-CG21)))</f>
        <v>235.63</v>
      </c>
      <c r="BZ22" s="13">
        <f>BY22*VLOOKUP('Données projet'!$B$12,Paramètres!$A$1:$I$89,3,0)*VLOOKUP('Données projet'!$B$12,Paramètres!$A$1:$I$89,5,0)</f>
        <v>119.83199280000001</v>
      </c>
      <c r="CA22" s="13">
        <f t="shared" si="39"/>
        <v>31.635811179125575</v>
      </c>
      <c r="CB22" s="20">
        <f t="shared" si="10"/>
        <v>263.80642526364375</v>
      </c>
      <c r="CC22" s="59">
        <f t="shared" si="11"/>
        <v>477.95851950666724</v>
      </c>
      <c r="CD22" s="59">
        <f ca="1">AVERAGE(OFFSET($CC$3,0,0,'Données projet'!$E$12+1,1))-AVERAGE(OFFSET($H$3,0,0,'Données projet'!$E$12+1,1))</f>
        <v>112.82287576550925</v>
      </c>
      <c r="CE22" s="59">
        <f t="shared" si="40"/>
        <v>317.78570695363294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>
        <f>EXP(-LN(2)/35)*CK21+(1-EXP(-LN(2)/35))/(LN(2)/35)*CG22*CH22*VLOOKUP('Données projet'!$B$12,Paramètres!$A$1:$I$89,3,0)*0.475*44/12</f>
        <v>0</v>
      </c>
      <c r="CL22" s="21">
        <f>EXP(-LN(2)/25)*CL21+(1-EXP(-LN(2)/25))/(LN(2)/25)*Calculateur!CG22*Calculateur!CI22*VLOOKUP('Données projet'!$B$12,Paramètres!$A$1:$I$89,3,0)*0.475*44/12</f>
        <v>0</v>
      </c>
      <c r="CM22" s="21">
        <f>EXP(-LN(2)/2)*CM21+(1-EXP(-LN(2)/2))/(LN(2)/2)*CG22*CJ22*VLOOKUP('Données projet'!$B$12,Paramètres!$A$1:$I$89,3,0)*0.475*44/12</f>
        <v>0</v>
      </c>
      <c r="CN22" s="22">
        <f t="shared" si="12"/>
        <v>0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5">
      <c r="A23" s="10">
        <f t="shared" si="31"/>
        <v>20</v>
      </c>
      <c r="B23" s="73">
        <f>'Scénario référence'!$B$16*5+'Scénario référence'!$B$17*0+'Scénario référence'!$B$18*5</f>
        <v>5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1">
        <f t="shared" si="32"/>
        <v>0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3" s="11">
        <f>IF(OR('Scénario référence'!$F$8&gt;0,'Scénario référence'!$F$9&gt;0),('Scénario référence'!$F$8+'Scénario référence'!$F$9)*10,0)</f>
        <v>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18.333333333333332</v>
      </c>
      <c r="H23" s="67">
        <f t="shared" si="1"/>
        <v>183.33333333333334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2">
        <f>VLOOKUP(A23,'Données projet'!$A$35:$I$55,2,0)</f>
        <v>254.68589743589729</v>
      </c>
      <c r="L23" s="12">
        <f>VLOOKUP(A23,'Données projet'!$A$35:$I$55,9,0)</f>
        <v>19.055897435897293</v>
      </c>
      <c r="M23" s="12">
        <f t="array" ref="M23">INDEX(L:L,MIN(IF(ISNUMBER(L23:L219),ROW(L23:L219),"")))</f>
        <v>19.055897435897293</v>
      </c>
      <c r="N23" s="13">
        <f>IF('Données projet'!$A$36&gt;35,N22+M23-V22,IF(A23&lt;'Données projet'!$A$36,$K$205^A23,IF(A23='Données projet'!$A$36,'Données projet'!$B$36,N22+M23-V22)))</f>
        <v>254.68589743589729</v>
      </c>
      <c r="O23" s="13">
        <f>N23*VLOOKUP('Données projet'!$B$9,Paramètres!$A$1:$I$89,3,0)*VLOOKUP('Données projet'!$B$9,Paramètres!$A$1:$I$89,5,0)</f>
        <v>129.52305999999993</v>
      </c>
      <c r="P23" s="13">
        <f t="shared" si="33"/>
        <v>33.886128937839644</v>
      </c>
      <c r="Q23" s="20">
        <f t="shared" si="2"/>
        <v>284.60433740007062</v>
      </c>
      <c r="R23" s="59">
        <f t="shared" si="0"/>
        <v>501.11904028696631</v>
      </c>
      <c r="S23" s="59">
        <f ca="1">AVERAGE(OFFSET($R$3,0,0,'Données projet'!$E$9+1,1))-AVERAGE(OFFSET($H$3,0,0,'Données projet'!$E$9+1,1))</f>
        <v>112.82287576550925</v>
      </c>
      <c r="T23" s="59">
        <f t="shared" si="34"/>
        <v>317.78570695363294</v>
      </c>
      <c r="U23" s="15" t="str">
        <f>IF(ISNA(VLOOKUP(A23,'Données projet'!$A$35:$I$55,3,0)),0,VLOOKUP(A23,'Données projet'!$A$35:$I$55,3,0))</f>
        <v>CR</v>
      </c>
      <c r="V23" s="15">
        <f>IF(ISNA(VLOOKUP(A23,'Données projet'!$A$35:$I$55,4,0)),0,VLOOKUP(A23,'Données projet'!$A$35:$I$55,4,0))</f>
        <v>254.68589743589729</v>
      </c>
      <c r="W23" s="16">
        <f>IF(ISNA(VLOOKUP(A23,'Données projet'!$A$35:$I$55,5,0)),0%,VLOOKUP(A23,'Données projet'!$A$35:$I$55,5,0)*VLOOKUP('Données projet'!$B$9,Paramètres!$A$1:$I$89,7,0))</f>
        <v>0.42</v>
      </c>
      <c r="X23" s="16">
        <f>IF(ISNA(VLOOKUP(A23,'Données projet'!$A$35:$I$55,6,0)),0%,VLOOKUP(A23,'Données projet'!$A$35:$I$55,6,0)*VLOOKUP('Données projet'!$B$9,Paramètres!$A$1:$I$89,7,0))</f>
        <v>0.09</v>
      </c>
      <c r="Y23" s="16">
        <f>IF(ISNA(VLOOKUP(A23,'Données projet'!$A$35:$I$55,7,0)),0%,VLOOKUP(A23,'Données projet'!$A$35:$I$55,7,0))</f>
        <v>0.15</v>
      </c>
      <c r="Z23" s="21">
        <f>EXP(-LN(2)/35)*Z22+(1-EXP(-LN(2)/35))/(LN(2)/35)*V23*W23*VLOOKUP('Données projet'!$B$9,Paramètres!$A$1:$I$89,3,0)*0.475*44/12</f>
        <v>60.137240644516964</v>
      </c>
      <c r="AA23" s="21">
        <f>EXP(-LN(2)/25)*AA22+(1-EXP(-LN(2)/25))/(LN(2)/25)*Calculateur!V23*Calculateur!X23*VLOOKUP('Données projet'!$B$9,Paramètres!$A$1:$I$89,3,0)*0.475*44/12</f>
        <v>12.835812303003083</v>
      </c>
      <c r="AB23" s="21">
        <f>EXP(-LN(2)/2)*AB22+(1-EXP(-LN(2)/2))/(LN(2)/2)*V23*Y23*VLOOKUP('Données projet'!$B$9,Paramètres!$A$1:$I$89,3,0)*0.475*44/12</f>
        <v>18.331273975807274</v>
      </c>
      <c r="AC23" s="22">
        <f t="shared" si="3"/>
        <v>91.304326923327324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2">
        <f>VLOOKUP(A23,'Données projet'!$A$61:$I$81,2,0)</f>
        <v>254.68589743589729</v>
      </c>
      <c r="AG23" s="12">
        <f>VLOOKUP(A23,'Données projet'!$A$61:$I$81,9,0)</f>
        <v>19.055897435897293</v>
      </c>
      <c r="AH23" s="12">
        <f t="array" ref="AH23">INDEX(AG:AG,MIN(IF(ISNUMBER(AG23:AG219),ROW(AG23:AG219),"")))</f>
        <v>19.055897435897293</v>
      </c>
      <c r="AI23" s="13">
        <f>IF('Données projet'!$A$62&gt;35,AI22+AH23-AQ22,IF(A23&lt;'Données projet'!$A$62,$AF$205^A23,IF(A23='Données projet'!$A$62,'Données projet'!$B$62,AI22+AH23-AQ22)))</f>
        <v>254.68589743589729</v>
      </c>
      <c r="AJ23" s="13">
        <f>AI23*VLOOKUP('Données projet'!$B$10,Paramètres!$A$1:$I$89,3,0)*VLOOKUP('Données projet'!$B$10,Paramètres!$A$1:$I$89,5,0)</f>
        <v>129.52305999999993</v>
      </c>
      <c r="AK23" s="13">
        <f t="shared" si="35"/>
        <v>33.886128937839644</v>
      </c>
      <c r="AL23" s="20">
        <f t="shared" si="4"/>
        <v>284.60433740007062</v>
      </c>
      <c r="AM23" s="59">
        <f t="shared" si="5"/>
        <v>501.11904028696631</v>
      </c>
      <c r="AN23" s="59">
        <f ca="1">AVERAGE(OFFSET($AM$3,0,0,'Données projet'!$E$10+1,1))-AVERAGE(OFFSET($H$3,0,0,'Données projet'!$E$10+1,1))</f>
        <v>112.82287576550925</v>
      </c>
      <c r="AO23" s="59">
        <f t="shared" si="36"/>
        <v>317.78570695363294</v>
      </c>
      <c r="AP23" s="15" t="str">
        <f>IF(ISNA(VLOOKUP(A23,'Données projet'!$A$61:$I$81,3,0)),0,VLOOKUP(A23,'Données projet'!$A$61:$I$81,3,0))</f>
        <v>CR</v>
      </c>
      <c r="AQ23" s="15">
        <f>IF(ISNA(VLOOKUP(A23,'Données projet'!$A$61:$I$81,4,0)),0,VLOOKUP(A23,'Données projet'!$A$61:$I$81,4,0))</f>
        <v>254.68589743589729</v>
      </c>
      <c r="AR23" s="16">
        <f>IF(ISNA(VLOOKUP(A23,'Données projet'!$A$61:$I$81,5,0)),0%,VLOOKUP(A23,'Données projet'!$A$61:$I$81,5,0)*VLOOKUP('Données projet'!$B$10,Paramètres!$A$1:$I$89,7,0))</f>
        <v>0.42</v>
      </c>
      <c r="AS23" s="16">
        <f>IF(ISNA(VLOOKUP(A23,'Données projet'!$A$61:$I$81,6,0)),0%,VLOOKUP(A23,'Données projet'!$A$61:$I$81,6,0)*VLOOKUP('Données projet'!$B$10,Paramètres!$A$1:$I$89,7,0))</f>
        <v>0.09</v>
      </c>
      <c r="AT23" s="16">
        <f>IF(ISNA(VLOOKUP(A23,'Données projet'!$A$61:$I$81,7,0)),0%,VLOOKUP(A23,'Données projet'!$A$61:$I$81,7,0))</f>
        <v>0.15</v>
      </c>
      <c r="AU23" s="21">
        <f>EXP(-LN(2)/35)*AU22+(1-EXP(-LN(2)/35))/(LN(2)/35)*AQ23*AR23*VLOOKUP('Données projet'!$B$10,Paramètres!$A$1:$I$89,3,0)*0.475*44/12</f>
        <v>60.137240644516964</v>
      </c>
      <c r="AV23" s="21">
        <f>EXP(-LN(2)/25)*AV22+(1-EXP(-LN(2)/25))/(LN(2)/25)*Calculateur!AQ23*Calculateur!AS23*VLOOKUP('Données projet'!$B$10,Paramètres!$A$1:$I$89,3,0)*0.475*44/12</f>
        <v>12.835812303003083</v>
      </c>
      <c r="AW23" s="21">
        <f>EXP(-LN(2)/2)*AW22+(1-EXP(-LN(2)/2))/(LN(2)/2)*AQ23*AT23*VLOOKUP('Données projet'!$B$10,Paramètres!$A$1:$I$89,3,0)*0.475*44/12</f>
        <v>18.331273975807274</v>
      </c>
      <c r="AX23" s="21">
        <f t="shared" si="6"/>
        <v>91.304326923327324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2">
        <f>VLOOKUP(A23,'Données projet'!$A$87:$I$107,2,0)</f>
        <v>254.68589743589729</v>
      </c>
      <c r="BB23" s="12">
        <f>VLOOKUP(A23,'Données projet'!$A$87:$I$107,9,0)</f>
        <v>19.055897435897293</v>
      </c>
      <c r="BC23" s="12">
        <f t="array" ref="BC23">INDEX(BB:BB,MIN(IF(ISNUMBER(BB23:BB219),ROW(BB23:BB219),"")))</f>
        <v>19.055897435897293</v>
      </c>
      <c r="BD23" s="12">
        <f>IF('Données projet'!$A$88&gt;35,BD22+BC23-BL22,IF(A23&lt;'Données projet'!$A$88,$BA$205^A23,IF(A23='Données projet'!$A$88,'Données projet'!$B$88,BD22+BC23-BL22)))</f>
        <v>254.68589743589729</v>
      </c>
      <c r="BE23" s="13">
        <f>BD23*VLOOKUP('Données projet'!$B$11,Paramètres!$A$1:$I$89,3,0)*VLOOKUP('Données projet'!$B$11,Paramètres!$A$1:$I$89,5,0)</f>
        <v>129.52305999999993</v>
      </c>
      <c r="BF23" s="13">
        <f t="shared" si="37"/>
        <v>33.886128937839644</v>
      </c>
      <c r="BG23" s="20">
        <f t="shared" si="7"/>
        <v>284.60433740007062</v>
      </c>
      <c r="BH23" s="59">
        <f t="shared" si="8"/>
        <v>501.11904028696631</v>
      </c>
      <c r="BI23" s="59">
        <f ca="1">AVERAGE(OFFSET($BH$3,0,0,'Données projet'!$E$11+1,1))-AVERAGE(OFFSET($H$3,0,0,'Données projet'!$E$11+1,1))</f>
        <v>112.82287576550925</v>
      </c>
      <c r="BJ23" s="59">
        <f t="shared" si="38"/>
        <v>317.78570695363294</v>
      </c>
      <c r="BK23" s="15" t="str">
        <f>IF(ISNA(VLOOKUP(A23,'Données projet'!$A$87:$I$107,3,0)),0,VLOOKUP(A23,'Données projet'!$A$87:$I$107,3,0))</f>
        <v>CR</v>
      </c>
      <c r="BL23" s="15">
        <f>IF(ISNA(VLOOKUP(A23,'Données projet'!$A$87:$I$107,4,0)),0,VLOOKUP(A23,'Données projet'!$A$87:$I$107,4,0))</f>
        <v>254.68589743589729</v>
      </c>
      <c r="BM23" s="16">
        <f>IF(ISNA(VLOOKUP(A23,'Données projet'!$A$87:$I$107,5,0)),0%,VLOOKUP(A23,'Données projet'!$A$87:$I$107,5,0)*VLOOKUP('Données projet'!$B$11,Paramètres!$A$1:$I$89,7,0))</f>
        <v>0.42</v>
      </c>
      <c r="BN23" s="16">
        <f>IF(ISNA(VLOOKUP(A23,'Données projet'!$A$87:$I$107,6,0)),0%,VLOOKUP(A23,'Données projet'!$A$87:$I$107,6,0)*VLOOKUP('Données projet'!$B$11,Paramètres!$A$1:$I$89,7,0))</f>
        <v>0.09</v>
      </c>
      <c r="BO23" s="16">
        <f>IF(ISNA(VLOOKUP(A23,'Données projet'!$A$87:$I$107,7,0)),0%,VLOOKUP(A23,'Données projet'!$A$87:$I$107,7,0))</f>
        <v>0.15</v>
      </c>
      <c r="BP23" s="21">
        <f>EXP(-LN(2)/35)*BP22+(1-EXP(-LN(2)/35))/(LN(2)/35)*BL23*BM23*VLOOKUP('Données projet'!$B$11,Paramètres!$A$1:$I$89,3,0)*0.475*44/12</f>
        <v>60.137240644516964</v>
      </c>
      <c r="BQ23" s="21">
        <f>EXP(-LN(2)/25)*BQ22+(1-EXP(-LN(2)/25))/(LN(2)/25)*Calculateur!BL23*Calculateur!BN23*VLOOKUP('Données projet'!$B$11,Paramètres!$A$1:$I$89,3,0)*0.475*44/12</f>
        <v>12.835812303003083</v>
      </c>
      <c r="BR23" s="21">
        <f>EXP(-LN(2)/2)*BR22+(1-EXP(-LN(2)/2))/(LN(2)/2)*BL23*BO23*VLOOKUP('Données projet'!$B$11,Paramètres!$A$1:$I$89,3,0)*0.475*44/12</f>
        <v>18.331273975807274</v>
      </c>
      <c r="BS23" s="22">
        <f t="shared" si="9"/>
        <v>91.304326923327324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2">
        <f>VLOOKUP(A23,'Données projet'!$A$113:$I$133,2,0)</f>
        <v>254.68589743589729</v>
      </c>
      <c r="BW23" s="12">
        <f>VLOOKUP(A23,'Données projet'!$A$113:$I$133,9,0)</f>
        <v>19.055897435897293</v>
      </c>
      <c r="BX23" s="12">
        <f t="array" ref="BX23">INDEX(BW:BW,MIN(IF(ISNUMBER(BW23:BW219),ROW(BW23:BW219),"")))</f>
        <v>19.055897435897293</v>
      </c>
      <c r="BY23" s="12">
        <f>IF('Données projet'!$A$114&gt;35,BY22+BX23-CG22,IF(A23&lt;'Données projet'!$A$114,$BV$205^A23,IF(A23='Données projet'!$A$114,'Données projet'!$B$114,BY22+BX23-CG22)))</f>
        <v>254.68589743589729</v>
      </c>
      <c r="BZ23" s="13">
        <f>BY23*VLOOKUP('Données projet'!$B$12,Paramètres!$A$1:$I$89,3,0)*VLOOKUP('Données projet'!$B$12,Paramètres!$A$1:$I$89,5,0)</f>
        <v>129.52305999999993</v>
      </c>
      <c r="CA23" s="13">
        <f t="shared" si="39"/>
        <v>33.886128937839644</v>
      </c>
      <c r="CB23" s="20">
        <f t="shared" si="10"/>
        <v>284.60433740007062</v>
      </c>
      <c r="CC23" s="59">
        <f t="shared" si="11"/>
        <v>501.11904028696631</v>
      </c>
      <c r="CD23" s="59">
        <f ca="1">AVERAGE(OFFSET($CC$3,0,0,'Données projet'!$E$12+1,1))-AVERAGE(OFFSET($H$3,0,0,'Données projet'!$E$12+1,1))</f>
        <v>112.82287576550925</v>
      </c>
      <c r="CE23" s="59">
        <f t="shared" si="40"/>
        <v>317.78570695363294</v>
      </c>
      <c r="CF23" s="15" t="str">
        <f>IF(ISNA(VLOOKUP(A23,'Données projet'!$A$113:$I$133,3,0)),0,VLOOKUP(A23,'Données projet'!$A$113:$I$133,3,0))</f>
        <v>CR</v>
      </c>
      <c r="CG23" s="15">
        <f>IF(ISNA(VLOOKUP(A23,'Données projet'!$A$113:$I$133,4,0)),0,VLOOKUP(A23,'Données projet'!$A$113:$I$133,4,0))</f>
        <v>254.68589743589729</v>
      </c>
      <c r="CH23" s="16">
        <f>IF(ISNA(VLOOKUP(A23,'Données projet'!$A$113:$I$133,5,0)),0%,VLOOKUP(A23,'Données projet'!$A$113:$I$133,5,0)*VLOOKUP('Données projet'!$B$12,Paramètres!$A$1:$I$89,7,0))</f>
        <v>0.42</v>
      </c>
      <c r="CI23" s="16">
        <f>IF(ISNA(VLOOKUP(A23,'Données projet'!$A$113:$I$133,6,0)),0%,VLOOKUP(A23,'Données projet'!$A$113:$I$133,6,0)*VLOOKUP('Données projet'!$B$12,Paramètres!$A$1:$I$89,7,0))</f>
        <v>0.09</v>
      </c>
      <c r="CJ23" s="16">
        <f>IF(ISNA(VLOOKUP(A23,'Données projet'!$A$113:$I$133,7,0)),0%,VLOOKUP(A23,'Données projet'!$A$113:$I$133,7,0))</f>
        <v>0.15</v>
      </c>
      <c r="CK23" s="21">
        <f>EXP(-LN(2)/35)*CK22+(1-EXP(-LN(2)/35))/(LN(2)/35)*CG23*CH23*VLOOKUP('Données projet'!$B$12,Paramètres!$A$1:$I$89,3,0)*0.475*44/12</f>
        <v>60.137240644516964</v>
      </c>
      <c r="CL23" s="21">
        <f>EXP(-LN(2)/25)*CL22+(1-EXP(-LN(2)/25))/(LN(2)/25)*Calculateur!CG23*Calculateur!CI23*VLOOKUP('Données projet'!$B$12,Paramètres!$A$1:$I$89,3,0)*0.475*44/12</f>
        <v>12.835812303003083</v>
      </c>
      <c r="CM23" s="21">
        <f>EXP(-LN(2)/2)*CM22+(1-EXP(-LN(2)/2))/(LN(2)/2)*CG23*CJ23*VLOOKUP('Données projet'!$B$12,Paramètres!$A$1:$I$89,3,0)*0.475*44/12</f>
        <v>18.331273975807274</v>
      </c>
      <c r="CN23" s="22">
        <f t="shared" si="12"/>
        <v>91.304326923327324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5">
      <c r="A24" s="10">
        <f t="shared" si="31"/>
        <v>21</v>
      </c>
      <c r="B24" s="73">
        <f>'Scénario référence'!$B$16*5+'Scénario référence'!$B$17*0+'Scénario référence'!$B$18*5</f>
        <v>5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1">
        <f t="shared" si="32"/>
        <v>0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4" s="11">
        <f>IF(OR('Scénario référence'!$F$8&gt;0,'Scénario référence'!$F$9&gt;0),('Scénario référence'!$F$8+'Scénario référence'!$F$9)*10,0)</f>
        <v>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18.333333333333332</v>
      </c>
      <c r="H24" s="67">
        <f t="shared" si="1"/>
        <v>183.33333333333334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0</v>
      </c>
      <c r="N24" s="13">
        <f>IF('Données projet'!$A$36&gt;35,N23+M24-V23,IF(A24&lt;'Données projet'!$A$36,$K$205^A24,IF(A24='Données projet'!$A$36,'Données projet'!$B$36,N23+M24-V23)))</f>
        <v>0</v>
      </c>
      <c r="O24" s="13">
        <f>N24*VLOOKUP('Données projet'!$B$9,Paramètres!$A$1:$I$89,3,0)*VLOOKUP('Données projet'!$B$9,Paramètres!$A$1:$I$89,5,0)</f>
        <v>0</v>
      </c>
      <c r="P24" s="13" t="e">
        <f t="shared" si="33"/>
        <v>#NUM!</v>
      </c>
      <c r="Q24" s="20" t="e">
        <f t="shared" si="2"/>
        <v>#NUM!</v>
      </c>
      <c r="R24" s="59" t="e">
        <f t="shared" si="0"/>
        <v>#NUM!</v>
      </c>
      <c r="S24" s="59">
        <f ca="1">AVERAGE(OFFSET($R$3,0,0,'Données projet'!$E$9+1,1))-AVERAGE(OFFSET($H$3,0,0,'Données projet'!$E$9+1,1))</f>
        <v>112.82287576550925</v>
      </c>
      <c r="T24" s="59">
        <f t="shared" si="34"/>
        <v>317.78570695363294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58.957986035572922</v>
      </c>
      <c r="AA24" s="21">
        <f>EXP(-LN(2)/25)*AA23+(1-EXP(-LN(2)/25))/(LN(2)/25)*Calculateur!V24*Calculateur!X24*VLOOKUP('Données projet'!$B$9,Paramètres!$A$1:$I$89,3,0)*0.475*44/12</f>
        <v>12.484816340571431</v>
      </c>
      <c r="AB24" s="21">
        <f>EXP(-LN(2)/2)*AB23+(1-EXP(-LN(2)/2))/(LN(2)/2)*V24*Y24*VLOOKUP('Données projet'!$B$9,Paramètres!$A$1:$I$89,3,0)*0.475*44/12</f>
        <v>12.962168136081809</v>
      </c>
      <c r="AC24" s="22">
        <f t="shared" si="3"/>
        <v>84.404970512226171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0</v>
      </c>
      <c r="AI24" s="13">
        <f>IF('Données projet'!$A$62&gt;35,AI23+AH24-AQ23,IF(A24&lt;'Données projet'!$A$62,$AF$205^A24,IF(A24='Données projet'!$A$62,'Données projet'!$B$62,AI23+AH24-AQ23)))</f>
        <v>0</v>
      </c>
      <c r="AJ24" s="13">
        <f>AI24*VLOOKUP('Données projet'!$B$10,Paramètres!$A$1:$I$89,3,0)*VLOOKUP('Données projet'!$B$10,Paramètres!$A$1:$I$89,5,0)</f>
        <v>0</v>
      </c>
      <c r="AK24" s="13" t="e">
        <f t="shared" si="35"/>
        <v>#NUM!</v>
      </c>
      <c r="AL24" s="20" t="e">
        <f t="shared" si="4"/>
        <v>#NUM!</v>
      </c>
      <c r="AM24" s="59" t="e">
        <f t="shared" si="5"/>
        <v>#NUM!</v>
      </c>
      <c r="AN24" s="59">
        <f ca="1">AVERAGE(OFFSET($AM$3,0,0,'Données projet'!$E$10+1,1))-AVERAGE(OFFSET($H$3,0,0,'Données projet'!$E$10+1,1))</f>
        <v>112.82287576550925</v>
      </c>
      <c r="AO24" s="59">
        <f t="shared" si="36"/>
        <v>317.78570695363294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58.957986035572922</v>
      </c>
      <c r="AV24" s="21">
        <f>EXP(-LN(2)/25)*AV23+(1-EXP(-LN(2)/25))/(LN(2)/25)*Calculateur!AQ24*Calculateur!AS24*VLOOKUP('Données projet'!$B$10,Paramètres!$A$1:$I$89,3,0)*0.475*44/12</f>
        <v>12.484816340571431</v>
      </c>
      <c r="AW24" s="21">
        <f>EXP(-LN(2)/2)*AW23+(1-EXP(-LN(2)/2))/(LN(2)/2)*AQ24*AT24*VLOOKUP('Données projet'!$B$10,Paramètres!$A$1:$I$89,3,0)*0.475*44/12</f>
        <v>12.962168136081809</v>
      </c>
      <c r="AX24" s="21">
        <f t="shared" si="6"/>
        <v>84.404970512226171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0</v>
      </c>
      <c r="BD24" s="12">
        <f>IF('Données projet'!$A$88&gt;35,BD23+BC24-BL23,IF(A24&lt;'Données projet'!$A$88,$BA$205^A24,IF(A24='Données projet'!$A$88,'Données projet'!$B$88,BD23+BC24-BL23)))</f>
        <v>0</v>
      </c>
      <c r="BE24" s="13">
        <f>BD24*VLOOKUP('Données projet'!$B$11,Paramètres!$A$1:$I$89,3,0)*VLOOKUP('Données projet'!$B$11,Paramètres!$A$1:$I$89,5,0)</f>
        <v>0</v>
      </c>
      <c r="BF24" s="13" t="e">
        <f t="shared" si="37"/>
        <v>#NUM!</v>
      </c>
      <c r="BG24" s="20" t="e">
        <f t="shared" si="7"/>
        <v>#NUM!</v>
      </c>
      <c r="BH24" s="59" t="e">
        <f t="shared" si="8"/>
        <v>#NUM!</v>
      </c>
      <c r="BI24" s="59">
        <f ca="1">AVERAGE(OFFSET($BH$3,0,0,'Données projet'!$E$11+1,1))-AVERAGE(OFFSET($H$3,0,0,'Données projet'!$E$11+1,1))</f>
        <v>112.82287576550925</v>
      </c>
      <c r="BJ24" s="59">
        <f t="shared" si="38"/>
        <v>317.78570695363294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58.957986035572922</v>
      </c>
      <c r="BQ24" s="21">
        <f>EXP(-LN(2)/25)*BQ23+(1-EXP(-LN(2)/25))/(LN(2)/25)*Calculateur!BL24*Calculateur!BN24*VLOOKUP('Données projet'!$B$11,Paramètres!$A$1:$I$89,3,0)*0.475*44/12</f>
        <v>12.484816340571431</v>
      </c>
      <c r="BR24" s="21">
        <f>EXP(-LN(2)/2)*BR23+(1-EXP(-LN(2)/2))/(LN(2)/2)*BL24*BO24*VLOOKUP('Données projet'!$B$11,Paramètres!$A$1:$I$89,3,0)*0.475*44/12</f>
        <v>12.962168136081809</v>
      </c>
      <c r="BS24" s="22">
        <f t="shared" si="9"/>
        <v>84.404970512226171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</v>
      </c>
      <c r="BY24" s="12">
        <f>IF('Données projet'!$A$114&gt;35,BY23+BX24-CG23,IF(A24&lt;'Données projet'!$A$114,$BV$205^A24,IF(A24='Données projet'!$A$114,'Données projet'!$B$114,BY23+BX24-CG23)))</f>
        <v>0</v>
      </c>
      <c r="BZ24" s="13">
        <f>BY24*VLOOKUP('Données projet'!$B$12,Paramètres!$A$1:$I$89,3,0)*VLOOKUP('Données projet'!$B$12,Paramètres!$A$1:$I$89,5,0)</f>
        <v>0</v>
      </c>
      <c r="CA24" s="13" t="e">
        <f t="shared" si="39"/>
        <v>#NUM!</v>
      </c>
      <c r="CB24" s="20" t="e">
        <f t="shared" si="10"/>
        <v>#NUM!</v>
      </c>
      <c r="CC24" s="59" t="e">
        <f t="shared" si="11"/>
        <v>#NUM!</v>
      </c>
      <c r="CD24" s="59">
        <f ca="1">AVERAGE(OFFSET($CC$3,0,0,'Données projet'!$E$12+1,1))-AVERAGE(OFFSET($H$3,0,0,'Données projet'!$E$12+1,1))</f>
        <v>112.82287576550925</v>
      </c>
      <c r="CE24" s="59">
        <f t="shared" si="40"/>
        <v>317.78570695363294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>
        <f>EXP(-LN(2)/35)*CK23+(1-EXP(-LN(2)/35))/(LN(2)/35)*CG24*CH24*VLOOKUP('Données projet'!$B$12,Paramètres!$A$1:$I$89,3,0)*0.475*44/12</f>
        <v>58.957986035572922</v>
      </c>
      <c r="CL24" s="21">
        <f>EXP(-LN(2)/25)*CL23+(1-EXP(-LN(2)/25))/(LN(2)/25)*Calculateur!CG24*Calculateur!CI24*VLOOKUP('Données projet'!$B$12,Paramètres!$A$1:$I$89,3,0)*0.475*44/12</f>
        <v>12.484816340571431</v>
      </c>
      <c r="CM24" s="21">
        <f>EXP(-LN(2)/2)*CM23+(1-EXP(-LN(2)/2))/(LN(2)/2)*CG24*CJ24*VLOOKUP('Données projet'!$B$12,Paramètres!$A$1:$I$89,3,0)*0.475*44/12</f>
        <v>12.962168136081809</v>
      </c>
      <c r="CN24" s="22">
        <f t="shared" si="12"/>
        <v>84.404970512226171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5">
      <c r="A25" s="10">
        <f t="shared" si="31"/>
        <v>22</v>
      </c>
      <c r="B25" s="73">
        <f>'Scénario référence'!$B$16*5+'Scénario référence'!$B$17*0+'Scénario référence'!$B$18*5</f>
        <v>5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1">
        <f t="shared" si="32"/>
        <v>0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5" s="11">
        <f>IF(OR('Scénario référence'!$F$8&gt;0,'Scénario référence'!$F$9&gt;0),('Scénario référence'!$F$8+'Scénario référence'!$F$9)*10,0)</f>
        <v>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18.333333333333332</v>
      </c>
      <c r="H25" s="67">
        <f t="shared" si="1"/>
        <v>183.33333333333334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0</v>
      </c>
      <c r="N25" s="13">
        <f>IF('Données projet'!$A$36&gt;35,N24+M25-V24,IF(A25&lt;'Données projet'!$A$36,$K$205^A25,IF(A25='Données projet'!$A$36,'Données projet'!$B$36,N24+M25-V24)))</f>
        <v>0</v>
      </c>
      <c r="O25" s="13">
        <f>N25*VLOOKUP('Données projet'!$B$9,Paramètres!$A$1:$I$89,3,0)*VLOOKUP('Données projet'!$B$9,Paramètres!$A$1:$I$89,5,0)</f>
        <v>0</v>
      </c>
      <c r="P25" s="13" t="e">
        <f t="shared" si="33"/>
        <v>#NUM!</v>
      </c>
      <c r="Q25" s="20" t="e">
        <f t="shared" si="2"/>
        <v>#NUM!</v>
      </c>
      <c r="R25" s="59" t="e">
        <f t="shared" si="0"/>
        <v>#NUM!</v>
      </c>
      <c r="S25" s="59">
        <f ca="1">AVERAGE(OFFSET($R$3,0,0,'Données projet'!$E$9+1,1))-AVERAGE(OFFSET($H$3,0,0,'Données projet'!$E$9+1,1))</f>
        <v>112.82287576550925</v>
      </c>
      <c r="T25" s="59">
        <f t="shared" si="34"/>
        <v>317.78570695363294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57.801855890235984</v>
      </c>
      <c r="AA25" s="21">
        <f>EXP(-LN(2)/25)*AA24+(1-EXP(-LN(2)/25))/(LN(2)/25)*Calculateur!V25*Calculateur!X25*VLOOKUP('Données projet'!$B$9,Paramètres!$A$1:$I$89,3,0)*0.475*44/12</f>
        <v>12.143418381190548</v>
      </c>
      <c r="AB25" s="21">
        <f>EXP(-LN(2)/2)*AB24+(1-EXP(-LN(2)/2))/(LN(2)/2)*V25*Y25*VLOOKUP('Données projet'!$B$9,Paramètres!$A$1:$I$89,3,0)*0.475*44/12</f>
        <v>9.165636987903639</v>
      </c>
      <c r="AC25" s="22">
        <f t="shared" si="3"/>
        <v>79.110911259330166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0</v>
      </c>
      <c r="AI25" s="13">
        <f>IF('Données projet'!$A$62&gt;35,AI24+AH25-AQ24,IF(A25&lt;'Données projet'!$A$62,$AF$205^A25,IF(A25='Données projet'!$A$62,'Données projet'!$B$62,AI24+AH25-AQ24)))</f>
        <v>0</v>
      </c>
      <c r="AJ25" s="13">
        <f>AI25*VLOOKUP('Données projet'!$B$10,Paramètres!$A$1:$I$89,3,0)*VLOOKUP('Données projet'!$B$10,Paramètres!$A$1:$I$89,5,0)</f>
        <v>0</v>
      </c>
      <c r="AK25" s="13" t="e">
        <f t="shared" si="35"/>
        <v>#NUM!</v>
      </c>
      <c r="AL25" s="20" t="e">
        <f t="shared" si="4"/>
        <v>#NUM!</v>
      </c>
      <c r="AM25" s="59" t="e">
        <f t="shared" si="5"/>
        <v>#NUM!</v>
      </c>
      <c r="AN25" s="59">
        <f ca="1">AVERAGE(OFFSET($AM$3,0,0,'Données projet'!$E$10+1,1))-AVERAGE(OFFSET($H$3,0,0,'Données projet'!$E$10+1,1))</f>
        <v>112.82287576550925</v>
      </c>
      <c r="AO25" s="59">
        <f t="shared" si="36"/>
        <v>317.78570695363294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57.801855890235984</v>
      </c>
      <c r="AV25" s="21">
        <f>EXP(-LN(2)/25)*AV24+(1-EXP(-LN(2)/25))/(LN(2)/25)*Calculateur!AQ25*Calculateur!AS25*VLOOKUP('Données projet'!$B$10,Paramètres!$A$1:$I$89,3,0)*0.475*44/12</f>
        <v>12.143418381190548</v>
      </c>
      <c r="AW25" s="21">
        <f>EXP(-LN(2)/2)*AW24+(1-EXP(-LN(2)/2))/(LN(2)/2)*AQ25*AT25*VLOOKUP('Données projet'!$B$10,Paramètres!$A$1:$I$89,3,0)*0.475*44/12</f>
        <v>9.165636987903639</v>
      </c>
      <c r="AX25" s="21">
        <f t="shared" si="6"/>
        <v>79.110911259330166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0</v>
      </c>
      <c r="BD25" s="12">
        <f>IF('Données projet'!$A$88&gt;35,BD24+BC25-BL24,IF(A25&lt;'Données projet'!$A$88,$BA$205^A25,IF(A25='Données projet'!$A$88,'Données projet'!$B$88,BD24+BC25-BL24)))</f>
        <v>0</v>
      </c>
      <c r="BE25" s="13">
        <f>BD25*VLOOKUP('Données projet'!$B$11,Paramètres!$A$1:$I$89,3,0)*VLOOKUP('Données projet'!$B$11,Paramètres!$A$1:$I$89,5,0)</f>
        <v>0</v>
      </c>
      <c r="BF25" s="13" t="e">
        <f t="shared" si="37"/>
        <v>#NUM!</v>
      </c>
      <c r="BG25" s="20" t="e">
        <f t="shared" si="7"/>
        <v>#NUM!</v>
      </c>
      <c r="BH25" s="59" t="e">
        <f t="shared" si="8"/>
        <v>#NUM!</v>
      </c>
      <c r="BI25" s="59">
        <f ca="1">AVERAGE(OFFSET($BH$3,0,0,'Données projet'!$E$11+1,1))-AVERAGE(OFFSET($H$3,0,0,'Données projet'!$E$11+1,1))</f>
        <v>112.82287576550925</v>
      </c>
      <c r="BJ25" s="59">
        <f t="shared" si="38"/>
        <v>317.78570695363294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57.801855890235984</v>
      </c>
      <c r="BQ25" s="21">
        <f>EXP(-LN(2)/25)*BQ24+(1-EXP(-LN(2)/25))/(LN(2)/25)*Calculateur!BL25*Calculateur!BN25*VLOOKUP('Données projet'!$B$11,Paramètres!$A$1:$I$89,3,0)*0.475*44/12</f>
        <v>12.143418381190548</v>
      </c>
      <c r="BR25" s="21">
        <f>EXP(-LN(2)/2)*BR24+(1-EXP(-LN(2)/2))/(LN(2)/2)*BL25*BO25*VLOOKUP('Données projet'!$B$11,Paramètres!$A$1:$I$89,3,0)*0.475*44/12</f>
        <v>9.165636987903639</v>
      </c>
      <c r="BS25" s="22">
        <f t="shared" si="9"/>
        <v>79.110911259330166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</v>
      </c>
      <c r="BY25" s="12">
        <f>IF('Données projet'!$A$114&gt;35,BY24+BX25-CG24,IF(A25&lt;'Données projet'!$A$114,$BV$205^A25,IF(A25='Données projet'!$A$114,'Données projet'!$B$114,BY24+BX25-CG24)))</f>
        <v>0</v>
      </c>
      <c r="BZ25" s="13">
        <f>BY25*VLOOKUP('Données projet'!$B$12,Paramètres!$A$1:$I$89,3,0)*VLOOKUP('Données projet'!$B$12,Paramètres!$A$1:$I$89,5,0)</f>
        <v>0</v>
      </c>
      <c r="CA25" s="13" t="e">
        <f t="shared" si="39"/>
        <v>#NUM!</v>
      </c>
      <c r="CB25" s="20" t="e">
        <f t="shared" si="10"/>
        <v>#NUM!</v>
      </c>
      <c r="CC25" s="59" t="e">
        <f t="shared" si="11"/>
        <v>#NUM!</v>
      </c>
      <c r="CD25" s="59">
        <f ca="1">AVERAGE(OFFSET($CC$3,0,0,'Données projet'!$E$12+1,1))-AVERAGE(OFFSET($H$3,0,0,'Données projet'!$E$12+1,1))</f>
        <v>112.82287576550925</v>
      </c>
      <c r="CE25" s="59">
        <f t="shared" si="40"/>
        <v>317.78570695363294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>
        <f>EXP(-LN(2)/35)*CK24+(1-EXP(-LN(2)/35))/(LN(2)/35)*CG25*CH25*VLOOKUP('Données projet'!$B$12,Paramètres!$A$1:$I$89,3,0)*0.475*44/12</f>
        <v>57.801855890235984</v>
      </c>
      <c r="CL25" s="21">
        <f>EXP(-LN(2)/25)*CL24+(1-EXP(-LN(2)/25))/(LN(2)/25)*Calculateur!CG25*Calculateur!CI25*VLOOKUP('Données projet'!$B$12,Paramètres!$A$1:$I$89,3,0)*0.475*44/12</f>
        <v>12.143418381190548</v>
      </c>
      <c r="CM25" s="21">
        <f>EXP(-LN(2)/2)*CM24+(1-EXP(-LN(2)/2))/(LN(2)/2)*CG25*CJ25*VLOOKUP('Données projet'!$B$12,Paramètres!$A$1:$I$89,3,0)*0.475*44/12</f>
        <v>9.165636987903639</v>
      </c>
      <c r="CN25" s="22">
        <f t="shared" si="12"/>
        <v>79.110911259330166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5">
      <c r="A26" s="10">
        <f t="shared" si="31"/>
        <v>23</v>
      </c>
      <c r="B26" s="73">
        <f>'Scénario référence'!$B$16*5+'Scénario référence'!$B$17*0+'Scénario référence'!$B$18*5</f>
        <v>5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1">
        <f t="shared" si="32"/>
        <v>0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6" s="11">
        <f>IF(OR('Scénario référence'!$F$8&gt;0,'Scénario référence'!$F$9&gt;0),('Scénario référence'!$F$8+'Scénario référence'!$F$9)*10,0)</f>
        <v>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18.333333333333332</v>
      </c>
      <c r="H26" s="67">
        <f t="shared" si="1"/>
        <v>183.33333333333334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0</v>
      </c>
      <c r="N26" s="13">
        <f>IF('Données projet'!$A$36&gt;35,N25+M26-V25,IF(A26&lt;'Données projet'!$A$36,$K$205^A26,IF(A26='Données projet'!$A$36,'Données projet'!$B$36,N25+M26-V25)))</f>
        <v>0</v>
      </c>
      <c r="O26" s="13">
        <f>N26*VLOOKUP('Données projet'!$B$9,Paramètres!$A$1:$I$89,3,0)*VLOOKUP('Données projet'!$B$9,Paramètres!$A$1:$I$89,5,0)</f>
        <v>0</v>
      </c>
      <c r="P26" s="13" t="e">
        <f t="shared" si="33"/>
        <v>#NUM!</v>
      </c>
      <c r="Q26" s="20" t="e">
        <f t="shared" si="2"/>
        <v>#NUM!</v>
      </c>
      <c r="R26" s="59" t="e">
        <f t="shared" si="0"/>
        <v>#NUM!</v>
      </c>
      <c r="S26" s="59">
        <f ca="1">AVERAGE(OFFSET($R$3,0,0,'Données projet'!$E$9+1,1))-AVERAGE(OFFSET($H$3,0,0,'Données projet'!$E$9+1,1))</f>
        <v>112.82287576550925</v>
      </c>
      <c r="T26" s="59">
        <f t="shared" si="34"/>
        <v>317.78570695363294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56.668396751879342</v>
      </c>
      <c r="AA26" s="21">
        <f>EXP(-LN(2)/25)*AA25+(1-EXP(-LN(2)/25))/(LN(2)/25)*Calculateur!V26*Calculateur!X26*VLOOKUP('Données projet'!$B$9,Paramètres!$A$1:$I$89,3,0)*0.475*44/12</f>
        <v>11.811355966962275</v>
      </c>
      <c r="AB26" s="21">
        <f>EXP(-LN(2)/2)*AB25+(1-EXP(-LN(2)/2))/(LN(2)/2)*V26*Y26*VLOOKUP('Données projet'!$B$9,Paramètres!$A$1:$I$89,3,0)*0.475*44/12</f>
        <v>6.4810840680409054</v>
      </c>
      <c r="AC26" s="22">
        <f t="shared" si="3"/>
        <v>74.96083678688251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0</v>
      </c>
      <c r="AI26" s="13">
        <f>IF('Données projet'!$A$62&gt;35,AI25+AH26-AQ25,IF(A26&lt;'Données projet'!$A$62,$AF$205^A26,IF(A26='Données projet'!$A$62,'Données projet'!$B$62,AI25+AH26-AQ25)))</f>
        <v>0</v>
      </c>
      <c r="AJ26" s="13">
        <f>AI26*VLOOKUP('Données projet'!$B$10,Paramètres!$A$1:$I$89,3,0)*VLOOKUP('Données projet'!$B$10,Paramètres!$A$1:$I$89,5,0)</f>
        <v>0</v>
      </c>
      <c r="AK26" s="13" t="e">
        <f t="shared" si="35"/>
        <v>#NUM!</v>
      </c>
      <c r="AL26" s="20" t="e">
        <f t="shared" si="4"/>
        <v>#NUM!</v>
      </c>
      <c r="AM26" s="59" t="e">
        <f t="shared" si="5"/>
        <v>#NUM!</v>
      </c>
      <c r="AN26" s="59">
        <f ca="1">AVERAGE(OFFSET($AM$3,0,0,'Données projet'!$E$10+1,1))-AVERAGE(OFFSET($H$3,0,0,'Données projet'!$E$10+1,1))</f>
        <v>112.82287576550925</v>
      </c>
      <c r="AO26" s="59">
        <f t="shared" si="36"/>
        <v>317.78570695363294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56.668396751879342</v>
      </c>
      <c r="AV26" s="21">
        <f>EXP(-LN(2)/25)*AV25+(1-EXP(-LN(2)/25))/(LN(2)/25)*Calculateur!AQ26*Calculateur!AS26*VLOOKUP('Données projet'!$B$10,Paramètres!$A$1:$I$89,3,0)*0.475*44/12</f>
        <v>11.811355966962275</v>
      </c>
      <c r="AW26" s="21">
        <f>EXP(-LN(2)/2)*AW25+(1-EXP(-LN(2)/2))/(LN(2)/2)*AQ26*AT26*VLOOKUP('Données projet'!$B$10,Paramètres!$A$1:$I$89,3,0)*0.475*44/12</f>
        <v>6.4810840680409054</v>
      </c>
      <c r="AX26" s="21">
        <f t="shared" si="6"/>
        <v>74.96083678688251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0</v>
      </c>
      <c r="BD26" s="12">
        <f>IF('Données projet'!$A$88&gt;35,BD25+BC26-BL25,IF(A26&lt;'Données projet'!$A$88,$BA$205^A26,IF(A26='Données projet'!$A$88,'Données projet'!$B$88,BD25+BC26-BL25)))</f>
        <v>0</v>
      </c>
      <c r="BE26" s="13">
        <f>BD26*VLOOKUP('Données projet'!$B$11,Paramètres!$A$1:$I$89,3,0)*VLOOKUP('Données projet'!$B$11,Paramètres!$A$1:$I$89,5,0)</f>
        <v>0</v>
      </c>
      <c r="BF26" s="13" t="e">
        <f t="shared" si="37"/>
        <v>#NUM!</v>
      </c>
      <c r="BG26" s="20" t="e">
        <f t="shared" si="7"/>
        <v>#NUM!</v>
      </c>
      <c r="BH26" s="59" t="e">
        <f t="shared" si="8"/>
        <v>#NUM!</v>
      </c>
      <c r="BI26" s="59">
        <f ca="1">AVERAGE(OFFSET($BH$3,0,0,'Données projet'!$E$11+1,1))-AVERAGE(OFFSET($H$3,0,0,'Données projet'!$E$11+1,1))</f>
        <v>112.82287576550925</v>
      </c>
      <c r="BJ26" s="59">
        <f t="shared" si="38"/>
        <v>317.78570695363294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56.668396751879342</v>
      </c>
      <c r="BQ26" s="21">
        <f>EXP(-LN(2)/25)*BQ25+(1-EXP(-LN(2)/25))/(LN(2)/25)*Calculateur!BL26*Calculateur!BN26*VLOOKUP('Données projet'!$B$11,Paramètres!$A$1:$I$89,3,0)*0.475*44/12</f>
        <v>11.811355966962275</v>
      </c>
      <c r="BR26" s="21">
        <f>EXP(-LN(2)/2)*BR25+(1-EXP(-LN(2)/2))/(LN(2)/2)*BL26*BO26*VLOOKUP('Données projet'!$B$11,Paramètres!$A$1:$I$89,3,0)*0.475*44/12</f>
        <v>6.4810840680409054</v>
      </c>
      <c r="BS26" s="22">
        <f t="shared" si="9"/>
        <v>74.96083678688251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</v>
      </c>
      <c r="BY26" s="12">
        <f>IF('Données projet'!$A$114&gt;35,BY25+BX26-CG25,IF(A26&lt;'Données projet'!$A$114,$BV$205^A26,IF(A26='Données projet'!$A$114,'Données projet'!$B$114,BY25+BX26-CG25)))</f>
        <v>0</v>
      </c>
      <c r="BZ26" s="13">
        <f>BY26*VLOOKUP('Données projet'!$B$12,Paramètres!$A$1:$I$89,3,0)*VLOOKUP('Données projet'!$B$12,Paramètres!$A$1:$I$89,5,0)</f>
        <v>0</v>
      </c>
      <c r="CA26" s="13" t="e">
        <f t="shared" si="39"/>
        <v>#NUM!</v>
      </c>
      <c r="CB26" s="20" t="e">
        <f t="shared" si="10"/>
        <v>#NUM!</v>
      </c>
      <c r="CC26" s="59" t="e">
        <f t="shared" si="11"/>
        <v>#NUM!</v>
      </c>
      <c r="CD26" s="59">
        <f ca="1">AVERAGE(OFFSET($CC$3,0,0,'Données projet'!$E$12+1,1))-AVERAGE(OFFSET($H$3,0,0,'Données projet'!$E$12+1,1))</f>
        <v>112.82287576550925</v>
      </c>
      <c r="CE26" s="59">
        <f t="shared" si="40"/>
        <v>317.78570695363294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>
        <f>EXP(-LN(2)/35)*CK25+(1-EXP(-LN(2)/35))/(LN(2)/35)*CG26*CH26*VLOOKUP('Données projet'!$B$12,Paramètres!$A$1:$I$89,3,0)*0.475*44/12</f>
        <v>56.668396751879342</v>
      </c>
      <c r="CL26" s="21">
        <f>EXP(-LN(2)/25)*CL25+(1-EXP(-LN(2)/25))/(LN(2)/25)*Calculateur!CG26*Calculateur!CI26*VLOOKUP('Données projet'!$B$12,Paramètres!$A$1:$I$89,3,0)*0.475*44/12</f>
        <v>11.811355966962275</v>
      </c>
      <c r="CM26" s="21">
        <f>EXP(-LN(2)/2)*CM25+(1-EXP(-LN(2)/2))/(LN(2)/2)*CG26*CJ26*VLOOKUP('Données projet'!$B$12,Paramètres!$A$1:$I$89,3,0)*0.475*44/12</f>
        <v>6.4810840680409054</v>
      </c>
      <c r="CN26" s="22">
        <f t="shared" si="12"/>
        <v>74.96083678688251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5">
      <c r="A27" s="10">
        <f t="shared" si="31"/>
        <v>24</v>
      </c>
      <c r="B27" s="73">
        <f>'Scénario référence'!$B$16*5+'Scénario référence'!$B$17*0+'Scénario référence'!$B$18*5</f>
        <v>5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1">
        <f t="shared" si="32"/>
        <v>0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7" s="11">
        <f>IF(OR('Scénario référence'!$F$8&gt;0,'Scénario référence'!$F$9&gt;0),('Scénario référence'!$F$8+'Scénario référence'!$F$9)*10,0)</f>
        <v>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18.333333333333332</v>
      </c>
      <c r="H27" s="67">
        <f t="shared" si="1"/>
        <v>183.33333333333334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0</v>
      </c>
      <c r="N27" s="13">
        <f>IF('Données projet'!$A$36&gt;35,N26+M27-V26,IF(A27&lt;'Données projet'!$A$36,$K$205^A27,IF(A27='Données projet'!$A$36,'Données projet'!$B$36,N26+M27-V26)))</f>
        <v>0</v>
      </c>
      <c r="O27" s="13">
        <f>N27*VLOOKUP('Données projet'!$B$9,Paramètres!$A$1:$I$89,3,0)*VLOOKUP('Données projet'!$B$9,Paramètres!$A$1:$I$89,5,0)</f>
        <v>0</v>
      </c>
      <c r="P27" s="13" t="e">
        <f t="shared" si="33"/>
        <v>#NUM!</v>
      </c>
      <c r="Q27" s="20" t="e">
        <f t="shared" si="2"/>
        <v>#NUM!</v>
      </c>
      <c r="R27" s="59" t="e">
        <f t="shared" si="0"/>
        <v>#NUM!</v>
      </c>
      <c r="S27" s="59">
        <f ca="1">AVERAGE(OFFSET($R$3,0,0,'Données projet'!$E$9+1,1))-AVERAGE(OFFSET($H$3,0,0,'Données projet'!$E$9+1,1))</f>
        <v>112.82287576550925</v>
      </c>
      <c r="T27" s="59">
        <f t="shared" si="34"/>
        <v>317.78570695363294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55.557164055884066</v>
      </c>
      <c r="AA27" s="21">
        <f>EXP(-LN(2)/25)*AA26+(1-EXP(-LN(2)/25))/(LN(2)/25)*Calculateur!V27*Calculateur!X27*VLOOKUP('Données projet'!$B$9,Paramètres!$A$1:$I$89,3,0)*0.475*44/12</f>
        <v>11.488373816913477</v>
      </c>
      <c r="AB27" s="21">
        <f>EXP(-LN(2)/2)*AB26+(1-EXP(-LN(2)/2))/(LN(2)/2)*V27*Y27*VLOOKUP('Données projet'!$B$9,Paramètres!$A$1:$I$89,3,0)*0.475*44/12</f>
        <v>4.5828184939518204</v>
      </c>
      <c r="AC27" s="22">
        <f t="shared" si="3"/>
        <v>71.628356366749358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0</v>
      </c>
      <c r="AI27" s="13">
        <f>IF('Données projet'!$A$62&gt;35,AI26+AH27-AQ26,IF(A27&lt;'Données projet'!$A$62,$AF$205^A27,IF(A27='Données projet'!$A$62,'Données projet'!$B$62,AI26+AH27-AQ26)))</f>
        <v>0</v>
      </c>
      <c r="AJ27" s="13">
        <f>AI27*VLOOKUP('Données projet'!$B$10,Paramètres!$A$1:$I$89,3,0)*VLOOKUP('Données projet'!$B$10,Paramètres!$A$1:$I$89,5,0)</f>
        <v>0</v>
      </c>
      <c r="AK27" s="13" t="e">
        <f t="shared" si="35"/>
        <v>#NUM!</v>
      </c>
      <c r="AL27" s="20" t="e">
        <f t="shared" si="4"/>
        <v>#NUM!</v>
      </c>
      <c r="AM27" s="59" t="e">
        <f t="shared" si="5"/>
        <v>#NUM!</v>
      </c>
      <c r="AN27" s="59">
        <f ca="1">AVERAGE(OFFSET($AM$3,0,0,'Données projet'!$E$10+1,1))-AVERAGE(OFFSET($H$3,0,0,'Données projet'!$E$10+1,1))</f>
        <v>112.82287576550925</v>
      </c>
      <c r="AO27" s="59">
        <f t="shared" si="36"/>
        <v>317.78570695363294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55.557164055884066</v>
      </c>
      <c r="AV27" s="21">
        <f>EXP(-LN(2)/25)*AV26+(1-EXP(-LN(2)/25))/(LN(2)/25)*Calculateur!AQ27*Calculateur!AS27*VLOOKUP('Données projet'!$B$10,Paramètres!$A$1:$I$89,3,0)*0.475*44/12</f>
        <v>11.488373816913477</v>
      </c>
      <c r="AW27" s="21">
        <f>EXP(-LN(2)/2)*AW26+(1-EXP(-LN(2)/2))/(LN(2)/2)*AQ27*AT27*VLOOKUP('Données projet'!$B$10,Paramètres!$A$1:$I$89,3,0)*0.475*44/12</f>
        <v>4.5828184939518204</v>
      </c>
      <c r="AX27" s="21">
        <f t="shared" si="6"/>
        <v>71.628356366749358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0</v>
      </c>
      <c r="BD27" s="12">
        <f>IF('Données projet'!$A$88&gt;35,BD26+BC27-BL26,IF(A27&lt;'Données projet'!$A$88,$BA$205^A27,IF(A27='Données projet'!$A$88,'Données projet'!$B$88,BD26+BC27-BL26)))</f>
        <v>0</v>
      </c>
      <c r="BE27" s="13">
        <f>BD27*VLOOKUP('Données projet'!$B$11,Paramètres!$A$1:$I$89,3,0)*VLOOKUP('Données projet'!$B$11,Paramètres!$A$1:$I$89,5,0)</f>
        <v>0</v>
      </c>
      <c r="BF27" s="13" t="e">
        <f t="shared" si="37"/>
        <v>#NUM!</v>
      </c>
      <c r="BG27" s="20" t="e">
        <f t="shared" si="7"/>
        <v>#NUM!</v>
      </c>
      <c r="BH27" s="59" t="e">
        <f t="shared" si="8"/>
        <v>#NUM!</v>
      </c>
      <c r="BI27" s="59">
        <f ca="1">AVERAGE(OFFSET($BH$3,0,0,'Données projet'!$E$11+1,1))-AVERAGE(OFFSET($H$3,0,0,'Données projet'!$E$11+1,1))</f>
        <v>112.82287576550925</v>
      </c>
      <c r="BJ27" s="59">
        <f t="shared" si="38"/>
        <v>317.78570695363294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55.557164055884066</v>
      </c>
      <c r="BQ27" s="21">
        <f>EXP(-LN(2)/25)*BQ26+(1-EXP(-LN(2)/25))/(LN(2)/25)*Calculateur!BL27*Calculateur!BN27*VLOOKUP('Données projet'!$B$11,Paramètres!$A$1:$I$89,3,0)*0.475*44/12</f>
        <v>11.488373816913477</v>
      </c>
      <c r="BR27" s="21">
        <f>EXP(-LN(2)/2)*BR26+(1-EXP(-LN(2)/2))/(LN(2)/2)*BL27*BO27*VLOOKUP('Données projet'!$B$11,Paramètres!$A$1:$I$89,3,0)*0.475*44/12</f>
        <v>4.5828184939518204</v>
      </c>
      <c r="BS27" s="22">
        <f t="shared" si="9"/>
        <v>71.628356366749358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</v>
      </c>
      <c r="BY27" s="12">
        <f>IF('Données projet'!$A$114&gt;35,BY26+BX27-CG26,IF(A27&lt;'Données projet'!$A$114,$BV$205^A27,IF(A27='Données projet'!$A$114,'Données projet'!$B$114,BY26+BX27-CG26)))</f>
        <v>0</v>
      </c>
      <c r="BZ27" s="13">
        <f>BY27*VLOOKUP('Données projet'!$B$12,Paramètres!$A$1:$I$89,3,0)*VLOOKUP('Données projet'!$B$12,Paramètres!$A$1:$I$89,5,0)</f>
        <v>0</v>
      </c>
      <c r="CA27" s="13" t="e">
        <f t="shared" si="39"/>
        <v>#NUM!</v>
      </c>
      <c r="CB27" s="20" t="e">
        <f t="shared" si="10"/>
        <v>#NUM!</v>
      </c>
      <c r="CC27" s="59" t="e">
        <f t="shared" si="11"/>
        <v>#NUM!</v>
      </c>
      <c r="CD27" s="59">
        <f ca="1">AVERAGE(OFFSET($CC$3,0,0,'Données projet'!$E$12+1,1))-AVERAGE(OFFSET($H$3,0,0,'Données projet'!$E$12+1,1))</f>
        <v>112.82287576550925</v>
      </c>
      <c r="CE27" s="59">
        <f t="shared" si="40"/>
        <v>317.78570695363294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>
        <f>EXP(-LN(2)/35)*CK26+(1-EXP(-LN(2)/35))/(LN(2)/35)*CG27*CH27*VLOOKUP('Données projet'!$B$12,Paramètres!$A$1:$I$89,3,0)*0.475*44/12</f>
        <v>55.557164055884066</v>
      </c>
      <c r="CL27" s="21">
        <f>EXP(-LN(2)/25)*CL26+(1-EXP(-LN(2)/25))/(LN(2)/25)*Calculateur!CG27*Calculateur!CI27*VLOOKUP('Données projet'!$B$12,Paramètres!$A$1:$I$89,3,0)*0.475*44/12</f>
        <v>11.488373816913477</v>
      </c>
      <c r="CM27" s="21">
        <f>EXP(-LN(2)/2)*CM26+(1-EXP(-LN(2)/2))/(LN(2)/2)*CG27*CJ27*VLOOKUP('Données projet'!$B$12,Paramètres!$A$1:$I$89,3,0)*0.475*44/12</f>
        <v>4.5828184939518204</v>
      </c>
      <c r="CN27" s="22">
        <f t="shared" si="12"/>
        <v>71.628356366749358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5">
      <c r="A28" s="10">
        <f t="shared" si="31"/>
        <v>25</v>
      </c>
      <c r="B28" s="73">
        <f>'Scénario référence'!$B$16*5+'Scénario référence'!$B$17*0+'Scénario référence'!$B$18*5</f>
        <v>5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1">
        <f t="shared" si="32"/>
        <v>0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8" s="11">
        <f>IF(OR('Scénario référence'!$F$8&gt;0,'Scénario référence'!$F$9&gt;0),('Scénario référence'!$F$8+'Scénario référence'!$F$9)*10,0)</f>
        <v>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18.333333333333332</v>
      </c>
      <c r="H28" s="67">
        <f t="shared" si="1"/>
        <v>183.33333333333334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0</v>
      </c>
      <c r="N28" s="13">
        <f>IF('Données projet'!$A$36&gt;35,N27+M28-V27,IF(A28&lt;'Données projet'!$A$36,$K$205^A28,IF(A28='Données projet'!$A$36,'Données projet'!$B$36,N27+M28-V27)))</f>
        <v>0</v>
      </c>
      <c r="O28" s="13">
        <f>N28*VLOOKUP('Données projet'!$B$9,Paramètres!$A$1:$I$89,3,0)*VLOOKUP('Données projet'!$B$9,Paramètres!$A$1:$I$89,5,0)</f>
        <v>0</v>
      </c>
      <c r="P28" s="13" t="e">
        <f t="shared" si="33"/>
        <v>#NUM!</v>
      </c>
      <c r="Q28" s="20" t="e">
        <f t="shared" si="2"/>
        <v>#NUM!</v>
      </c>
      <c r="R28" s="59" t="e">
        <f t="shared" si="0"/>
        <v>#NUM!</v>
      </c>
      <c r="S28" s="59">
        <f ca="1">AVERAGE(OFFSET($R$3,0,0,'Données projet'!$E$9+1,1))-AVERAGE(OFFSET($H$3,0,0,'Données projet'!$E$9+1,1))</f>
        <v>112.82287576550925</v>
      </c>
      <c r="T28" s="59">
        <f t="shared" si="34"/>
        <v>317.78570695363294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54.467721955272239</v>
      </c>
      <c r="AA28" s="21">
        <f>EXP(-LN(2)/25)*AA27+(1-EXP(-LN(2)/25))/(LN(2)/25)*Calculateur!V28*Calculateur!X28*VLOOKUP('Données projet'!$B$9,Paramètres!$A$1:$I$89,3,0)*0.475*44/12</f>
        <v>11.174223630742656</v>
      </c>
      <c r="AB28" s="21">
        <f>EXP(-LN(2)/2)*AB27+(1-EXP(-LN(2)/2))/(LN(2)/2)*V28*Y28*VLOOKUP('Données projet'!$B$9,Paramètres!$A$1:$I$89,3,0)*0.475*44/12</f>
        <v>3.2405420340204532</v>
      </c>
      <c r="AC28" s="22">
        <f t="shared" si="3"/>
        <v>68.882487620035349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0</v>
      </c>
      <c r="AI28" s="13">
        <f>IF('Données projet'!$A$62&gt;35,AI27+AH28-AQ27,IF(A28&lt;'Données projet'!$A$62,$AF$205^A28,IF(A28='Données projet'!$A$62,'Données projet'!$B$62,AI27+AH28-AQ27)))</f>
        <v>0</v>
      </c>
      <c r="AJ28" s="13">
        <f>AI28*VLOOKUP('Données projet'!$B$10,Paramètres!$A$1:$I$89,3,0)*VLOOKUP('Données projet'!$B$10,Paramètres!$A$1:$I$89,5,0)</f>
        <v>0</v>
      </c>
      <c r="AK28" s="13" t="e">
        <f t="shared" si="35"/>
        <v>#NUM!</v>
      </c>
      <c r="AL28" s="20" t="e">
        <f t="shared" si="4"/>
        <v>#NUM!</v>
      </c>
      <c r="AM28" s="59" t="e">
        <f t="shared" si="5"/>
        <v>#NUM!</v>
      </c>
      <c r="AN28" s="59">
        <f ca="1">AVERAGE(OFFSET($AM$3,0,0,'Données projet'!$E$10+1,1))-AVERAGE(OFFSET($H$3,0,0,'Données projet'!$E$10+1,1))</f>
        <v>112.82287576550925</v>
      </c>
      <c r="AO28" s="59">
        <f t="shared" si="36"/>
        <v>317.78570695363294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54.467721955272239</v>
      </c>
      <c r="AV28" s="21">
        <f>EXP(-LN(2)/25)*AV27+(1-EXP(-LN(2)/25))/(LN(2)/25)*Calculateur!AQ28*Calculateur!AS28*VLOOKUP('Données projet'!$B$10,Paramètres!$A$1:$I$89,3,0)*0.475*44/12</f>
        <v>11.174223630742656</v>
      </c>
      <c r="AW28" s="21">
        <f>EXP(-LN(2)/2)*AW27+(1-EXP(-LN(2)/2))/(LN(2)/2)*AQ28*AT28*VLOOKUP('Données projet'!$B$10,Paramètres!$A$1:$I$89,3,0)*0.475*44/12</f>
        <v>3.2405420340204532</v>
      </c>
      <c r="AX28" s="21">
        <f t="shared" si="6"/>
        <v>68.882487620035349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0</v>
      </c>
      <c r="BD28" s="12">
        <f>IF('Données projet'!$A$88&gt;35,BD27+BC28-BL27,IF(A28&lt;'Données projet'!$A$88,$BA$205^A28,IF(A28='Données projet'!$A$88,'Données projet'!$B$88,BD27+BC28-BL27)))</f>
        <v>0</v>
      </c>
      <c r="BE28" s="13">
        <f>BD28*VLOOKUP('Données projet'!$B$11,Paramètres!$A$1:$I$89,3,0)*VLOOKUP('Données projet'!$B$11,Paramètres!$A$1:$I$89,5,0)</f>
        <v>0</v>
      </c>
      <c r="BF28" s="13" t="e">
        <f t="shared" si="37"/>
        <v>#NUM!</v>
      </c>
      <c r="BG28" s="20" t="e">
        <f t="shared" si="7"/>
        <v>#NUM!</v>
      </c>
      <c r="BH28" s="59" t="e">
        <f t="shared" si="8"/>
        <v>#NUM!</v>
      </c>
      <c r="BI28" s="59">
        <f ca="1">AVERAGE(OFFSET($BH$3,0,0,'Données projet'!$E$11+1,1))-AVERAGE(OFFSET($H$3,0,0,'Données projet'!$E$11+1,1))</f>
        <v>112.82287576550925</v>
      </c>
      <c r="BJ28" s="59">
        <f t="shared" si="38"/>
        <v>317.78570695363294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54.467721955272239</v>
      </c>
      <c r="BQ28" s="21">
        <f>EXP(-LN(2)/25)*BQ27+(1-EXP(-LN(2)/25))/(LN(2)/25)*Calculateur!BL28*Calculateur!BN28*VLOOKUP('Données projet'!$B$11,Paramètres!$A$1:$I$89,3,0)*0.475*44/12</f>
        <v>11.174223630742656</v>
      </c>
      <c r="BR28" s="21">
        <f>EXP(-LN(2)/2)*BR27+(1-EXP(-LN(2)/2))/(LN(2)/2)*BL28*BO28*VLOOKUP('Données projet'!$B$11,Paramètres!$A$1:$I$89,3,0)*0.475*44/12</f>
        <v>3.2405420340204532</v>
      </c>
      <c r="BS28" s="22">
        <f t="shared" si="9"/>
        <v>68.882487620035349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IF('Données projet'!$A$114&gt;35,BY27+BX28-CG27,IF(A28&lt;'Données projet'!$A$114,$BV$205^A28,IF(A28='Données projet'!$A$114,'Données projet'!$B$114,BY27+BX28-CG27)))</f>
        <v>0</v>
      </c>
      <c r="BZ28" s="13">
        <f>BY28*VLOOKUP('Données projet'!$B$12,Paramètres!$A$1:$I$89,3,0)*VLOOKUP('Données projet'!$B$12,Paramètres!$A$1:$I$89,5,0)</f>
        <v>0</v>
      </c>
      <c r="CA28" s="13" t="e">
        <f t="shared" si="39"/>
        <v>#NUM!</v>
      </c>
      <c r="CB28" s="20" t="e">
        <f t="shared" si="10"/>
        <v>#NUM!</v>
      </c>
      <c r="CC28" s="59" t="e">
        <f t="shared" si="11"/>
        <v>#NUM!</v>
      </c>
      <c r="CD28" s="59">
        <f ca="1">AVERAGE(OFFSET($CC$3,0,0,'Données projet'!$E$12+1,1))-AVERAGE(OFFSET($H$3,0,0,'Données projet'!$E$12+1,1))</f>
        <v>112.82287576550925</v>
      </c>
      <c r="CE28" s="59">
        <f t="shared" si="40"/>
        <v>317.78570695363294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>
        <f>EXP(-LN(2)/35)*CK27+(1-EXP(-LN(2)/35))/(LN(2)/35)*CG28*CH28*VLOOKUP('Données projet'!$B$12,Paramètres!$A$1:$I$89,3,0)*0.475*44/12</f>
        <v>54.467721955272239</v>
      </c>
      <c r="CL28" s="21">
        <f>EXP(-LN(2)/25)*CL27+(1-EXP(-LN(2)/25))/(LN(2)/25)*Calculateur!CG28*Calculateur!CI28*VLOOKUP('Données projet'!$B$12,Paramètres!$A$1:$I$89,3,0)*0.475*44/12</f>
        <v>11.174223630742656</v>
      </c>
      <c r="CM28" s="21">
        <f>EXP(-LN(2)/2)*CM27+(1-EXP(-LN(2)/2))/(LN(2)/2)*CG28*CJ28*VLOOKUP('Données projet'!$B$12,Paramètres!$A$1:$I$89,3,0)*0.475*44/12</f>
        <v>3.2405420340204532</v>
      </c>
      <c r="CN28" s="22">
        <f t="shared" si="12"/>
        <v>68.882487620035349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5">
      <c r="A29" s="10">
        <f t="shared" si="31"/>
        <v>26</v>
      </c>
      <c r="B29" s="73">
        <f>'Scénario référence'!$B$16*5+'Scénario référence'!$B$17*0+'Scénario référence'!$B$18*5</f>
        <v>5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1">
        <f t="shared" si="32"/>
        <v>0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9" s="11">
        <f>IF(OR('Scénario référence'!$F$8&gt;0,'Scénario référence'!$F$9&gt;0),('Scénario référence'!$F$8+'Scénario référence'!$F$9)*10,0)</f>
        <v>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18.333333333333332</v>
      </c>
      <c r="H29" s="67">
        <f t="shared" si="1"/>
        <v>183.33333333333334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0</v>
      </c>
      <c r="N29" s="13">
        <f>IF('Données projet'!$A$36&gt;35,N28+M29-V28,IF(A29&lt;'Données projet'!$A$36,$K$205^A29,IF(A29='Données projet'!$A$36,'Données projet'!$B$36,N28+M29-V28)))</f>
        <v>0</v>
      </c>
      <c r="O29" s="13">
        <f>N29*VLOOKUP('Données projet'!$B$9,Paramètres!$A$1:$I$89,3,0)*VLOOKUP('Données projet'!$B$9,Paramètres!$A$1:$I$89,5,0)</f>
        <v>0</v>
      </c>
      <c r="P29" s="13" t="e">
        <f t="shared" si="33"/>
        <v>#NUM!</v>
      </c>
      <c r="Q29" s="20" t="e">
        <f t="shared" si="2"/>
        <v>#NUM!</v>
      </c>
      <c r="R29" s="59" t="e">
        <f t="shared" si="0"/>
        <v>#NUM!</v>
      </c>
      <c r="S29" s="59">
        <f ca="1">AVERAGE(OFFSET($R$3,0,0,'Données projet'!$E$9+1,1))-AVERAGE(OFFSET($H$3,0,0,'Données projet'!$E$9+1,1))</f>
        <v>112.82287576550925</v>
      </c>
      <c r="T29" s="59">
        <f t="shared" si="34"/>
        <v>317.78570695363294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53.399643149759342</v>
      </c>
      <c r="AA29" s="21">
        <f>EXP(-LN(2)/25)*AA28+(1-EXP(-LN(2)/25))/(LN(2)/25)*Calculateur!V29*Calculateur!X29*VLOOKUP('Données projet'!$B$9,Paramètres!$A$1:$I$89,3,0)*0.475*44/12</f>
        <v>10.868663897933116</v>
      </c>
      <c r="AB29" s="21">
        <f>EXP(-LN(2)/2)*AB28+(1-EXP(-LN(2)/2))/(LN(2)/2)*V29*Y29*VLOOKUP('Données projet'!$B$9,Paramètres!$A$1:$I$89,3,0)*0.475*44/12</f>
        <v>2.2914092469759102</v>
      </c>
      <c r="AC29" s="22">
        <f t="shared" si="3"/>
        <v>66.559716294668377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0</v>
      </c>
      <c r="AI29" s="13">
        <f>IF('Données projet'!$A$62&gt;35,AI28+AH29-AQ28,IF(A29&lt;'Données projet'!$A$62,$AF$205^A29,IF(A29='Données projet'!$A$62,'Données projet'!$B$62,AI28+AH29-AQ28)))</f>
        <v>0</v>
      </c>
      <c r="AJ29" s="13">
        <f>AI29*VLOOKUP('Données projet'!$B$10,Paramètres!$A$1:$I$89,3,0)*VLOOKUP('Données projet'!$B$10,Paramètres!$A$1:$I$89,5,0)</f>
        <v>0</v>
      </c>
      <c r="AK29" s="13" t="e">
        <f t="shared" si="35"/>
        <v>#NUM!</v>
      </c>
      <c r="AL29" s="20" t="e">
        <f t="shared" si="4"/>
        <v>#NUM!</v>
      </c>
      <c r="AM29" s="59" t="e">
        <f t="shared" si="5"/>
        <v>#NUM!</v>
      </c>
      <c r="AN29" s="59">
        <f ca="1">AVERAGE(OFFSET($AM$3,0,0,'Données projet'!$E$10+1,1))-AVERAGE(OFFSET($H$3,0,0,'Données projet'!$E$10+1,1))</f>
        <v>112.82287576550925</v>
      </c>
      <c r="AO29" s="59">
        <f t="shared" si="36"/>
        <v>317.78570695363294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53.399643149759342</v>
      </c>
      <c r="AV29" s="21">
        <f>EXP(-LN(2)/25)*AV28+(1-EXP(-LN(2)/25))/(LN(2)/25)*Calculateur!AQ29*Calculateur!AS29*VLOOKUP('Données projet'!$B$10,Paramètres!$A$1:$I$89,3,0)*0.475*44/12</f>
        <v>10.868663897933116</v>
      </c>
      <c r="AW29" s="21">
        <f>EXP(-LN(2)/2)*AW28+(1-EXP(-LN(2)/2))/(LN(2)/2)*AQ29*AT29*VLOOKUP('Données projet'!$B$10,Paramètres!$A$1:$I$89,3,0)*0.475*44/12</f>
        <v>2.2914092469759102</v>
      </c>
      <c r="AX29" s="21">
        <f t="shared" si="6"/>
        <v>66.559716294668377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0</v>
      </c>
      <c r="BD29" s="12">
        <f>IF('Données projet'!$A$88&gt;35,BD28+BC29-BL28,IF(A29&lt;'Données projet'!$A$88,$BA$205^A29,IF(A29='Données projet'!$A$88,'Données projet'!$B$88,BD28+BC29-BL28)))</f>
        <v>0</v>
      </c>
      <c r="BE29" s="13">
        <f>BD29*VLOOKUP('Données projet'!$B$11,Paramètres!$A$1:$I$89,3,0)*VLOOKUP('Données projet'!$B$11,Paramètres!$A$1:$I$89,5,0)</f>
        <v>0</v>
      </c>
      <c r="BF29" s="13" t="e">
        <f t="shared" si="37"/>
        <v>#NUM!</v>
      </c>
      <c r="BG29" s="20" t="e">
        <f t="shared" si="7"/>
        <v>#NUM!</v>
      </c>
      <c r="BH29" s="59" t="e">
        <f t="shared" si="8"/>
        <v>#NUM!</v>
      </c>
      <c r="BI29" s="59">
        <f ca="1">AVERAGE(OFFSET($BH$3,0,0,'Données projet'!$E$11+1,1))-AVERAGE(OFFSET($H$3,0,0,'Données projet'!$E$11+1,1))</f>
        <v>112.82287576550925</v>
      </c>
      <c r="BJ29" s="59">
        <f t="shared" si="38"/>
        <v>317.78570695363294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53.399643149759342</v>
      </c>
      <c r="BQ29" s="21">
        <f>EXP(-LN(2)/25)*BQ28+(1-EXP(-LN(2)/25))/(LN(2)/25)*Calculateur!BL29*Calculateur!BN29*VLOOKUP('Données projet'!$B$11,Paramètres!$A$1:$I$89,3,0)*0.475*44/12</f>
        <v>10.868663897933116</v>
      </c>
      <c r="BR29" s="21">
        <f>EXP(-LN(2)/2)*BR28+(1-EXP(-LN(2)/2))/(LN(2)/2)*BL29*BO29*VLOOKUP('Données projet'!$B$11,Paramètres!$A$1:$I$89,3,0)*0.475*44/12</f>
        <v>2.2914092469759102</v>
      </c>
      <c r="BS29" s="22">
        <f t="shared" si="9"/>
        <v>66.559716294668377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IF('Données projet'!$A$114&gt;35,BY28+BX29-CG28,IF(A29&lt;'Données projet'!$A$114,$BV$205^A29,IF(A29='Données projet'!$A$114,'Données projet'!$B$114,BY28+BX29-CG28)))</f>
        <v>0</v>
      </c>
      <c r="BZ29" s="13">
        <f>BY29*VLOOKUP('Données projet'!$B$12,Paramètres!$A$1:$I$89,3,0)*VLOOKUP('Données projet'!$B$12,Paramètres!$A$1:$I$89,5,0)</f>
        <v>0</v>
      </c>
      <c r="CA29" s="13" t="e">
        <f t="shared" si="39"/>
        <v>#NUM!</v>
      </c>
      <c r="CB29" s="20" t="e">
        <f t="shared" si="10"/>
        <v>#NUM!</v>
      </c>
      <c r="CC29" s="59" t="e">
        <f t="shared" si="11"/>
        <v>#NUM!</v>
      </c>
      <c r="CD29" s="59">
        <f ca="1">AVERAGE(OFFSET($CC$3,0,0,'Données projet'!$E$12+1,1))-AVERAGE(OFFSET($H$3,0,0,'Données projet'!$E$12+1,1))</f>
        <v>112.82287576550925</v>
      </c>
      <c r="CE29" s="59">
        <f t="shared" si="40"/>
        <v>317.78570695363294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>
        <f>EXP(-LN(2)/35)*CK28+(1-EXP(-LN(2)/35))/(LN(2)/35)*CG29*CH29*VLOOKUP('Données projet'!$B$12,Paramètres!$A$1:$I$89,3,0)*0.475*44/12</f>
        <v>53.399643149759342</v>
      </c>
      <c r="CL29" s="21">
        <f>EXP(-LN(2)/25)*CL28+(1-EXP(-LN(2)/25))/(LN(2)/25)*Calculateur!CG29*Calculateur!CI29*VLOOKUP('Données projet'!$B$12,Paramètres!$A$1:$I$89,3,0)*0.475*44/12</f>
        <v>10.868663897933116</v>
      </c>
      <c r="CM29" s="21">
        <f>EXP(-LN(2)/2)*CM28+(1-EXP(-LN(2)/2))/(LN(2)/2)*CG29*CJ29*VLOOKUP('Données projet'!$B$12,Paramètres!$A$1:$I$89,3,0)*0.475*44/12</f>
        <v>2.2914092469759102</v>
      </c>
      <c r="CN29" s="22">
        <f t="shared" si="12"/>
        <v>66.559716294668377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5">
      <c r="A30" s="10">
        <f t="shared" si="31"/>
        <v>27</v>
      </c>
      <c r="B30" s="73">
        <f>'Scénario référence'!$B$16*5+'Scénario référence'!$B$17*0+'Scénario référence'!$B$18*5</f>
        <v>5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1">
        <f t="shared" si="32"/>
        <v>0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0" s="11">
        <f>IF(OR('Scénario référence'!$F$8&gt;0,'Scénario référence'!$F$9&gt;0),('Scénario référence'!$F$8+'Scénario référence'!$F$9)*10,0)</f>
        <v>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18.333333333333332</v>
      </c>
      <c r="H30" s="67">
        <f t="shared" si="1"/>
        <v>183.33333333333334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0</v>
      </c>
      <c r="N30" s="13">
        <f>IF('Données projet'!$A$36&gt;35,N29+M30-V29,IF(A30&lt;'Données projet'!$A$36,$K$205^A30,IF(A30='Données projet'!$A$36,'Données projet'!$B$36,N29+M30-V29)))</f>
        <v>0</v>
      </c>
      <c r="O30" s="13">
        <f>N30*VLOOKUP('Données projet'!$B$9,Paramètres!$A$1:$I$89,3,0)*VLOOKUP('Données projet'!$B$9,Paramètres!$A$1:$I$89,5,0)</f>
        <v>0</v>
      </c>
      <c r="P30" s="13" t="e">
        <f t="shared" si="33"/>
        <v>#NUM!</v>
      </c>
      <c r="Q30" s="20" t="e">
        <f t="shared" si="2"/>
        <v>#NUM!</v>
      </c>
      <c r="R30" s="59" t="e">
        <f t="shared" si="0"/>
        <v>#NUM!</v>
      </c>
      <c r="S30" s="59">
        <f ca="1">AVERAGE(OFFSET($R$3,0,0,'Données projet'!$E$9+1,1))-AVERAGE(OFFSET($H$3,0,0,'Données projet'!$E$9+1,1))</f>
        <v>112.82287576550925</v>
      </c>
      <c r="T30" s="59">
        <f t="shared" si="34"/>
        <v>317.78570695363294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52.352508718158809</v>
      </c>
      <c r="AA30" s="21">
        <f>EXP(-LN(2)/25)*AA29+(1-EXP(-LN(2)/25))/(LN(2)/25)*Calculateur!V30*Calculateur!X30*VLOOKUP('Données projet'!$B$9,Paramètres!$A$1:$I$89,3,0)*0.475*44/12</f>
        <v>10.571459712085941</v>
      </c>
      <c r="AB30" s="21">
        <f>EXP(-LN(2)/2)*AB29+(1-EXP(-LN(2)/2))/(LN(2)/2)*V30*Y30*VLOOKUP('Données projet'!$B$9,Paramètres!$A$1:$I$89,3,0)*0.475*44/12</f>
        <v>1.6202710170102266</v>
      </c>
      <c r="AC30" s="22">
        <f t="shared" si="3"/>
        <v>64.544239447254981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0</v>
      </c>
      <c r="AI30" s="13">
        <f>IF('Données projet'!$A$62&gt;35,AI29+AH30-AQ29,IF(A30&lt;'Données projet'!$A$62,$AF$205^A30,IF(A30='Données projet'!$A$62,'Données projet'!$B$62,AI29+AH30-AQ29)))</f>
        <v>0</v>
      </c>
      <c r="AJ30" s="13">
        <f>AI30*VLOOKUP('Données projet'!$B$10,Paramètres!$A$1:$I$89,3,0)*VLOOKUP('Données projet'!$B$10,Paramètres!$A$1:$I$89,5,0)</f>
        <v>0</v>
      </c>
      <c r="AK30" s="13" t="e">
        <f t="shared" si="35"/>
        <v>#NUM!</v>
      </c>
      <c r="AL30" s="20" t="e">
        <f t="shared" si="4"/>
        <v>#NUM!</v>
      </c>
      <c r="AM30" s="59" t="e">
        <f t="shared" si="5"/>
        <v>#NUM!</v>
      </c>
      <c r="AN30" s="59">
        <f ca="1">AVERAGE(OFFSET($AM$3,0,0,'Données projet'!$E$10+1,1))-AVERAGE(OFFSET($H$3,0,0,'Données projet'!$E$10+1,1))</f>
        <v>112.82287576550925</v>
      </c>
      <c r="AO30" s="59">
        <f t="shared" si="36"/>
        <v>317.78570695363294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52.352508718158809</v>
      </c>
      <c r="AV30" s="21">
        <f>EXP(-LN(2)/25)*AV29+(1-EXP(-LN(2)/25))/(LN(2)/25)*Calculateur!AQ30*Calculateur!AS30*VLOOKUP('Données projet'!$B$10,Paramètres!$A$1:$I$89,3,0)*0.475*44/12</f>
        <v>10.571459712085941</v>
      </c>
      <c r="AW30" s="21">
        <f>EXP(-LN(2)/2)*AW29+(1-EXP(-LN(2)/2))/(LN(2)/2)*AQ30*AT30*VLOOKUP('Données projet'!$B$10,Paramètres!$A$1:$I$89,3,0)*0.475*44/12</f>
        <v>1.6202710170102266</v>
      </c>
      <c r="AX30" s="21">
        <f t="shared" si="6"/>
        <v>64.544239447254981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0</v>
      </c>
      <c r="BD30" s="12">
        <f>IF('Données projet'!$A$88&gt;35,BD29+BC30-BL29,IF(A30&lt;'Données projet'!$A$88,$BA$205^A30,IF(A30='Données projet'!$A$88,'Données projet'!$B$88,BD29+BC30-BL29)))</f>
        <v>0</v>
      </c>
      <c r="BE30" s="13">
        <f>BD30*VLOOKUP('Données projet'!$B$11,Paramètres!$A$1:$I$89,3,0)*VLOOKUP('Données projet'!$B$11,Paramètres!$A$1:$I$89,5,0)</f>
        <v>0</v>
      </c>
      <c r="BF30" s="13" t="e">
        <f t="shared" si="37"/>
        <v>#NUM!</v>
      </c>
      <c r="BG30" s="20" t="e">
        <f t="shared" si="7"/>
        <v>#NUM!</v>
      </c>
      <c r="BH30" s="59" t="e">
        <f t="shared" si="8"/>
        <v>#NUM!</v>
      </c>
      <c r="BI30" s="59">
        <f ca="1">AVERAGE(OFFSET($BH$3,0,0,'Données projet'!$E$11+1,1))-AVERAGE(OFFSET($H$3,0,0,'Données projet'!$E$11+1,1))</f>
        <v>112.82287576550925</v>
      </c>
      <c r="BJ30" s="59">
        <f t="shared" si="38"/>
        <v>317.78570695363294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52.352508718158809</v>
      </c>
      <c r="BQ30" s="21">
        <f>EXP(-LN(2)/25)*BQ29+(1-EXP(-LN(2)/25))/(LN(2)/25)*Calculateur!BL30*Calculateur!BN30*VLOOKUP('Données projet'!$B$11,Paramètres!$A$1:$I$89,3,0)*0.475*44/12</f>
        <v>10.571459712085941</v>
      </c>
      <c r="BR30" s="21">
        <f>EXP(-LN(2)/2)*BR29+(1-EXP(-LN(2)/2))/(LN(2)/2)*BL30*BO30*VLOOKUP('Données projet'!$B$11,Paramètres!$A$1:$I$89,3,0)*0.475*44/12</f>
        <v>1.6202710170102266</v>
      </c>
      <c r="BS30" s="22">
        <f t="shared" si="9"/>
        <v>64.544239447254981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>
        <f>BY30*VLOOKUP('Données projet'!$B$12,Paramètres!$A$1:$I$89,3,0)*VLOOKUP('Données projet'!$B$12,Paramètres!$A$1:$I$89,5,0)</f>
        <v>0</v>
      </c>
      <c r="CA30" s="13" t="e">
        <f t="shared" si="39"/>
        <v>#NUM!</v>
      </c>
      <c r="CB30" s="20" t="e">
        <f t="shared" si="10"/>
        <v>#NUM!</v>
      </c>
      <c r="CC30" s="59" t="e">
        <f t="shared" si="11"/>
        <v>#NUM!</v>
      </c>
      <c r="CD30" s="59">
        <f ca="1">AVERAGE(OFFSET($CC$3,0,0,'Données projet'!$E$12+1,1))-AVERAGE(OFFSET($H$3,0,0,'Données projet'!$E$12+1,1))</f>
        <v>112.82287576550925</v>
      </c>
      <c r="CE30" s="59">
        <f t="shared" si="40"/>
        <v>317.78570695363294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>
        <f>EXP(-LN(2)/35)*CK29+(1-EXP(-LN(2)/35))/(LN(2)/35)*CG30*CH30*VLOOKUP('Données projet'!$B$12,Paramètres!$A$1:$I$89,3,0)*0.475*44/12</f>
        <v>52.352508718158809</v>
      </c>
      <c r="CL30" s="21">
        <f>EXP(-LN(2)/25)*CL29+(1-EXP(-LN(2)/25))/(LN(2)/25)*Calculateur!CG30*Calculateur!CI30*VLOOKUP('Données projet'!$B$12,Paramètres!$A$1:$I$89,3,0)*0.475*44/12</f>
        <v>10.571459712085941</v>
      </c>
      <c r="CM30" s="21">
        <f>EXP(-LN(2)/2)*CM29+(1-EXP(-LN(2)/2))/(LN(2)/2)*CG30*CJ30*VLOOKUP('Données projet'!$B$12,Paramètres!$A$1:$I$89,3,0)*0.475*44/12</f>
        <v>1.6202710170102266</v>
      </c>
      <c r="CN30" s="22">
        <f t="shared" si="12"/>
        <v>64.544239447254981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5">
      <c r="A31" s="10">
        <f t="shared" si="31"/>
        <v>28</v>
      </c>
      <c r="B31" s="73">
        <f>'Scénario référence'!$B$16*5+'Scénario référence'!$B$17*0+'Scénario référence'!$B$18*5</f>
        <v>5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1">
        <f t="shared" si="32"/>
        <v>0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1" s="11">
        <f>IF(OR('Scénario référence'!$F$8&gt;0,'Scénario référence'!$F$9&gt;0),('Scénario référence'!$F$8+'Scénario référence'!$F$9)*10,0)</f>
        <v>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18.333333333333332</v>
      </c>
      <c r="H31" s="67">
        <f t="shared" si="1"/>
        <v>183.33333333333334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0</v>
      </c>
      <c r="N31" s="13">
        <f>IF('Données projet'!$A$36&gt;35,N30+M31-V30,IF(A31&lt;'Données projet'!$A$36,$K$205^A31,IF(A31='Données projet'!$A$36,'Données projet'!$B$36,N30+M31-V30)))</f>
        <v>0</v>
      </c>
      <c r="O31" s="13">
        <f>N31*VLOOKUP('Données projet'!$B$9,Paramètres!$A$1:$I$89,3,0)*VLOOKUP('Données projet'!$B$9,Paramètres!$A$1:$I$89,5,0)</f>
        <v>0</v>
      </c>
      <c r="P31" s="13" t="e">
        <f t="shared" si="33"/>
        <v>#NUM!</v>
      </c>
      <c r="Q31" s="20" t="e">
        <f t="shared" si="2"/>
        <v>#NUM!</v>
      </c>
      <c r="R31" s="59" t="e">
        <f t="shared" si="0"/>
        <v>#NUM!</v>
      </c>
      <c r="S31" s="59">
        <f ca="1">AVERAGE(OFFSET($R$3,0,0,'Données projet'!$E$9+1,1))-AVERAGE(OFFSET($H$3,0,0,'Données projet'!$E$9+1,1))</f>
        <v>112.82287576550925</v>
      </c>
      <c r="T31" s="59">
        <f t="shared" si="34"/>
        <v>317.78570695363294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51.325907954073024</v>
      </c>
      <c r="AA31" s="21">
        <f>EXP(-LN(2)/25)*AA30+(1-EXP(-LN(2)/25))/(LN(2)/25)*Calculateur!V31*Calculateur!X31*VLOOKUP('Données projet'!$B$9,Paramètres!$A$1:$I$89,3,0)*0.475*44/12</f>
        <v>10.282382590330046</v>
      </c>
      <c r="AB31" s="21">
        <f>EXP(-LN(2)/2)*AB30+(1-EXP(-LN(2)/2))/(LN(2)/2)*V31*Y31*VLOOKUP('Données projet'!$B$9,Paramètres!$A$1:$I$89,3,0)*0.475*44/12</f>
        <v>1.1457046234879551</v>
      </c>
      <c r="AC31" s="22">
        <f t="shared" si="3"/>
        <v>62.753995167891027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0</v>
      </c>
      <c r="AI31" s="13">
        <f>IF('Données projet'!$A$62&gt;35,AI30+AH31-AQ30,IF(A31&lt;'Données projet'!$A$62,$AF$205^A31,IF(A31='Données projet'!$A$62,'Données projet'!$B$62,AI30+AH31-AQ30)))</f>
        <v>0</v>
      </c>
      <c r="AJ31" s="13">
        <f>AI31*VLOOKUP('Données projet'!$B$10,Paramètres!$A$1:$I$89,3,0)*VLOOKUP('Données projet'!$B$10,Paramètres!$A$1:$I$89,5,0)</f>
        <v>0</v>
      </c>
      <c r="AK31" s="13" t="e">
        <f t="shared" si="35"/>
        <v>#NUM!</v>
      </c>
      <c r="AL31" s="20" t="e">
        <f t="shared" si="4"/>
        <v>#NUM!</v>
      </c>
      <c r="AM31" s="59" t="e">
        <f t="shared" si="5"/>
        <v>#NUM!</v>
      </c>
      <c r="AN31" s="59">
        <f ca="1">AVERAGE(OFFSET($AM$3,0,0,'Données projet'!$E$10+1,1))-AVERAGE(OFFSET($H$3,0,0,'Données projet'!$E$10+1,1))</f>
        <v>112.82287576550925</v>
      </c>
      <c r="AO31" s="59">
        <f t="shared" si="36"/>
        <v>317.78570695363294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51.325907954073024</v>
      </c>
      <c r="AV31" s="21">
        <f>EXP(-LN(2)/25)*AV30+(1-EXP(-LN(2)/25))/(LN(2)/25)*Calculateur!AQ31*Calculateur!AS31*VLOOKUP('Données projet'!$B$10,Paramètres!$A$1:$I$89,3,0)*0.475*44/12</f>
        <v>10.282382590330046</v>
      </c>
      <c r="AW31" s="21">
        <f>EXP(-LN(2)/2)*AW30+(1-EXP(-LN(2)/2))/(LN(2)/2)*AQ31*AT31*VLOOKUP('Données projet'!$B$10,Paramètres!$A$1:$I$89,3,0)*0.475*44/12</f>
        <v>1.1457046234879551</v>
      </c>
      <c r="AX31" s="21">
        <f t="shared" si="6"/>
        <v>62.753995167891027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0</v>
      </c>
      <c r="BD31" s="12">
        <f>IF('Données projet'!$A$88&gt;35,BD30+BC31-BL30,IF(A31&lt;'Données projet'!$A$88,$BA$205^A31,IF(A31='Données projet'!$A$88,'Données projet'!$B$88,BD30+BC31-BL30)))</f>
        <v>0</v>
      </c>
      <c r="BE31" s="13">
        <f>BD31*VLOOKUP('Données projet'!$B$11,Paramètres!$A$1:$I$89,3,0)*VLOOKUP('Données projet'!$B$11,Paramètres!$A$1:$I$89,5,0)</f>
        <v>0</v>
      </c>
      <c r="BF31" s="13" t="e">
        <f t="shared" si="37"/>
        <v>#NUM!</v>
      </c>
      <c r="BG31" s="20" t="e">
        <f t="shared" si="7"/>
        <v>#NUM!</v>
      </c>
      <c r="BH31" s="59" t="e">
        <f t="shared" si="8"/>
        <v>#NUM!</v>
      </c>
      <c r="BI31" s="59">
        <f ca="1">AVERAGE(OFFSET($BH$3,0,0,'Données projet'!$E$11+1,1))-AVERAGE(OFFSET($H$3,0,0,'Données projet'!$E$11+1,1))</f>
        <v>112.82287576550925</v>
      </c>
      <c r="BJ31" s="59">
        <f t="shared" si="38"/>
        <v>317.78570695363294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51.325907954073024</v>
      </c>
      <c r="BQ31" s="21">
        <f>EXP(-LN(2)/25)*BQ30+(1-EXP(-LN(2)/25))/(LN(2)/25)*Calculateur!BL31*Calculateur!BN31*VLOOKUP('Données projet'!$B$11,Paramètres!$A$1:$I$89,3,0)*0.475*44/12</f>
        <v>10.282382590330046</v>
      </c>
      <c r="BR31" s="21">
        <f>EXP(-LN(2)/2)*BR30+(1-EXP(-LN(2)/2))/(LN(2)/2)*BL31*BO31*VLOOKUP('Données projet'!$B$11,Paramètres!$A$1:$I$89,3,0)*0.475*44/12</f>
        <v>1.1457046234879551</v>
      </c>
      <c r="BS31" s="22">
        <f t="shared" si="9"/>
        <v>62.753995167891027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>
        <f>BY31*VLOOKUP('Données projet'!$B$12,Paramètres!$A$1:$I$89,3,0)*VLOOKUP('Données projet'!$B$12,Paramètres!$A$1:$I$89,5,0)</f>
        <v>0</v>
      </c>
      <c r="CA31" s="13" t="e">
        <f t="shared" si="39"/>
        <v>#NUM!</v>
      </c>
      <c r="CB31" s="20" t="e">
        <f t="shared" si="10"/>
        <v>#NUM!</v>
      </c>
      <c r="CC31" s="59" t="e">
        <f t="shared" si="11"/>
        <v>#NUM!</v>
      </c>
      <c r="CD31" s="59">
        <f ca="1">AVERAGE(OFFSET($CC$3,0,0,'Données projet'!$E$12+1,1))-AVERAGE(OFFSET($H$3,0,0,'Données projet'!$E$12+1,1))</f>
        <v>112.82287576550925</v>
      </c>
      <c r="CE31" s="59">
        <f t="shared" si="40"/>
        <v>317.78570695363294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>
        <f>EXP(-LN(2)/35)*CK30+(1-EXP(-LN(2)/35))/(LN(2)/35)*CG31*CH31*VLOOKUP('Données projet'!$B$12,Paramètres!$A$1:$I$89,3,0)*0.475*44/12</f>
        <v>51.325907954073024</v>
      </c>
      <c r="CL31" s="21">
        <f>EXP(-LN(2)/25)*CL30+(1-EXP(-LN(2)/25))/(LN(2)/25)*Calculateur!CG31*Calculateur!CI31*VLOOKUP('Données projet'!$B$12,Paramètres!$A$1:$I$89,3,0)*0.475*44/12</f>
        <v>10.282382590330046</v>
      </c>
      <c r="CM31" s="21">
        <f>EXP(-LN(2)/2)*CM30+(1-EXP(-LN(2)/2))/(LN(2)/2)*CG31*CJ31*VLOOKUP('Données projet'!$B$12,Paramètres!$A$1:$I$89,3,0)*0.475*44/12</f>
        <v>1.1457046234879551</v>
      </c>
      <c r="CN31" s="22">
        <f t="shared" si="12"/>
        <v>62.753995167891027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5">
      <c r="A32" s="10">
        <f t="shared" si="31"/>
        <v>29</v>
      </c>
      <c r="B32" s="73">
        <f>'Scénario référence'!$B$16*5+'Scénario référence'!$B$17*0+'Scénario référence'!$B$18*5</f>
        <v>5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1">
        <f t="shared" si="32"/>
        <v>0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2" s="11">
        <f>IF(OR('Scénario référence'!$F$8&gt;0,'Scénario référence'!$F$9&gt;0),('Scénario référence'!$F$8+'Scénario référence'!$F$9)*10,0)</f>
        <v>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18.333333333333332</v>
      </c>
      <c r="H32" s="67">
        <f t="shared" si="1"/>
        <v>183.33333333333334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0</v>
      </c>
      <c r="N32" s="13">
        <f>IF('Données projet'!$A$36&gt;35,N31+M32-V31,IF(A32&lt;'Données projet'!$A$36,$K$205^A32,IF(A32='Données projet'!$A$36,'Données projet'!$B$36,N31+M32-V31)))</f>
        <v>0</v>
      </c>
      <c r="O32" s="13">
        <f>N32*VLOOKUP('Données projet'!$B$9,Paramètres!$A$1:$I$89,3,0)*VLOOKUP('Données projet'!$B$9,Paramètres!$A$1:$I$89,5,0)</f>
        <v>0</v>
      </c>
      <c r="P32" s="13" t="e">
        <f t="shared" si="33"/>
        <v>#NUM!</v>
      </c>
      <c r="Q32" s="20" t="e">
        <f t="shared" si="2"/>
        <v>#NUM!</v>
      </c>
      <c r="R32" s="59" t="e">
        <f t="shared" si="0"/>
        <v>#NUM!</v>
      </c>
      <c r="S32" s="59">
        <f ca="1">AVERAGE(OFFSET($R$3,0,0,'Données projet'!$E$9+1,1))-AVERAGE(OFFSET($H$3,0,0,'Données projet'!$E$9+1,1))</f>
        <v>112.82287576550925</v>
      </c>
      <c r="T32" s="59">
        <f t="shared" si="34"/>
        <v>317.78570695363294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50.319438204806325</v>
      </c>
      <c r="AA32" s="21">
        <f>EXP(-LN(2)/25)*AA31+(1-EXP(-LN(2)/25))/(LN(2)/25)*Calculateur!V32*Calculateur!X32*VLOOKUP('Données projet'!$B$9,Paramètres!$A$1:$I$89,3,0)*0.475*44/12</f>
        <v>10.001210297670472</v>
      </c>
      <c r="AB32" s="21">
        <f>EXP(-LN(2)/2)*AB31+(1-EXP(-LN(2)/2))/(LN(2)/2)*V32*Y32*VLOOKUP('Données projet'!$B$9,Paramètres!$A$1:$I$89,3,0)*0.475*44/12</f>
        <v>0.81013550850511329</v>
      </c>
      <c r="AC32" s="22">
        <f t="shared" si="3"/>
        <v>61.130784010981913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0</v>
      </c>
      <c r="AI32" s="13">
        <f>IF('Données projet'!$A$62&gt;35,AI31+AH32-AQ31,IF(A32&lt;'Données projet'!$A$62,$AF$205^A32,IF(A32='Données projet'!$A$62,'Données projet'!$B$62,AI31+AH32-AQ31)))</f>
        <v>0</v>
      </c>
      <c r="AJ32" s="13">
        <f>AI32*VLOOKUP('Données projet'!$B$10,Paramètres!$A$1:$I$89,3,0)*VLOOKUP('Données projet'!$B$10,Paramètres!$A$1:$I$89,5,0)</f>
        <v>0</v>
      </c>
      <c r="AK32" s="13" t="e">
        <f t="shared" si="35"/>
        <v>#NUM!</v>
      </c>
      <c r="AL32" s="20" t="e">
        <f t="shared" si="4"/>
        <v>#NUM!</v>
      </c>
      <c r="AM32" s="59" t="e">
        <f t="shared" si="5"/>
        <v>#NUM!</v>
      </c>
      <c r="AN32" s="59">
        <f ca="1">AVERAGE(OFFSET($AM$3,0,0,'Données projet'!$E$10+1,1))-AVERAGE(OFFSET($H$3,0,0,'Données projet'!$E$10+1,1))</f>
        <v>112.82287576550925</v>
      </c>
      <c r="AO32" s="59">
        <f t="shared" si="36"/>
        <v>317.78570695363294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50.319438204806325</v>
      </c>
      <c r="AV32" s="21">
        <f>EXP(-LN(2)/25)*AV31+(1-EXP(-LN(2)/25))/(LN(2)/25)*Calculateur!AQ32*Calculateur!AS32*VLOOKUP('Données projet'!$B$10,Paramètres!$A$1:$I$89,3,0)*0.475*44/12</f>
        <v>10.001210297670472</v>
      </c>
      <c r="AW32" s="21">
        <f>EXP(-LN(2)/2)*AW31+(1-EXP(-LN(2)/2))/(LN(2)/2)*AQ32*AT32*VLOOKUP('Données projet'!$B$10,Paramètres!$A$1:$I$89,3,0)*0.475*44/12</f>
        <v>0.81013550850511329</v>
      </c>
      <c r="AX32" s="21">
        <f t="shared" si="6"/>
        <v>61.130784010981913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0</v>
      </c>
      <c r="BD32" s="12">
        <f>IF('Données projet'!$A$88&gt;35,BD31+BC32-BL31,IF(A32&lt;'Données projet'!$A$88,$BA$205^A32,IF(A32='Données projet'!$A$88,'Données projet'!$B$88,BD31+BC32-BL31)))</f>
        <v>0</v>
      </c>
      <c r="BE32" s="13">
        <f>BD32*VLOOKUP('Données projet'!$B$11,Paramètres!$A$1:$I$89,3,0)*VLOOKUP('Données projet'!$B$11,Paramètres!$A$1:$I$89,5,0)</f>
        <v>0</v>
      </c>
      <c r="BF32" s="13" t="e">
        <f t="shared" si="37"/>
        <v>#NUM!</v>
      </c>
      <c r="BG32" s="20" t="e">
        <f t="shared" si="7"/>
        <v>#NUM!</v>
      </c>
      <c r="BH32" s="59" t="e">
        <f t="shared" si="8"/>
        <v>#NUM!</v>
      </c>
      <c r="BI32" s="59">
        <f ca="1">AVERAGE(OFFSET($BH$3,0,0,'Données projet'!$E$11+1,1))-AVERAGE(OFFSET($H$3,0,0,'Données projet'!$E$11+1,1))</f>
        <v>112.82287576550925</v>
      </c>
      <c r="BJ32" s="59">
        <f t="shared" si="38"/>
        <v>317.78570695363294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50.319438204806325</v>
      </c>
      <c r="BQ32" s="21">
        <f>EXP(-LN(2)/25)*BQ31+(1-EXP(-LN(2)/25))/(LN(2)/25)*Calculateur!BL32*Calculateur!BN32*VLOOKUP('Données projet'!$B$11,Paramètres!$A$1:$I$89,3,0)*0.475*44/12</f>
        <v>10.001210297670472</v>
      </c>
      <c r="BR32" s="21">
        <f>EXP(-LN(2)/2)*BR31+(1-EXP(-LN(2)/2))/(LN(2)/2)*BL32*BO32*VLOOKUP('Données projet'!$B$11,Paramètres!$A$1:$I$89,3,0)*0.475*44/12</f>
        <v>0.81013550850511329</v>
      </c>
      <c r="BS32" s="22">
        <f t="shared" si="9"/>
        <v>61.130784010981913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>
        <f>BY32*VLOOKUP('Données projet'!$B$12,Paramètres!$A$1:$I$89,3,0)*VLOOKUP('Données projet'!$B$12,Paramètres!$A$1:$I$89,5,0)</f>
        <v>0</v>
      </c>
      <c r="CA32" s="13" t="e">
        <f t="shared" si="39"/>
        <v>#NUM!</v>
      </c>
      <c r="CB32" s="20" t="e">
        <f t="shared" si="10"/>
        <v>#NUM!</v>
      </c>
      <c r="CC32" s="59" t="e">
        <f t="shared" si="11"/>
        <v>#NUM!</v>
      </c>
      <c r="CD32" s="59">
        <f ca="1">AVERAGE(OFFSET($CC$3,0,0,'Données projet'!$E$12+1,1))-AVERAGE(OFFSET($H$3,0,0,'Données projet'!$E$12+1,1))</f>
        <v>112.82287576550925</v>
      </c>
      <c r="CE32" s="59">
        <f t="shared" si="40"/>
        <v>317.78570695363294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>
        <f>EXP(-LN(2)/35)*CK31+(1-EXP(-LN(2)/35))/(LN(2)/35)*CG32*CH32*VLOOKUP('Données projet'!$B$12,Paramètres!$A$1:$I$89,3,0)*0.475*44/12</f>
        <v>50.319438204806325</v>
      </c>
      <c r="CL32" s="21">
        <f>EXP(-LN(2)/25)*CL31+(1-EXP(-LN(2)/25))/(LN(2)/25)*Calculateur!CG32*Calculateur!CI32*VLOOKUP('Données projet'!$B$12,Paramètres!$A$1:$I$89,3,0)*0.475*44/12</f>
        <v>10.001210297670472</v>
      </c>
      <c r="CM32" s="21">
        <f>EXP(-LN(2)/2)*CM31+(1-EXP(-LN(2)/2))/(LN(2)/2)*CG32*CJ32*VLOOKUP('Données projet'!$B$12,Paramètres!$A$1:$I$89,3,0)*0.475*44/12</f>
        <v>0.81013550850511329</v>
      </c>
      <c r="CN32" s="22">
        <f t="shared" si="12"/>
        <v>61.130784010981913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5">
      <c r="A33" s="10">
        <f t="shared" si="31"/>
        <v>30</v>
      </c>
      <c r="B33" s="73">
        <f>'Scénario référence'!$B$16*5+'Scénario référence'!$B$17*0+'Scénario référence'!$B$18*5</f>
        <v>5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1">
        <f t="shared" si="32"/>
        <v>0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3" s="11">
        <f>IF(OR('Scénario référence'!$F$8&gt;0,'Scénario référence'!$F$9&gt;0),('Scénario référence'!$F$8+'Scénario référence'!$F$9)*10,0)</f>
        <v>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18.333333333333332</v>
      </c>
      <c r="H33" s="67">
        <f t="shared" si="1"/>
        <v>183.33333333333334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 t="e">
        <f>VLOOKUP(A33,'Données projet'!$A$35:$I$55,2,0)</f>
        <v>#N/A</v>
      </c>
      <c r="L33" s="12" t="e">
        <f>VLOOKUP(A33,'Données projet'!$A$35:$I$55,9,0)</f>
        <v>#N/A</v>
      </c>
      <c r="M33" s="12">
        <f t="array" ref="M33">INDEX(L:L,MIN(IF(ISNUMBER(L33:L229),ROW(L33:L229),"")))</f>
        <v>0</v>
      </c>
      <c r="N33" s="13">
        <f>IF('Données projet'!$A$36&gt;35,N32+M33-V32,IF(A33&lt;'Données projet'!$A$36,$K$205^A33,IF(A33='Données projet'!$A$36,'Données projet'!$B$36,N32+M33-V32)))</f>
        <v>0</v>
      </c>
      <c r="O33" s="13">
        <f>N33*VLOOKUP('Données projet'!$B$9,Paramètres!$A$1:$I$89,3,0)*VLOOKUP('Données projet'!$B$9,Paramètres!$A$1:$I$89,5,0)</f>
        <v>0</v>
      </c>
      <c r="P33" s="13" t="e">
        <f t="shared" si="33"/>
        <v>#NUM!</v>
      </c>
      <c r="Q33" s="20" t="e">
        <f t="shared" si="2"/>
        <v>#NUM!</v>
      </c>
      <c r="R33" s="59" t="e">
        <f t="shared" si="0"/>
        <v>#NUM!</v>
      </c>
      <c r="S33" s="59">
        <f ca="1">AVERAGE(OFFSET($R$3,0,0,'Données projet'!$E$9+1,1))-AVERAGE(OFFSET($H$3,0,0,'Données projet'!$E$9+1,1))</f>
        <v>112.82287576550925</v>
      </c>
      <c r="T33" s="59">
        <f t="shared" si="34"/>
        <v>317.78570695363294</v>
      </c>
      <c r="U33" s="15">
        <f>IF(ISNA(VLOOKUP(A33,'Données projet'!$A$35:$I$55,3,0)),0,VLOOKUP(A33,'Données projet'!$A$35:$I$55,3,0))</f>
        <v>0</v>
      </c>
      <c r="V33" s="15">
        <f>IF(ISNA(VLOOKUP(A33,'Données projet'!$A$35:$I$55,4,0)),0,VLOOKUP(A33,'Données projet'!$A$35:$I$55,4,0))</f>
        <v>0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49.332704713436812</v>
      </c>
      <c r="AA33" s="21">
        <f>EXP(-LN(2)/25)*AA32+(1-EXP(-LN(2)/25))/(LN(2)/25)*Calculateur!V33*Calculateur!X33*VLOOKUP('Données projet'!$B$9,Paramètres!$A$1:$I$89,3,0)*0.475*44/12</f>
        <v>9.7277266761398806</v>
      </c>
      <c r="AB33" s="21">
        <f>EXP(-LN(2)/2)*AB32+(1-EXP(-LN(2)/2))/(LN(2)/2)*V33*Y33*VLOOKUP('Données projet'!$B$9,Paramètres!$A$1:$I$89,3,0)*0.475*44/12</f>
        <v>0.57285231174397755</v>
      </c>
      <c r="AC33" s="22">
        <f t="shared" si="3"/>
        <v>59.633283701320671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 t="e">
        <f>VLOOKUP(A33,'Données projet'!$A$61:$I$81,2,0)</f>
        <v>#N/A</v>
      </c>
      <c r="AG33" s="12" t="e">
        <f>VLOOKUP(A33,'Données projet'!$A$61:$I$81,9,0)</f>
        <v>#N/A</v>
      </c>
      <c r="AH33" s="12">
        <f t="array" ref="AH33">INDEX(AG:AG,MIN(IF(ISNUMBER(AG33:AG229),ROW(AG33:AG229),"")))</f>
        <v>0</v>
      </c>
      <c r="AI33" s="13">
        <f>IF('Données projet'!$A$62&gt;35,AI32+AH33-AQ32,IF(A33&lt;'Données projet'!$A$62,$AF$205^A33,IF(A33='Données projet'!$A$62,'Données projet'!$B$62,AI32+AH33-AQ32)))</f>
        <v>0</v>
      </c>
      <c r="AJ33" s="13">
        <f>AI33*VLOOKUP('Données projet'!$B$10,Paramètres!$A$1:$I$89,3,0)*VLOOKUP('Données projet'!$B$10,Paramètres!$A$1:$I$89,5,0)</f>
        <v>0</v>
      </c>
      <c r="AK33" s="13" t="e">
        <f t="shared" si="35"/>
        <v>#NUM!</v>
      </c>
      <c r="AL33" s="20" t="e">
        <f t="shared" si="4"/>
        <v>#NUM!</v>
      </c>
      <c r="AM33" s="59" t="e">
        <f t="shared" si="5"/>
        <v>#NUM!</v>
      </c>
      <c r="AN33" s="59">
        <f ca="1">AVERAGE(OFFSET($AM$3,0,0,'Données projet'!$E$10+1,1))-AVERAGE(OFFSET($H$3,0,0,'Données projet'!$E$10+1,1))</f>
        <v>112.82287576550925</v>
      </c>
      <c r="AO33" s="59">
        <f t="shared" si="36"/>
        <v>317.78570695363294</v>
      </c>
      <c r="AP33" s="15">
        <f>IF(ISNA(VLOOKUP(A33,'Données projet'!$A$61:$I$81,3,0)),0,VLOOKUP(A33,'Données projet'!$A$61:$I$81,3,0))</f>
        <v>0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>
        <f>EXP(-LN(2)/35)*AU32+(1-EXP(-LN(2)/35))/(LN(2)/35)*AQ33*AR33*VLOOKUP('Données projet'!$B$10,Paramètres!$A$1:$I$89,3,0)*0.475*44/12</f>
        <v>49.332704713436812</v>
      </c>
      <c r="AV33" s="21">
        <f>EXP(-LN(2)/25)*AV32+(1-EXP(-LN(2)/25))/(LN(2)/25)*Calculateur!AQ33*Calculateur!AS33*VLOOKUP('Données projet'!$B$10,Paramètres!$A$1:$I$89,3,0)*0.475*44/12</f>
        <v>9.7277266761398806</v>
      </c>
      <c r="AW33" s="21">
        <f>EXP(-LN(2)/2)*AW32+(1-EXP(-LN(2)/2))/(LN(2)/2)*AQ33*AT33*VLOOKUP('Données projet'!$B$10,Paramètres!$A$1:$I$89,3,0)*0.475*44/12</f>
        <v>0.57285231174397755</v>
      </c>
      <c r="AX33" s="21">
        <f t="shared" si="6"/>
        <v>59.633283701320671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 t="e">
        <f>VLOOKUP(A33,'Données projet'!$A$87:$I$107,2,0)</f>
        <v>#N/A</v>
      </c>
      <c r="BB33" s="12" t="e">
        <f>VLOOKUP(A33,'Données projet'!$A$87:$I$107,9,0)</f>
        <v>#N/A</v>
      </c>
      <c r="BC33" s="12">
        <f t="array" ref="BC33">INDEX(BB:BB,MIN(IF(ISNUMBER(BB33:BB229),ROW(BB33:BB229),"")))</f>
        <v>0</v>
      </c>
      <c r="BD33" s="12">
        <f>IF('Données projet'!$A$88&gt;35,BD32+BC33-BL32,IF(A33&lt;'Données projet'!$A$88,$BA$205^A33,IF(A33='Données projet'!$A$88,'Données projet'!$B$88,BD32+BC33-BL32)))</f>
        <v>0</v>
      </c>
      <c r="BE33" s="13">
        <f>BD33*VLOOKUP('Données projet'!$B$11,Paramètres!$A$1:$I$89,3,0)*VLOOKUP('Données projet'!$B$11,Paramètres!$A$1:$I$89,5,0)</f>
        <v>0</v>
      </c>
      <c r="BF33" s="13" t="e">
        <f t="shared" si="37"/>
        <v>#NUM!</v>
      </c>
      <c r="BG33" s="20" t="e">
        <f t="shared" si="7"/>
        <v>#NUM!</v>
      </c>
      <c r="BH33" s="59" t="e">
        <f t="shared" si="8"/>
        <v>#NUM!</v>
      </c>
      <c r="BI33" s="59">
        <f ca="1">AVERAGE(OFFSET($BH$3,0,0,'Données projet'!$E$11+1,1))-AVERAGE(OFFSET($H$3,0,0,'Données projet'!$E$11+1,1))</f>
        <v>112.82287576550925</v>
      </c>
      <c r="BJ33" s="59">
        <f t="shared" si="38"/>
        <v>317.78570695363294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>
        <f>EXP(-LN(2)/35)*BP32+(1-EXP(-LN(2)/35))/(LN(2)/35)*BL33*BM33*VLOOKUP('Données projet'!$B$11,Paramètres!$A$1:$I$89,3,0)*0.475*44/12</f>
        <v>49.332704713436812</v>
      </c>
      <c r="BQ33" s="21">
        <f>EXP(-LN(2)/25)*BQ32+(1-EXP(-LN(2)/25))/(LN(2)/25)*Calculateur!BL33*Calculateur!BN33*VLOOKUP('Données projet'!$B$11,Paramètres!$A$1:$I$89,3,0)*0.475*44/12</f>
        <v>9.7277266761398806</v>
      </c>
      <c r="BR33" s="21">
        <f>EXP(-LN(2)/2)*BR32+(1-EXP(-LN(2)/2))/(LN(2)/2)*BL33*BO33*VLOOKUP('Données projet'!$B$11,Paramètres!$A$1:$I$89,3,0)*0.475*44/12</f>
        <v>0.57285231174397755</v>
      </c>
      <c r="BS33" s="22">
        <f t="shared" si="9"/>
        <v>59.633283701320671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>
        <f>BY33*VLOOKUP('Données projet'!$B$12,Paramètres!$A$1:$I$89,3,0)*VLOOKUP('Données projet'!$B$12,Paramètres!$A$1:$I$89,5,0)</f>
        <v>0</v>
      </c>
      <c r="CA33" s="13" t="e">
        <f t="shared" si="39"/>
        <v>#NUM!</v>
      </c>
      <c r="CB33" s="20" t="e">
        <f t="shared" si="10"/>
        <v>#NUM!</v>
      </c>
      <c r="CC33" s="59" t="e">
        <f t="shared" si="11"/>
        <v>#NUM!</v>
      </c>
      <c r="CD33" s="59">
        <f ca="1">AVERAGE(OFFSET($CC$3,0,0,'Données projet'!$E$12+1,1))-AVERAGE(OFFSET($H$3,0,0,'Données projet'!$E$12+1,1))</f>
        <v>112.82287576550925</v>
      </c>
      <c r="CE33" s="59">
        <f t="shared" si="40"/>
        <v>317.78570695363294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>
        <f>EXP(-LN(2)/35)*CK32+(1-EXP(-LN(2)/35))/(LN(2)/35)*CG33*CH33*VLOOKUP('Données projet'!$B$12,Paramètres!$A$1:$I$89,3,0)*0.475*44/12</f>
        <v>49.332704713436812</v>
      </c>
      <c r="CL33" s="21">
        <f>EXP(-LN(2)/25)*CL32+(1-EXP(-LN(2)/25))/(LN(2)/25)*Calculateur!CG33*Calculateur!CI33*VLOOKUP('Données projet'!$B$12,Paramètres!$A$1:$I$89,3,0)*0.475*44/12</f>
        <v>9.7277266761398806</v>
      </c>
      <c r="CM33" s="21">
        <f>EXP(-LN(2)/2)*CM32+(1-EXP(-LN(2)/2))/(LN(2)/2)*CG33*CJ33*VLOOKUP('Données projet'!$B$12,Paramètres!$A$1:$I$89,3,0)*0.475*44/12</f>
        <v>0.57285231174397755</v>
      </c>
      <c r="CN33" s="22">
        <f t="shared" si="12"/>
        <v>59.633283701320671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5">
      <c r="A34" s="10">
        <f t="shared" si="31"/>
        <v>31</v>
      </c>
      <c r="B34" s="73">
        <f>'Scénario référence'!$B$16*5+'Scénario référence'!$B$17*0+'Scénario référence'!$B$18*5</f>
        <v>5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1">
        <f t="shared" si="32"/>
        <v>0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4" s="11">
        <f>IF(OR('Scénario référence'!$F$8&gt;0,'Scénario référence'!$F$9&gt;0),('Scénario référence'!$F$8+'Scénario référence'!$F$9)*10,0)</f>
        <v>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18.333333333333332</v>
      </c>
      <c r="H34" s="67">
        <f t="shared" si="1"/>
        <v>183.33333333333334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0</v>
      </c>
      <c r="N34" s="13">
        <f>IF('Données projet'!$A$36&gt;35,N33+M34-V33,IF(A34&lt;'Données projet'!$A$36,$K$205^A34,IF(A34='Données projet'!$A$36,'Données projet'!$B$36,N33+M34-V33)))</f>
        <v>0</v>
      </c>
      <c r="O34" s="13">
        <f>N34*VLOOKUP('Données projet'!$B$9,Paramètres!$A$1:$I$89,3,0)*VLOOKUP('Données projet'!$B$9,Paramètres!$A$1:$I$89,5,0)</f>
        <v>0</v>
      </c>
      <c r="P34" s="13" t="e">
        <f t="shared" si="33"/>
        <v>#NUM!</v>
      </c>
      <c r="Q34" s="20" t="e">
        <f t="shared" si="2"/>
        <v>#NUM!</v>
      </c>
      <c r="R34" s="59" t="e">
        <f t="shared" si="0"/>
        <v>#NUM!</v>
      </c>
      <c r="S34" s="59">
        <f ca="1">AVERAGE(OFFSET($R$3,0,0,'Données projet'!$E$9+1,1))-AVERAGE(OFFSET($H$3,0,0,'Données projet'!$E$9+1,1))</f>
        <v>112.82287576550925</v>
      </c>
      <c r="T34" s="59">
        <f t="shared" si="34"/>
        <v>317.78570695363294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48.36532046398505</v>
      </c>
      <c r="AA34" s="21">
        <f>EXP(-LN(2)/25)*AA33+(1-EXP(-LN(2)/25))/(LN(2)/25)*Calculateur!V34*Calculateur!X34*VLOOKUP('Données projet'!$B$9,Paramètres!$A$1:$I$89,3,0)*0.475*44/12</f>
        <v>9.4617214786219233</v>
      </c>
      <c r="AB34" s="21">
        <f>EXP(-LN(2)/2)*AB33+(1-EXP(-LN(2)/2))/(LN(2)/2)*V34*Y34*VLOOKUP('Données projet'!$B$9,Paramètres!$A$1:$I$89,3,0)*0.475*44/12</f>
        <v>0.40506775425255664</v>
      </c>
      <c r="AC34" s="22">
        <f t="shared" si="3"/>
        <v>58.232109696859531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0</v>
      </c>
      <c r="AI34" s="13">
        <f>IF('Données projet'!$A$62&gt;35,AI33+AH34-AQ33,IF(A34&lt;'Données projet'!$A$62,$AF$205^A34,IF(A34='Données projet'!$A$62,'Données projet'!$B$62,AI33+AH34-AQ33)))</f>
        <v>0</v>
      </c>
      <c r="AJ34" s="13">
        <f>AI34*VLOOKUP('Données projet'!$B$10,Paramètres!$A$1:$I$89,3,0)*VLOOKUP('Données projet'!$B$10,Paramètres!$A$1:$I$89,5,0)</f>
        <v>0</v>
      </c>
      <c r="AK34" s="13" t="e">
        <f t="shared" si="35"/>
        <v>#NUM!</v>
      </c>
      <c r="AL34" s="20" t="e">
        <f t="shared" si="4"/>
        <v>#NUM!</v>
      </c>
      <c r="AM34" s="59" t="e">
        <f t="shared" si="5"/>
        <v>#NUM!</v>
      </c>
      <c r="AN34" s="59">
        <f ca="1">AVERAGE(OFFSET($AM$3,0,0,'Données projet'!$E$10+1,1))-AVERAGE(OFFSET($H$3,0,0,'Données projet'!$E$10+1,1))</f>
        <v>112.82287576550925</v>
      </c>
      <c r="AO34" s="59">
        <f t="shared" si="36"/>
        <v>317.78570695363294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48.36532046398505</v>
      </c>
      <c r="AV34" s="21">
        <f>EXP(-LN(2)/25)*AV33+(1-EXP(-LN(2)/25))/(LN(2)/25)*Calculateur!AQ34*Calculateur!AS34*VLOOKUP('Données projet'!$B$10,Paramètres!$A$1:$I$89,3,0)*0.475*44/12</f>
        <v>9.4617214786219233</v>
      </c>
      <c r="AW34" s="21">
        <f>EXP(-LN(2)/2)*AW33+(1-EXP(-LN(2)/2))/(LN(2)/2)*AQ34*AT34*VLOOKUP('Données projet'!$B$10,Paramètres!$A$1:$I$89,3,0)*0.475*44/12</f>
        <v>0.40506775425255664</v>
      </c>
      <c r="AX34" s="21">
        <f t="shared" si="6"/>
        <v>58.232109696859531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0</v>
      </c>
      <c r="BD34" s="12">
        <f>IF('Données projet'!$A$88&gt;35,BD33+BC34-BL33,IF(A34&lt;'Données projet'!$A$88,$BA$205^A34,IF(A34='Données projet'!$A$88,'Données projet'!$B$88,BD33+BC34-BL33)))</f>
        <v>0</v>
      </c>
      <c r="BE34" s="13">
        <f>BD34*VLOOKUP('Données projet'!$B$11,Paramètres!$A$1:$I$89,3,0)*VLOOKUP('Données projet'!$B$11,Paramètres!$A$1:$I$89,5,0)</f>
        <v>0</v>
      </c>
      <c r="BF34" s="13" t="e">
        <f t="shared" si="37"/>
        <v>#NUM!</v>
      </c>
      <c r="BG34" s="20" t="e">
        <f t="shared" si="7"/>
        <v>#NUM!</v>
      </c>
      <c r="BH34" s="59" t="e">
        <f t="shared" si="8"/>
        <v>#NUM!</v>
      </c>
      <c r="BI34" s="59">
        <f ca="1">AVERAGE(OFFSET($BH$3,0,0,'Données projet'!$E$11+1,1))-AVERAGE(OFFSET($H$3,0,0,'Données projet'!$E$11+1,1))</f>
        <v>112.82287576550925</v>
      </c>
      <c r="BJ34" s="59">
        <f t="shared" si="38"/>
        <v>317.78570695363294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48.36532046398505</v>
      </c>
      <c r="BQ34" s="21">
        <f>EXP(-LN(2)/25)*BQ33+(1-EXP(-LN(2)/25))/(LN(2)/25)*Calculateur!BL34*Calculateur!BN34*VLOOKUP('Données projet'!$B$11,Paramètres!$A$1:$I$89,3,0)*0.475*44/12</f>
        <v>9.4617214786219233</v>
      </c>
      <c r="BR34" s="21">
        <f>EXP(-LN(2)/2)*BR33+(1-EXP(-LN(2)/2))/(LN(2)/2)*BL34*BO34*VLOOKUP('Données projet'!$B$11,Paramètres!$A$1:$I$89,3,0)*0.475*44/12</f>
        <v>0.40506775425255664</v>
      </c>
      <c r="BS34" s="22">
        <f t="shared" si="9"/>
        <v>58.232109696859531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>
        <f>BY34*VLOOKUP('Données projet'!$B$12,Paramètres!$A$1:$I$89,3,0)*VLOOKUP('Données projet'!$B$12,Paramètres!$A$1:$I$89,5,0)</f>
        <v>0</v>
      </c>
      <c r="CA34" s="13" t="e">
        <f t="shared" si="39"/>
        <v>#NUM!</v>
      </c>
      <c r="CB34" s="20" t="e">
        <f t="shared" si="10"/>
        <v>#NUM!</v>
      </c>
      <c r="CC34" s="59" t="e">
        <f t="shared" si="11"/>
        <v>#NUM!</v>
      </c>
      <c r="CD34" s="59">
        <f ca="1">AVERAGE(OFFSET($CC$3,0,0,'Données projet'!$E$12+1,1))-AVERAGE(OFFSET($H$3,0,0,'Données projet'!$E$12+1,1))</f>
        <v>112.82287576550925</v>
      </c>
      <c r="CE34" s="59">
        <f t="shared" si="40"/>
        <v>317.78570695363294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>
        <f>EXP(-LN(2)/35)*CK33+(1-EXP(-LN(2)/35))/(LN(2)/35)*CG34*CH34*VLOOKUP('Données projet'!$B$12,Paramètres!$A$1:$I$89,3,0)*0.475*44/12</f>
        <v>48.36532046398505</v>
      </c>
      <c r="CL34" s="21">
        <f>EXP(-LN(2)/25)*CL33+(1-EXP(-LN(2)/25))/(LN(2)/25)*Calculateur!CG34*Calculateur!CI34*VLOOKUP('Données projet'!$B$12,Paramètres!$A$1:$I$89,3,0)*0.475*44/12</f>
        <v>9.4617214786219233</v>
      </c>
      <c r="CM34" s="21">
        <f>EXP(-LN(2)/2)*CM33+(1-EXP(-LN(2)/2))/(LN(2)/2)*CG34*CJ34*VLOOKUP('Données projet'!$B$12,Paramètres!$A$1:$I$89,3,0)*0.475*44/12</f>
        <v>0.40506775425255664</v>
      </c>
      <c r="CN34" s="22">
        <f t="shared" si="12"/>
        <v>58.232109696859531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5">
      <c r="A35" s="10">
        <f t="shared" si="31"/>
        <v>32</v>
      </c>
      <c r="B35" s="73">
        <f>'Scénario référence'!$B$16*5+'Scénario référence'!$B$17*0+'Scénario référence'!$B$18*5</f>
        <v>5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1">
        <f t="shared" si="32"/>
        <v>0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5" s="11">
        <f>IF(OR('Scénario référence'!$F$8&gt;0,'Scénario référence'!$F$9&gt;0),('Scénario référence'!$F$8+'Scénario référence'!$F$9)*10,0)</f>
        <v>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18.333333333333332</v>
      </c>
      <c r="H35" s="67">
        <f t="shared" si="1"/>
        <v>183.33333333333334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0</v>
      </c>
      <c r="N35" s="13">
        <f>IF('Données projet'!$A$36&gt;35,N34+M35-V34,IF(A35&lt;'Données projet'!$A$36,$K$205^A35,IF(A35='Données projet'!$A$36,'Données projet'!$B$36,N34+M35-V34)))</f>
        <v>0</v>
      </c>
      <c r="O35" s="13">
        <f>N35*VLOOKUP('Données projet'!$B$9,Paramètres!$A$1:$I$89,3,0)*VLOOKUP('Données projet'!$B$9,Paramètres!$A$1:$I$89,5,0)</f>
        <v>0</v>
      </c>
      <c r="P35" s="13" t="e">
        <f t="shared" si="33"/>
        <v>#NUM!</v>
      </c>
      <c r="Q35" s="20" t="e">
        <f t="shared" ref="Q35:Q66" si="53">(O35+P35)*0.475*44/12</f>
        <v>#NUM!</v>
      </c>
      <c r="R35" s="59" t="e">
        <f t="shared" si="0"/>
        <v>#NUM!</v>
      </c>
      <c r="S35" s="59">
        <f ca="1">AVERAGE(OFFSET($R$3,0,0,'Données projet'!$E$9+1,1))-AVERAGE(OFFSET($H$3,0,0,'Données projet'!$E$9+1,1))</f>
        <v>112.82287576550925</v>
      </c>
      <c r="T35" s="59">
        <f t="shared" si="34"/>
        <v>317.78570695363294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47.416906029618907</v>
      </c>
      <c r="AA35" s="21">
        <f>EXP(-LN(2)/25)*AA34+(1-EXP(-LN(2)/25))/(LN(2)/25)*Calculateur!V35*Calculateur!X35*VLOOKUP('Données projet'!$B$9,Paramètres!$A$1:$I$89,3,0)*0.475*44/12</f>
        <v>9.2029902072186989</v>
      </c>
      <c r="AB35" s="21">
        <f>EXP(-LN(2)/2)*AB34+(1-EXP(-LN(2)/2))/(LN(2)/2)*V35*Y35*VLOOKUP('Données projet'!$B$9,Paramètres!$A$1:$I$89,3,0)*0.475*44/12</f>
        <v>0.28642615587198877</v>
      </c>
      <c r="AC35" s="22">
        <f t="shared" si="3"/>
        <v>56.90632239270959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0</v>
      </c>
      <c r="AI35" s="13">
        <f>IF('Données projet'!$A$62&gt;35,AI34+AH35-AQ34,IF(A35&lt;'Données projet'!$A$62,$AF$205^A35,IF(A35='Données projet'!$A$62,'Données projet'!$B$62,AI34+AH35-AQ34)))</f>
        <v>0</v>
      </c>
      <c r="AJ35" s="13">
        <f>AI35*VLOOKUP('Données projet'!$B$10,Paramètres!$A$1:$I$89,3,0)*VLOOKUP('Données projet'!$B$10,Paramètres!$A$1:$I$89,5,0)</f>
        <v>0</v>
      </c>
      <c r="AK35" s="13" t="e">
        <f t="shared" si="35"/>
        <v>#NUM!</v>
      </c>
      <c r="AL35" s="20" t="e">
        <f t="shared" si="4"/>
        <v>#NUM!</v>
      </c>
      <c r="AM35" s="59" t="e">
        <f t="shared" si="5"/>
        <v>#NUM!</v>
      </c>
      <c r="AN35" s="59">
        <f ca="1">AVERAGE(OFFSET($AM$3,0,0,'Données projet'!$E$10+1,1))-AVERAGE(OFFSET($H$3,0,0,'Données projet'!$E$10+1,1))</f>
        <v>112.82287576550925</v>
      </c>
      <c r="AO35" s="59">
        <f t="shared" si="36"/>
        <v>317.78570695363294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47.416906029618907</v>
      </c>
      <c r="AV35" s="21">
        <f>EXP(-LN(2)/25)*AV34+(1-EXP(-LN(2)/25))/(LN(2)/25)*Calculateur!AQ35*Calculateur!AS35*VLOOKUP('Données projet'!$B$10,Paramètres!$A$1:$I$89,3,0)*0.475*44/12</f>
        <v>9.2029902072186989</v>
      </c>
      <c r="AW35" s="21">
        <f>EXP(-LN(2)/2)*AW34+(1-EXP(-LN(2)/2))/(LN(2)/2)*AQ35*AT35*VLOOKUP('Données projet'!$B$10,Paramètres!$A$1:$I$89,3,0)*0.475*44/12</f>
        <v>0.28642615587198877</v>
      </c>
      <c r="AX35" s="21">
        <f t="shared" si="6"/>
        <v>56.90632239270959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0</v>
      </c>
      <c r="BD35" s="12">
        <f>IF('Données projet'!$A$88&gt;35,BD34+BC35-BL34,IF(A35&lt;'Données projet'!$A$88,$BA$205^A35,IF(A35='Données projet'!$A$88,'Données projet'!$B$88,BD34+BC35-BL34)))</f>
        <v>0</v>
      </c>
      <c r="BE35" s="13">
        <f>BD35*VLOOKUP('Données projet'!$B$11,Paramètres!$A$1:$I$89,3,0)*VLOOKUP('Données projet'!$B$11,Paramètres!$A$1:$I$89,5,0)</f>
        <v>0</v>
      </c>
      <c r="BF35" s="13" t="e">
        <f t="shared" si="37"/>
        <v>#NUM!</v>
      </c>
      <c r="BG35" s="20" t="e">
        <f t="shared" si="7"/>
        <v>#NUM!</v>
      </c>
      <c r="BH35" s="59" t="e">
        <f t="shared" si="8"/>
        <v>#NUM!</v>
      </c>
      <c r="BI35" s="59">
        <f ca="1">AVERAGE(OFFSET($BH$3,0,0,'Données projet'!$E$11+1,1))-AVERAGE(OFFSET($H$3,0,0,'Données projet'!$E$11+1,1))</f>
        <v>112.82287576550925</v>
      </c>
      <c r="BJ35" s="59">
        <f t="shared" si="38"/>
        <v>317.78570695363294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47.416906029618907</v>
      </c>
      <c r="BQ35" s="21">
        <f>EXP(-LN(2)/25)*BQ34+(1-EXP(-LN(2)/25))/(LN(2)/25)*Calculateur!BL35*Calculateur!BN35*VLOOKUP('Données projet'!$B$11,Paramètres!$A$1:$I$89,3,0)*0.475*44/12</f>
        <v>9.2029902072186989</v>
      </c>
      <c r="BR35" s="21">
        <f>EXP(-LN(2)/2)*BR34+(1-EXP(-LN(2)/2))/(LN(2)/2)*BL35*BO35*VLOOKUP('Données projet'!$B$11,Paramètres!$A$1:$I$89,3,0)*0.475*44/12</f>
        <v>0.28642615587198877</v>
      </c>
      <c r="BS35" s="22">
        <f t="shared" si="9"/>
        <v>56.90632239270959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>
        <f>BY35*VLOOKUP('Données projet'!$B$12,Paramètres!$A$1:$I$89,3,0)*VLOOKUP('Données projet'!$B$12,Paramètres!$A$1:$I$89,5,0)</f>
        <v>0</v>
      </c>
      <c r="CA35" s="13" t="e">
        <f t="shared" si="39"/>
        <v>#NUM!</v>
      </c>
      <c r="CB35" s="20" t="e">
        <f t="shared" si="10"/>
        <v>#NUM!</v>
      </c>
      <c r="CC35" s="59" t="e">
        <f t="shared" si="11"/>
        <v>#NUM!</v>
      </c>
      <c r="CD35" s="59">
        <f ca="1">AVERAGE(OFFSET($CC$3,0,0,'Données projet'!$E$12+1,1))-AVERAGE(OFFSET($H$3,0,0,'Données projet'!$E$12+1,1))</f>
        <v>112.82287576550925</v>
      </c>
      <c r="CE35" s="59">
        <f t="shared" si="40"/>
        <v>317.78570695363294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>
        <f>EXP(-LN(2)/35)*CK34+(1-EXP(-LN(2)/35))/(LN(2)/35)*CG35*CH35*VLOOKUP('Données projet'!$B$12,Paramètres!$A$1:$I$89,3,0)*0.475*44/12</f>
        <v>47.416906029618907</v>
      </c>
      <c r="CL35" s="21">
        <f>EXP(-LN(2)/25)*CL34+(1-EXP(-LN(2)/25))/(LN(2)/25)*Calculateur!CG35*Calculateur!CI35*VLOOKUP('Données projet'!$B$12,Paramètres!$A$1:$I$89,3,0)*0.475*44/12</f>
        <v>9.2029902072186989</v>
      </c>
      <c r="CM35" s="21">
        <f>EXP(-LN(2)/2)*CM34+(1-EXP(-LN(2)/2))/(LN(2)/2)*CG35*CJ35*VLOOKUP('Données projet'!$B$12,Paramètres!$A$1:$I$89,3,0)*0.475*44/12</f>
        <v>0.28642615587198877</v>
      </c>
      <c r="CN35" s="22">
        <f t="shared" si="12"/>
        <v>56.90632239270959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5">
      <c r="A36" s="10">
        <f t="shared" si="31"/>
        <v>33</v>
      </c>
      <c r="B36" s="73">
        <f>'Scénario référence'!$B$16*5+'Scénario référence'!$B$17*0+'Scénario référence'!$B$18*5</f>
        <v>5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1">
        <f t="shared" si="32"/>
        <v>0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6" s="11">
        <f>IF(OR('Scénario référence'!$F$8&gt;0,'Scénario référence'!$F$9&gt;0),('Scénario référence'!$F$8+'Scénario référence'!$F$9)*10,0)</f>
        <v>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18.333333333333332</v>
      </c>
      <c r="H36" s="67">
        <f t="shared" si="1"/>
        <v>183.33333333333334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0</v>
      </c>
      <c r="N36" s="13">
        <f>IF('Données projet'!$A$36&gt;35,N35+M36-V35,IF(A36&lt;'Données projet'!$A$36,$K$205^A36,IF(A36='Données projet'!$A$36,'Données projet'!$B$36,N35+M36-V35)))</f>
        <v>0</v>
      </c>
      <c r="O36" s="13">
        <f>N36*VLOOKUP('Données projet'!$B$9,Paramètres!$A$1:$I$89,3,0)*VLOOKUP('Données projet'!$B$9,Paramètres!$A$1:$I$89,5,0)</f>
        <v>0</v>
      </c>
      <c r="P36" s="13" t="e">
        <f t="shared" si="33"/>
        <v>#NUM!</v>
      </c>
      <c r="Q36" s="20" t="e">
        <f t="shared" si="53"/>
        <v>#NUM!</v>
      </c>
      <c r="R36" s="59" t="e">
        <f t="shared" si="0"/>
        <v>#NUM!</v>
      </c>
      <c r="S36" s="59">
        <f ca="1">AVERAGE(OFFSET($R$3,0,0,'Données projet'!$E$9+1,1))-AVERAGE(OFFSET($H$3,0,0,'Données projet'!$E$9+1,1))</f>
        <v>112.82287576550925</v>
      </c>
      <c r="T36" s="59">
        <f t="shared" si="34"/>
        <v>317.78570695363294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46.487089423835002</v>
      </c>
      <c r="AA36" s="21">
        <f>EXP(-LN(2)/25)*AA35+(1-EXP(-LN(2)/25))/(LN(2)/25)*Calculateur!V36*Calculateur!X36*VLOOKUP('Données projet'!$B$9,Paramètres!$A$1:$I$89,3,0)*0.475*44/12</f>
        <v>8.9513339560380825</v>
      </c>
      <c r="AB36" s="21">
        <f>EXP(-LN(2)/2)*AB35+(1-EXP(-LN(2)/2))/(LN(2)/2)*V36*Y36*VLOOKUP('Données projet'!$B$9,Paramètres!$A$1:$I$89,3,0)*0.475*44/12</f>
        <v>0.20253387712627832</v>
      </c>
      <c r="AC36" s="22">
        <f t="shared" si="3"/>
        <v>55.640957256999364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0</v>
      </c>
      <c r="AI36" s="13">
        <f>IF('Données projet'!$A$62&gt;35,AI35+AH36-AQ35,IF(A36&lt;'Données projet'!$A$62,$AF$205^A36,IF(A36='Données projet'!$A$62,'Données projet'!$B$62,AI35+AH36-AQ35)))</f>
        <v>0</v>
      </c>
      <c r="AJ36" s="13">
        <f>AI36*VLOOKUP('Données projet'!$B$10,Paramètres!$A$1:$I$89,3,0)*VLOOKUP('Données projet'!$B$10,Paramètres!$A$1:$I$89,5,0)</f>
        <v>0</v>
      </c>
      <c r="AK36" s="13" t="e">
        <f t="shared" si="35"/>
        <v>#NUM!</v>
      </c>
      <c r="AL36" s="20" t="e">
        <f t="shared" si="4"/>
        <v>#NUM!</v>
      </c>
      <c r="AM36" s="59" t="e">
        <f t="shared" si="5"/>
        <v>#NUM!</v>
      </c>
      <c r="AN36" s="59">
        <f ca="1">AVERAGE(OFFSET($AM$3,0,0,'Données projet'!$E$10+1,1))-AVERAGE(OFFSET($H$3,0,0,'Données projet'!$E$10+1,1))</f>
        <v>112.82287576550925</v>
      </c>
      <c r="AO36" s="59">
        <f t="shared" si="36"/>
        <v>317.78570695363294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46.487089423835002</v>
      </c>
      <c r="AV36" s="21">
        <f>EXP(-LN(2)/25)*AV35+(1-EXP(-LN(2)/25))/(LN(2)/25)*Calculateur!AQ36*Calculateur!AS36*VLOOKUP('Données projet'!$B$10,Paramètres!$A$1:$I$89,3,0)*0.475*44/12</f>
        <v>8.9513339560380825</v>
      </c>
      <c r="AW36" s="21">
        <f>EXP(-LN(2)/2)*AW35+(1-EXP(-LN(2)/2))/(LN(2)/2)*AQ36*AT36*VLOOKUP('Données projet'!$B$10,Paramètres!$A$1:$I$89,3,0)*0.475*44/12</f>
        <v>0.20253387712627832</v>
      </c>
      <c r="AX36" s="21">
        <f t="shared" si="6"/>
        <v>55.640957256999364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0</v>
      </c>
      <c r="BD36" s="12">
        <f>IF('Données projet'!$A$88&gt;35,BD35+BC36-BL35,IF(A36&lt;'Données projet'!$A$88,$BA$205^A36,IF(A36='Données projet'!$A$88,'Données projet'!$B$88,BD35+BC36-BL35)))</f>
        <v>0</v>
      </c>
      <c r="BE36" s="13">
        <f>BD36*VLOOKUP('Données projet'!$B$11,Paramètres!$A$1:$I$89,3,0)*VLOOKUP('Données projet'!$B$11,Paramètres!$A$1:$I$89,5,0)</f>
        <v>0</v>
      </c>
      <c r="BF36" s="13" t="e">
        <f t="shared" si="37"/>
        <v>#NUM!</v>
      </c>
      <c r="BG36" s="20" t="e">
        <f t="shared" si="7"/>
        <v>#NUM!</v>
      </c>
      <c r="BH36" s="59" t="e">
        <f t="shared" si="8"/>
        <v>#NUM!</v>
      </c>
      <c r="BI36" s="59">
        <f ca="1">AVERAGE(OFFSET($BH$3,0,0,'Données projet'!$E$11+1,1))-AVERAGE(OFFSET($H$3,0,0,'Données projet'!$E$11+1,1))</f>
        <v>112.82287576550925</v>
      </c>
      <c r="BJ36" s="59">
        <f t="shared" si="38"/>
        <v>317.78570695363294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46.487089423835002</v>
      </c>
      <c r="BQ36" s="21">
        <f>EXP(-LN(2)/25)*BQ35+(1-EXP(-LN(2)/25))/(LN(2)/25)*Calculateur!BL36*Calculateur!BN36*VLOOKUP('Données projet'!$B$11,Paramètres!$A$1:$I$89,3,0)*0.475*44/12</f>
        <v>8.9513339560380825</v>
      </c>
      <c r="BR36" s="21">
        <f>EXP(-LN(2)/2)*BR35+(1-EXP(-LN(2)/2))/(LN(2)/2)*BL36*BO36*VLOOKUP('Données projet'!$B$11,Paramètres!$A$1:$I$89,3,0)*0.475*44/12</f>
        <v>0.20253387712627832</v>
      </c>
      <c r="BS36" s="22">
        <f t="shared" si="9"/>
        <v>55.640957256999364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>
        <f>BY36*VLOOKUP('Données projet'!$B$12,Paramètres!$A$1:$I$89,3,0)*VLOOKUP('Données projet'!$B$12,Paramètres!$A$1:$I$89,5,0)</f>
        <v>0</v>
      </c>
      <c r="CA36" s="13" t="e">
        <f t="shared" si="39"/>
        <v>#NUM!</v>
      </c>
      <c r="CB36" s="20" t="e">
        <f t="shared" si="10"/>
        <v>#NUM!</v>
      </c>
      <c r="CC36" s="59" t="e">
        <f t="shared" si="11"/>
        <v>#NUM!</v>
      </c>
      <c r="CD36" s="59">
        <f ca="1">AVERAGE(OFFSET($CC$3,0,0,'Données projet'!$E$12+1,1))-AVERAGE(OFFSET($H$3,0,0,'Données projet'!$E$12+1,1))</f>
        <v>112.82287576550925</v>
      </c>
      <c r="CE36" s="59">
        <f t="shared" si="40"/>
        <v>317.78570695363294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>
        <f>EXP(-LN(2)/35)*CK35+(1-EXP(-LN(2)/35))/(LN(2)/35)*CG36*CH36*VLOOKUP('Données projet'!$B$12,Paramètres!$A$1:$I$89,3,0)*0.475*44/12</f>
        <v>46.487089423835002</v>
      </c>
      <c r="CL36" s="21">
        <f>EXP(-LN(2)/25)*CL35+(1-EXP(-LN(2)/25))/(LN(2)/25)*Calculateur!CG36*Calculateur!CI36*VLOOKUP('Données projet'!$B$12,Paramètres!$A$1:$I$89,3,0)*0.475*44/12</f>
        <v>8.9513339560380825</v>
      </c>
      <c r="CM36" s="21">
        <f>EXP(-LN(2)/2)*CM35+(1-EXP(-LN(2)/2))/(LN(2)/2)*CG36*CJ36*VLOOKUP('Données projet'!$B$12,Paramètres!$A$1:$I$89,3,0)*0.475*44/12</f>
        <v>0.20253387712627832</v>
      </c>
      <c r="CN36" s="22">
        <f t="shared" si="12"/>
        <v>55.640957256999364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5">
      <c r="A37" s="10">
        <f t="shared" si="31"/>
        <v>34</v>
      </c>
      <c r="B37" s="73">
        <f>'Scénario référence'!$B$16*5+'Scénario référence'!$B$17*0+'Scénario référence'!$B$18*5</f>
        <v>5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1">
        <f t="shared" si="32"/>
        <v>0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7" s="11">
        <f>IF(OR('Scénario référence'!$F$8&gt;0,'Scénario référence'!$F$9&gt;0),('Scénario référence'!$F$8+'Scénario référence'!$F$9)*10,0)</f>
        <v>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18.333333333333332</v>
      </c>
      <c r="H37" s="67">
        <f t="shared" si="1"/>
        <v>183.33333333333334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0</v>
      </c>
      <c r="N37" s="13">
        <f>IF('Données projet'!$A$36&gt;35,N36+M37-V36,IF(A37&lt;'Données projet'!$A$36,$K$205^A37,IF(A37='Données projet'!$A$36,'Données projet'!$B$36,N36+M37-V36)))</f>
        <v>0</v>
      </c>
      <c r="O37" s="13">
        <f>N37*VLOOKUP('Données projet'!$B$9,Paramètres!$A$1:$I$89,3,0)*VLOOKUP('Données projet'!$B$9,Paramètres!$A$1:$I$89,5,0)</f>
        <v>0</v>
      </c>
      <c r="P37" s="13" t="e">
        <f t="shared" si="33"/>
        <v>#NUM!</v>
      </c>
      <c r="Q37" s="20" t="e">
        <f t="shared" si="53"/>
        <v>#NUM!</v>
      </c>
      <c r="R37" s="59" t="e">
        <f t="shared" si="0"/>
        <v>#NUM!</v>
      </c>
      <c r="S37" s="59">
        <f ca="1">AVERAGE(OFFSET($R$3,0,0,'Données projet'!$E$9+1,1))-AVERAGE(OFFSET($H$3,0,0,'Données projet'!$E$9+1,1))</f>
        <v>112.82287576550925</v>
      </c>
      <c r="T37" s="59">
        <f t="shared" si="34"/>
        <v>317.78570695363294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45.575505954558388</v>
      </c>
      <c r="AA37" s="21">
        <f>EXP(-LN(2)/25)*AA36+(1-EXP(-LN(2)/25))/(LN(2)/25)*Calculateur!V37*Calculateur!X37*VLOOKUP('Données projet'!$B$9,Paramètres!$A$1:$I$89,3,0)*0.475*44/12</f>
        <v>8.7065592582800271</v>
      </c>
      <c r="AB37" s="21">
        <f>EXP(-LN(2)/2)*AB36+(1-EXP(-LN(2)/2))/(LN(2)/2)*V37*Y37*VLOOKUP('Données projet'!$B$9,Paramètres!$A$1:$I$89,3,0)*0.475*44/12</f>
        <v>0.14321307793599439</v>
      </c>
      <c r="AC37" s="22">
        <f t="shared" si="3"/>
        <v>54.425278290774415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0</v>
      </c>
      <c r="AI37" s="13">
        <f>IF('Données projet'!$A$62&gt;35,AI36+AH37-AQ36,IF(A37&lt;'Données projet'!$A$62,$AF$205^A37,IF(A37='Données projet'!$A$62,'Données projet'!$B$62,AI36+AH37-AQ36)))</f>
        <v>0</v>
      </c>
      <c r="AJ37" s="13">
        <f>AI37*VLOOKUP('Données projet'!$B$10,Paramètres!$A$1:$I$89,3,0)*VLOOKUP('Données projet'!$B$10,Paramètres!$A$1:$I$89,5,0)</f>
        <v>0</v>
      </c>
      <c r="AK37" s="13" t="e">
        <f t="shared" si="35"/>
        <v>#NUM!</v>
      </c>
      <c r="AL37" s="20" t="e">
        <f t="shared" si="4"/>
        <v>#NUM!</v>
      </c>
      <c r="AM37" s="59" t="e">
        <f t="shared" si="5"/>
        <v>#NUM!</v>
      </c>
      <c r="AN37" s="59">
        <f ca="1">AVERAGE(OFFSET($AM$3,0,0,'Données projet'!$E$10+1,1))-AVERAGE(OFFSET($H$3,0,0,'Données projet'!$E$10+1,1))</f>
        <v>112.82287576550925</v>
      </c>
      <c r="AO37" s="59">
        <f t="shared" si="36"/>
        <v>317.78570695363294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45.575505954558388</v>
      </c>
      <c r="AV37" s="21">
        <f>EXP(-LN(2)/25)*AV36+(1-EXP(-LN(2)/25))/(LN(2)/25)*Calculateur!AQ37*Calculateur!AS37*VLOOKUP('Données projet'!$B$10,Paramètres!$A$1:$I$89,3,0)*0.475*44/12</f>
        <v>8.7065592582800271</v>
      </c>
      <c r="AW37" s="21">
        <f>EXP(-LN(2)/2)*AW36+(1-EXP(-LN(2)/2))/(LN(2)/2)*AQ37*AT37*VLOOKUP('Données projet'!$B$10,Paramètres!$A$1:$I$89,3,0)*0.475*44/12</f>
        <v>0.14321307793599439</v>
      </c>
      <c r="AX37" s="21">
        <f t="shared" si="6"/>
        <v>54.425278290774415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0</v>
      </c>
      <c r="BD37" s="12">
        <f>IF('Données projet'!$A$88&gt;35,BD36+BC37-BL36,IF(A37&lt;'Données projet'!$A$88,$BA$205^A37,IF(A37='Données projet'!$A$88,'Données projet'!$B$88,BD36+BC37-BL36)))</f>
        <v>0</v>
      </c>
      <c r="BE37" s="13">
        <f>BD37*VLOOKUP('Données projet'!$B$11,Paramètres!$A$1:$I$89,3,0)*VLOOKUP('Données projet'!$B$11,Paramètres!$A$1:$I$89,5,0)</f>
        <v>0</v>
      </c>
      <c r="BF37" s="13" t="e">
        <f t="shared" si="37"/>
        <v>#NUM!</v>
      </c>
      <c r="BG37" s="20" t="e">
        <f t="shared" si="7"/>
        <v>#NUM!</v>
      </c>
      <c r="BH37" s="59" t="e">
        <f t="shared" si="8"/>
        <v>#NUM!</v>
      </c>
      <c r="BI37" s="59">
        <f ca="1">AVERAGE(OFFSET($BH$3,0,0,'Données projet'!$E$11+1,1))-AVERAGE(OFFSET($H$3,0,0,'Données projet'!$E$11+1,1))</f>
        <v>112.82287576550925</v>
      </c>
      <c r="BJ37" s="59">
        <f t="shared" si="38"/>
        <v>317.78570695363294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45.575505954558388</v>
      </c>
      <c r="BQ37" s="21">
        <f>EXP(-LN(2)/25)*BQ36+(1-EXP(-LN(2)/25))/(LN(2)/25)*Calculateur!BL37*Calculateur!BN37*VLOOKUP('Données projet'!$B$11,Paramètres!$A$1:$I$89,3,0)*0.475*44/12</f>
        <v>8.7065592582800271</v>
      </c>
      <c r="BR37" s="21">
        <f>EXP(-LN(2)/2)*BR36+(1-EXP(-LN(2)/2))/(LN(2)/2)*BL37*BO37*VLOOKUP('Données projet'!$B$11,Paramètres!$A$1:$I$89,3,0)*0.475*44/12</f>
        <v>0.14321307793599439</v>
      </c>
      <c r="BS37" s="22">
        <f t="shared" si="9"/>
        <v>54.425278290774415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>
        <f>BY37*VLOOKUP('Données projet'!$B$12,Paramètres!$A$1:$I$89,3,0)*VLOOKUP('Données projet'!$B$12,Paramètres!$A$1:$I$89,5,0)</f>
        <v>0</v>
      </c>
      <c r="CA37" s="13" t="e">
        <f t="shared" si="39"/>
        <v>#NUM!</v>
      </c>
      <c r="CB37" s="20" t="e">
        <f t="shared" si="10"/>
        <v>#NUM!</v>
      </c>
      <c r="CC37" s="59" t="e">
        <f t="shared" si="11"/>
        <v>#NUM!</v>
      </c>
      <c r="CD37" s="59">
        <f ca="1">AVERAGE(OFFSET($CC$3,0,0,'Données projet'!$E$12+1,1))-AVERAGE(OFFSET($H$3,0,0,'Données projet'!$E$12+1,1))</f>
        <v>112.82287576550925</v>
      </c>
      <c r="CE37" s="59">
        <f t="shared" si="40"/>
        <v>317.78570695363294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>
        <f>EXP(-LN(2)/35)*CK36+(1-EXP(-LN(2)/35))/(LN(2)/35)*CG37*CH37*VLOOKUP('Données projet'!$B$12,Paramètres!$A$1:$I$89,3,0)*0.475*44/12</f>
        <v>45.575505954558388</v>
      </c>
      <c r="CL37" s="21">
        <f>EXP(-LN(2)/25)*CL36+(1-EXP(-LN(2)/25))/(LN(2)/25)*Calculateur!CG37*Calculateur!CI37*VLOOKUP('Données projet'!$B$12,Paramètres!$A$1:$I$89,3,0)*0.475*44/12</f>
        <v>8.7065592582800271</v>
      </c>
      <c r="CM37" s="21">
        <f>EXP(-LN(2)/2)*CM36+(1-EXP(-LN(2)/2))/(LN(2)/2)*CG37*CJ37*VLOOKUP('Données projet'!$B$12,Paramètres!$A$1:$I$89,3,0)*0.475*44/12</f>
        <v>0.14321307793599439</v>
      </c>
      <c r="CN37" s="22">
        <f t="shared" si="12"/>
        <v>54.425278290774415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5">
      <c r="A38" s="10">
        <f t="shared" si="31"/>
        <v>35</v>
      </c>
      <c r="B38" s="73">
        <f>'Scénario référence'!$B$16*5+'Scénario référence'!$B$17*0+'Scénario référence'!$B$18*5</f>
        <v>5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1">
        <f t="shared" si="32"/>
        <v>0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8" s="11">
        <f>IF(OR('Scénario référence'!$F$8&gt;0,'Scénario référence'!$F$9&gt;0),('Scénario référence'!$F$8+'Scénario référence'!$F$9)*10,0)</f>
        <v>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18.333333333333332</v>
      </c>
      <c r="H38" s="67">
        <f t="shared" si="1"/>
        <v>183.33333333333334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0</v>
      </c>
      <c r="N38" s="13">
        <f>IF('Données projet'!$A$36&gt;35,N37+M38-V37,IF(A38&lt;'Données projet'!$A$36,$K$205^A38,IF(A38='Données projet'!$A$36,'Données projet'!$B$36,N37+M38-V37)))</f>
        <v>0</v>
      </c>
      <c r="O38" s="13">
        <f>N38*VLOOKUP('Données projet'!$B$9,Paramètres!$A$1:$I$89,3,0)*VLOOKUP('Données projet'!$B$9,Paramètres!$A$1:$I$89,5,0)</f>
        <v>0</v>
      </c>
      <c r="P38" s="13" t="e">
        <f t="shared" si="33"/>
        <v>#NUM!</v>
      </c>
      <c r="Q38" s="20" t="e">
        <f t="shared" si="53"/>
        <v>#NUM!</v>
      </c>
      <c r="R38" s="59" t="e">
        <f t="shared" si="0"/>
        <v>#NUM!</v>
      </c>
      <c r="S38" s="59">
        <f ca="1">AVERAGE(OFFSET($R$3,0,0,'Données projet'!$E$9+1,1))-AVERAGE(OFFSET($H$3,0,0,'Données projet'!$E$9+1,1))</f>
        <v>112.82287576550925</v>
      </c>
      <c r="T38" s="59">
        <f t="shared" si="34"/>
        <v>317.78570695363294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44.681798081103274</v>
      </c>
      <c r="AA38" s="21">
        <f>EXP(-LN(2)/25)*AA37+(1-EXP(-LN(2)/25))/(LN(2)/25)*Calculateur!V38*Calculateur!X38*VLOOKUP('Données projet'!$B$9,Paramètres!$A$1:$I$89,3,0)*0.475*44/12</f>
        <v>8.4684779375043071</v>
      </c>
      <c r="AB38" s="21">
        <f>EXP(-LN(2)/2)*AB37+(1-EXP(-LN(2)/2))/(LN(2)/2)*V38*Y38*VLOOKUP('Données projet'!$B$9,Paramètres!$A$1:$I$89,3,0)*0.475*44/12</f>
        <v>0.10126693856313916</v>
      </c>
      <c r="AC38" s="22">
        <f t="shared" si="3"/>
        <v>53.251542957170727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0</v>
      </c>
      <c r="AI38" s="13">
        <f>IF('Données projet'!$A$62&gt;35,AI37+AH38-AQ37,IF(A38&lt;'Données projet'!$A$62,$AF$205^A38,IF(A38='Données projet'!$A$62,'Données projet'!$B$62,AI37+AH38-AQ37)))</f>
        <v>0</v>
      </c>
      <c r="AJ38" s="13">
        <f>AI38*VLOOKUP('Données projet'!$B$10,Paramètres!$A$1:$I$89,3,0)*VLOOKUP('Données projet'!$B$10,Paramètres!$A$1:$I$89,5,0)</f>
        <v>0</v>
      </c>
      <c r="AK38" s="13" t="e">
        <f t="shared" si="35"/>
        <v>#NUM!</v>
      </c>
      <c r="AL38" s="20" t="e">
        <f t="shared" si="4"/>
        <v>#NUM!</v>
      </c>
      <c r="AM38" s="59" t="e">
        <f t="shared" si="5"/>
        <v>#NUM!</v>
      </c>
      <c r="AN38" s="59">
        <f ca="1">AVERAGE(OFFSET($AM$3,0,0,'Données projet'!$E$10+1,1))-AVERAGE(OFFSET($H$3,0,0,'Données projet'!$E$10+1,1))</f>
        <v>112.82287576550925</v>
      </c>
      <c r="AO38" s="59">
        <f t="shared" si="36"/>
        <v>317.78570695363294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44.681798081103274</v>
      </c>
      <c r="AV38" s="21">
        <f>EXP(-LN(2)/25)*AV37+(1-EXP(-LN(2)/25))/(LN(2)/25)*Calculateur!AQ38*Calculateur!AS38*VLOOKUP('Données projet'!$B$10,Paramètres!$A$1:$I$89,3,0)*0.475*44/12</f>
        <v>8.4684779375043071</v>
      </c>
      <c r="AW38" s="21">
        <f>EXP(-LN(2)/2)*AW37+(1-EXP(-LN(2)/2))/(LN(2)/2)*AQ38*AT38*VLOOKUP('Données projet'!$B$10,Paramètres!$A$1:$I$89,3,0)*0.475*44/12</f>
        <v>0.10126693856313916</v>
      </c>
      <c r="AX38" s="21">
        <f t="shared" si="6"/>
        <v>53.251542957170727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0</v>
      </c>
      <c r="BD38" s="12">
        <f>IF('Données projet'!$A$88&gt;35,BD37+BC38-BL37,IF(A38&lt;'Données projet'!$A$88,$BA$205^A38,IF(A38='Données projet'!$A$88,'Données projet'!$B$88,BD37+BC38-BL37)))</f>
        <v>0</v>
      </c>
      <c r="BE38" s="13">
        <f>BD38*VLOOKUP('Données projet'!$B$11,Paramètres!$A$1:$I$89,3,0)*VLOOKUP('Données projet'!$B$11,Paramètres!$A$1:$I$89,5,0)</f>
        <v>0</v>
      </c>
      <c r="BF38" s="13" t="e">
        <f t="shared" si="37"/>
        <v>#NUM!</v>
      </c>
      <c r="BG38" s="20" t="e">
        <f t="shared" si="7"/>
        <v>#NUM!</v>
      </c>
      <c r="BH38" s="59" t="e">
        <f t="shared" si="8"/>
        <v>#NUM!</v>
      </c>
      <c r="BI38" s="59">
        <f ca="1">AVERAGE(OFFSET($BH$3,0,0,'Données projet'!$E$11+1,1))-AVERAGE(OFFSET($H$3,0,0,'Données projet'!$E$11+1,1))</f>
        <v>112.82287576550925</v>
      </c>
      <c r="BJ38" s="59">
        <f t="shared" si="38"/>
        <v>317.78570695363294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44.681798081103274</v>
      </c>
      <c r="BQ38" s="21">
        <f>EXP(-LN(2)/25)*BQ37+(1-EXP(-LN(2)/25))/(LN(2)/25)*Calculateur!BL38*Calculateur!BN38*VLOOKUP('Données projet'!$B$11,Paramètres!$A$1:$I$89,3,0)*0.475*44/12</f>
        <v>8.4684779375043071</v>
      </c>
      <c r="BR38" s="21">
        <f>EXP(-LN(2)/2)*BR37+(1-EXP(-LN(2)/2))/(LN(2)/2)*BL38*BO38*VLOOKUP('Données projet'!$B$11,Paramètres!$A$1:$I$89,3,0)*0.475*44/12</f>
        <v>0.10126693856313916</v>
      </c>
      <c r="BS38" s="22">
        <f t="shared" si="9"/>
        <v>53.251542957170727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>
        <f>BY38*VLOOKUP('Données projet'!$B$12,Paramètres!$A$1:$I$89,3,0)*VLOOKUP('Données projet'!$B$12,Paramètres!$A$1:$I$89,5,0)</f>
        <v>0</v>
      </c>
      <c r="CA38" s="13" t="e">
        <f t="shared" si="39"/>
        <v>#NUM!</v>
      </c>
      <c r="CB38" s="20" t="e">
        <f t="shared" si="10"/>
        <v>#NUM!</v>
      </c>
      <c r="CC38" s="59" t="e">
        <f t="shared" si="11"/>
        <v>#NUM!</v>
      </c>
      <c r="CD38" s="59">
        <f ca="1">AVERAGE(OFFSET($CC$3,0,0,'Données projet'!$E$12+1,1))-AVERAGE(OFFSET($H$3,0,0,'Données projet'!$E$12+1,1))</f>
        <v>112.82287576550925</v>
      </c>
      <c r="CE38" s="59">
        <f t="shared" si="40"/>
        <v>317.78570695363294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>
        <f>EXP(-LN(2)/35)*CK37+(1-EXP(-LN(2)/35))/(LN(2)/35)*CG38*CH38*VLOOKUP('Données projet'!$B$12,Paramètres!$A$1:$I$89,3,0)*0.475*44/12</f>
        <v>44.681798081103274</v>
      </c>
      <c r="CL38" s="21">
        <f>EXP(-LN(2)/25)*CL37+(1-EXP(-LN(2)/25))/(LN(2)/25)*Calculateur!CG38*Calculateur!CI38*VLOOKUP('Données projet'!$B$12,Paramètres!$A$1:$I$89,3,0)*0.475*44/12</f>
        <v>8.4684779375043071</v>
      </c>
      <c r="CM38" s="21">
        <f>EXP(-LN(2)/2)*CM37+(1-EXP(-LN(2)/2))/(LN(2)/2)*CG38*CJ38*VLOOKUP('Données projet'!$B$12,Paramètres!$A$1:$I$89,3,0)*0.475*44/12</f>
        <v>0.10126693856313916</v>
      </c>
      <c r="CN38" s="22">
        <f t="shared" si="12"/>
        <v>53.251542957170727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5">
      <c r="A39" s="10">
        <f t="shared" si="31"/>
        <v>36</v>
      </c>
      <c r="B39" s="73">
        <f>'Scénario référence'!$B$16*5+'Scénario référence'!$B$17*0+'Scénario référence'!$B$18*5</f>
        <v>5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1">
        <f t="shared" si="32"/>
        <v>0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39" s="11">
        <f>IF(OR('Scénario référence'!$F$8&gt;0,'Scénario référence'!$F$9&gt;0),('Scénario référence'!$F$8+'Scénario référence'!$F$9)*10,0)</f>
        <v>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18.333333333333332</v>
      </c>
      <c r="H39" s="67">
        <f t="shared" si="1"/>
        <v>183.33333333333334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0</v>
      </c>
      <c r="N39" s="13">
        <f>IF('Données projet'!$A$36&gt;35,N38+M39-V38,IF(A39&lt;'Données projet'!$A$36,$K$205^A39,IF(A39='Données projet'!$A$36,'Données projet'!$B$36,N38+M39-V38)))</f>
        <v>0</v>
      </c>
      <c r="O39" s="13">
        <f>N39*VLOOKUP('Données projet'!$B$9,Paramètres!$A$1:$I$89,3,0)*VLOOKUP('Données projet'!$B$9,Paramètres!$A$1:$I$89,5,0)</f>
        <v>0</v>
      </c>
      <c r="P39" s="13" t="e">
        <f t="shared" si="33"/>
        <v>#NUM!</v>
      </c>
      <c r="Q39" s="20" t="e">
        <f t="shared" si="53"/>
        <v>#NUM!</v>
      </c>
      <c r="R39" s="59" t="e">
        <f t="shared" si="0"/>
        <v>#NUM!</v>
      </c>
      <c r="S39" s="59">
        <f ca="1">AVERAGE(OFFSET($R$3,0,0,'Données projet'!$E$9+1,1))-AVERAGE(OFFSET($H$3,0,0,'Données projet'!$E$9+1,1))</f>
        <v>112.82287576550925</v>
      </c>
      <c r="T39" s="59">
        <f t="shared" si="34"/>
        <v>317.78570695363294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43.805615273938635</v>
      </c>
      <c r="AA39" s="21">
        <f>EXP(-LN(2)/25)*AA38+(1-EXP(-LN(2)/25))/(LN(2)/25)*Calculateur!V39*Calculateur!X39*VLOOKUP('Données projet'!$B$9,Paramètres!$A$1:$I$89,3,0)*0.475*44/12</f>
        <v>8.2369069629653513</v>
      </c>
      <c r="AB39" s="21">
        <f>EXP(-LN(2)/2)*AB38+(1-EXP(-LN(2)/2))/(LN(2)/2)*V39*Y39*VLOOKUP('Données projet'!$B$9,Paramètres!$A$1:$I$89,3,0)*0.475*44/12</f>
        <v>7.1606538967997194E-2</v>
      </c>
      <c r="AC39" s="22">
        <f t="shared" si="3"/>
        <v>52.114128775871983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0</v>
      </c>
      <c r="AI39" s="13">
        <f>IF('Données projet'!$A$62&gt;35,AI38+AH39-AQ38,IF(A39&lt;'Données projet'!$A$62,$AF$205^A39,IF(A39='Données projet'!$A$62,'Données projet'!$B$62,AI38+AH39-AQ38)))</f>
        <v>0</v>
      </c>
      <c r="AJ39" s="13">
        <f>AI39*VLOOKUP('Données projet'!$B$10,Paramètres!$A$1:$I$89,3,0)*VLOOKUP('Données projet'!$B$10,Paramètres!$A$1:$I$89,5,0)</f>
        <v>0</v>
      </c>
      <c r="AK39" s="13" t="e">
        <f t="shared" si="35"/>
        <v>#NUM!</v>
      </c>
      <c r="AL39" s="20" t="e">
        <f t="shared" si="4"/>
        <v>#NUM!</v>
      </c>
      <c r="AM39" s="59" t="e">
        <f t="shared" si="5"/>
        <v>#NUM!</v>
      </c>
      <c r="AN39" s="59">
        <f ca="1">AVERAGE(OFFSET($AM$3,0,0,'Données projet'!$E$10+1,1))-AVERAGE(OFFSET($H$3,0,0,'Données projet'!$E$10+1,1))</f>
        <v>112.82287576550925</v>
      </c>
      <c r="AO39" s="59">
        <f t="shared" si="36"/>
        <v>317.78570695363294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43.805615273938635</v>
      </c>
      <c r="AV39" s="21">
        <f>EXP(-LN(2)/25)*AV38+(1-EXP(-LN(2)/25))/(LN(2)/25)*Calculateur!AQ39*Calculateur!AS39*VLOOKUP('Données projet'!$B$10,Paramètres!$A$1:$I$89,3,0)*0.475*44/12</f>
        <v>8.2369069629653513</v>
      </c>
      <c r="AW39" s="21">
        <f>EXP(-LN(2)/2)*AW38+(1-EXP(-LN(2)/2))/(LN(2)/2)*AQ39*AT39*VLOOKUP('Données projet'!$B$10,Paramètres!$A$1:$I$89,3,0)*0.475*44/12</f>
        <v>7.1606538967997194E-2</v>
      </c>
      <c r="AX39" s="21">
        <f t="shared" si="6"/>
        <v>52.114128775871983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0</v>
      </c>
      <c r="BD39" s="12">
        <f>IF('Données projet'!$A$88&gt;35,BD38+BC39-BL38,IF(A39&lt;'Données projet'!$A$88,$BA$205^A39,IF(A39='Données projet'!$A$88,'Données projet'!$B$88,BD38+BC39-BL38)))</f>
        <v>0</v>
      </c>
      <c r="BE39" s="13">
        <f>BD39*VLOOKUP('Données projet'!$B$11,Paramètres!$A$1:$I$89,3,0)*VLOOKUP('Données projet'!$B$11,Paramètres!$A$1:$I$89,5,0)</f>
        <v>0</v>
      </c>
      <c r="BF39" s="13" t="e">
        <f t="shared" si="37"/>
        <v>#NUM!</v>
      </c>
      <c r="BG39" s="20" t="e">
        <f t="shared" si="7"/>
        <v>#NUM!</v>
      </c>
      <c r="BH39" s="59" t="e">
        <f t="shared" si="8"/>
        <v>#NUM!</v>
      </c>
      <c r="BI39" s="59">
        <f ca="1">AVERAGE(OFFSET($BH$3,0,0,'Données projet'!$E$11+1,1))-AVERAGE(OFFSET($H$3,0,0,'Données projet'!$E$11+1,1))</f>
        <v>112.82287576550925</v>
      </c>
      <c r="BJ39" s="59">
        <f t="shared" si="38"/>
        <v>317.78570695363294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43.805615273938635</v>
      </c>
      <c r="BQ39" s="21">
        <f>EXP(-LN(2)/25)*BQ38+(1-EXP(-LN(2)/25))/(LN(2)/25)*Calculateur!BL39*Calculateur!BN39*VLOOKUP('Données projet'!$B$11,Paramètres!$A$1:$I$89,3,0)*0.475*44/12</f>
        <v>8.2369069629653513</v>
      </c>
      <c r="BR39" s="21">
        <f>EXP(-LN(2)/2)*BR38+(1-EXP(-LN(2)/2))/(LN(2)/2)*BL39*BO39*VLOOKUP('Données projet'!$B$11,Paramètres!$A$1:$I$89,3,0)*0.475*44/12</f>
        <v>7.1606538967997194E-2</v>
      </c>
      <c r="BS39" s="22">
        <f t="shared" si="9"/>
        <v>52.114128775871983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>
        <f>BY39*VLOOKUP('Données projet'!$B$12,Paramètres!$A$1:$I$89,3,0)*VLOOKUP('Données projet'!$B$12,Paramètres!$A$1:$I$89,5,0)</f>
        <v>0</v>
      </c>
      <c r="CA39" s="13" t="e">
        <f t="shared" si="39"/>
        <v>#NUM!</v>
      </c>
      <c r="CB39" s="20" t="e">
        <f t="shared" si="10"/>
        <v>#NUM!</v>
      </c>
      <c r="CC39" s="59" t="e">
        <f t="shared" si="11"/>
        <v>#NUM!</v>
      </c>
      <c r="CD39" s="59">
        <f ca="1">AVERAGE(OFFSET($CC$3,0,0,'Données projet'!$E$12+1,1))-AVERAGE(OFFSET($H$3,0,0,'Données projet'!$E$12+1,1))</f>
        <v>112.82287576550925</v>
      </c>
      <c r="CE39" s="59">
        <f t="shared" si="40"/>
        <v>317.78570695363294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>
        <f>EXP(-LN(2)/35)*CK38+(1-EXP(-LN(2)/35))/(LN(2)/35)*CG39*CH39*VLOOKUP('Données projet'!$B$12,Paramètres!$A$1:$I$89,3,0)*0.475*44/12</f>
        <v>43.805615273938635</v>
      </c>
      <c r="CL39" s="21">
        <f>EXP(-LN(2)/25)*CL38+(1-EXP(-LN(2)/25))/(LN(2)/25)*Calculateur!CG39*Calculateur!CI39*VLOOKUP('Données projet'!$B$12,Paramètres!$A$1:$I$89,3,0)*0.475*44/12</f>
        <v>8.2369069629653513</v>
      </c>
      <c r="CM39" s="21">
        <f>EXP(-LN(2)/2)*CM38+(1-EXP(-LN(2)/2))/(LN(2)/2)*CG39*CJ39*VLOOKUP('Données projet'!$B$12,Paramètres!$A$1:$I$89,3,0)*0.475*44/12</f>
        <v>7.1606538967997194E-2</v>
      </c>
      <c r="CN39" s="22">
        <f t="shared" si="12"/>
        <v>52.114128775871983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5">
      <c r="A40" s="10">
        <f t="shared" si="31"/>
        <v>37</v>
      </c>
      <c r="B40" s="73">
        <f>'Scénario référence'!$B$16*5+'Scénario référence'!$B$17*0+'Scénario référence'!$B$18*5</f>
        <v>5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1">
        <f t="shared" si="32"/>
        <v>0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0" s="11">
        <f>IF(OR('Scénario référence'!$F$8&gt;0,'Scénario référence'!$F$9&gt;0),('Scénario référence'!$F$8+'Scénario référence'!$F$9)*10,0)</f>
        <v>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18.333333333333332</v>
      </c>
      <c r="H40" s="67">
        <f t="shared" si="1"/>
        <v>183.33333333333334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0</v>
      </c>
      <c r="N40" s="13">
        <f>IF('Données projet'!$A$36&gt;35,N39+M40-V39,IF(A40&lt;'Données projet'!$A$36,$K$205^A40,IF(A40='Données projet'!$A$36,'Données projet'!$B$36,N39+M40-V39)))</f>
        <v>0</v>
      </c>
      <c r="O40" s="13">
        <f>N40*VLOOKUP('Données projet'!$B$9,Paramètres!$A$1:$I$89,3,0)*VLOOKUP('Données projet'!$B$9,Paramètres!$A$1:$I$89,5,0)</f>
        <v>0</v>
      </c>
      <c r="P40" s="13" t="e">
        <f t="shared" si="33"/>
        <v>#NUM!</v>
      </c>
      <c r="Q40" s="20" t="e">
        <f t="shared" si="53"/>
        <v>#NUM!</v>
      </c>
      <c r="R40" s="59" t="e">
        <f t="shared" si="0"/>
        <v>#NUM!</v>
      </c>
      <c r="S40" s="59">
        <f ca="1">AVERAGE(OFFSET($R$3,0,0,'Données projet'!$E$9+1,1))-AVERAGE(OFFSET($H$3,0,0,'Données projet'!$E$9+1,1))</f>
        <v>112.82287576550925</v>
      </c>
      <c r="T40" s="59">
        <f t="shared" si="34"/>
        <v>317.78570695363294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42.946613877203752</v>
      </c>
      <c r="AA40" s="21">
        <f>EXP(-LN(2)/25)*AA39+(1-EXP(-LN(2)/25))/(LN(2)/25)*Calculateur!V40*Calculateur!X40*VLOOKUP('Données projet'!$B$9,Paramètres!$A$1:$I$89,3,0)*0.475*44/12</f>
        <v>8.0116683089029515</v>
      </c>
      <c r="AB40" s="21">
        <f>EXP(-LN(2)/2)*AB39+(1-EXP(-LN(2)/2))/(LN(2)/2)*V40*Y40*VLOOKUP('Données projet'!$B$9,Paramètres!$A$1:$I$89,3,0)*0.475*44/12</f>
        <v>5.0633469281569581E-2</v>
      </c>
      <c r="AC40" s="22">
        <f t="shared" si="3"/>
        <v>51.008915655388272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0</v>
      </c>
      <c r="AI40" s="13">
        <f>IF('Données projet'!$A$62&gt;35,AI39+AH40-AQ39,IF(A40&lt;'Données projet'!$A$62,$AF$205^A40,IF(A40='Données projet'!$A$62,'Données projet'!$B$62,AI39+AH40-AQ39)))</f>
        <v>0</v>
      </c>
      <c r="AJ40" s="13">
        <f>AI40*VLOOKUP('Données projet'!$B$10,Paramètres!$A$1:$I$89,3,0)*VLOOKUP('Données projet'!$B$10,Paramètres!$A$1:$I$89,5,0)</f>
        <v>0</v>
      </c>
      <c r="AK40" s="13" t="e">
        <f t="shared" si="35"/>
        <v>#NUM!</v>
      </c>
      <c r="AL40" s="20" t="e">
        <f t="shared" si="4"/>
        <v>#NUM!</v>
      </c>
      <c r="AM40" s="59" t="e">
        <f t="shared" si="5"/>
        <v>#NUM!</v>
      </c>
      <c r="AN40" s="59">
        <f ca="1">AVERAGE(OFFSET($AM$3,0,0,'Données projet'!$E$10+1,1))-AVERAGE(OFFSET($H$3,0,0,'Données projet'!$E$10+1,1))</f>
        <v>112.82287576550925</v>
      </c>
      <c r="AO40" s="59">
        <f t="shared" si="36"/>
        <v>317.78570695363294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42.946613877203752</v>
      </c>
      <c r="AV40" s="21">
        <f>EXP(-LN(2)/25)*AV39+(1-EXP(-LN(2)/25))/(LN(2)/25)*Calculateur!AQ40*Calculateur!AS40*VLOOKUP('Données projet'!$B$10,Paramètres!$A$1:$I$89,3,0)*0.475*44/12</f>
        <v>8.0116683089029515</v>
      </c>
      <c r="AW40" s="21">
        <f>EXP(-LN(2)/2)*AW39+(1-EXP(-LN(2)/2))/(LN(2)/2)*AQ40*AT40*VLOOKUP('Données projet'!$B$10,Paramètres!$A$1:$I$89,3,0)*0.475*44/12</f>
        <v>5.0633469281569581E-2</v>
      </c>
      <c r="AX40" s="21">
        <f t="shared" si="6"/>
        <v>51.008915655388272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0</v>
      </c>
      <c r="BD40" s="12">
        <f>IF('Données projet'!$A$88&gt;35,BD39+BC40-BL39,IF(A40&lt;'Données projet'!$A$88,$BA$205^A40,IF(A40='Données projet'!$A$88,'Données projet'!$B$88,BD39+BC40-BL39)))</f>
        <v>0</v>
      </c>
      <c r="BE40" s="13">
        <f>BD40*VLOOKUP('Données projet'!$B$11,Paramètres!$A$1:$I$89,3,0)*VLOOKUP('Données projet'!$B$11,Paramètres!$A$1:$I$89,5,0)</f>
        <v>0</v>
      </c>
      <c r="BF40" s="13" t="e">
        <f t="shared" si="37"/>
        <v>#NUM!</v>
      </c>
      <c r="BG40" s="20" t="e">
        <f t="shared" si="7"/>
        <v>#NUM!</v>
      </c>
      <c r="BH40" s="59" t="e">
        <f t="shared" si="8"/>
        <v>#NUM!</v>
      </c>
      <c r="BI40" s="59">
        <f ca="1">AVERAGE(OFFSET($BH$3,0,0,'Données projet'!$E$11+1,1))-AVERAGE(OFFSET($H$3,0,0,'Données projet'!$E$11+1,1))</f>
        <v>112.82287576550925</v>
      </c>
      <c r="BJ40" s="59">
        <f t="shared" si="38"/>
        <v>317.78570695363294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42.946613877203752</v>
      </c>
      <c r="BQ40" s="21">
        <f>EXP(-LN(2)/25)*BQ39+(1-EXP(-LN(2)/25))/(LN(2)/25)*Calculateur!BL40*Calculateur!BN40*VLOOKUP('Données projet'!$B$11,Paramètres!$A$1:$I$89,3,0)*0.475*44/12</f>
        <v>8.0116683089029515</v>
      </c>
      <c r="BR40" s="21">
        <f>EXP(-LN(2)/2)*BR39+(1-EXP(-LN(2)/2))/(LN(2)/2)*BL40*BO40*VLOOKUP('Données projet'!$B$11,Paramètres!$A$1:$I$89,3,0)*0.475*44/12</f>
        <v>5.0633469281569581E-2</v>
      </c>
      <c r="BS40" s="22">
        <f t="shared" si="9"/>
        <v>51.008915655388272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>
        <f>BY40*VLOOKUP('Données projet'!$B$12,Paramètres!$A$1:$I$89,3,0)*VLOOKUP('Données projet'!$B$12,Paramètres!$A$1:$I$89,5,0)</f>
        <v>0</v>
      </c>
      <c r="CA40" s="13" t="e">
        <f t="shared" si="39"/>
        <v>#NUM!</v>
      </c>
      <c r="CB40" s="20" t="e">
        <f t="shared" si="10"/>
        <v>#NUM!</v>
      </c>
      <c r="CC40" s="59" t="e">
        <f t="shared" si="11"/>
        <v>#NUM!</v>
      </c>
      <c r="CD40" s="59">
        <f ca="1">AVERAGE(OFFSET($CC$3,0,0,'Données projet'!$E$12+1,1))-AVERAGE(OFFSET($H$3,0,0,'Données projet'!$E$12+1,1))</f>
        <v>112.82287576550925</v>
      </c>
      <c r="CE40" s="59">
        <f t="shared" si="40"/>
        <v>317.78570695363294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>
        <f>EXP(-LN(2)/35)*CK39+(1-EXP(-LN(2)/35))/(LN(2)/35)*CG40*CH40*VLOOKUP('Données projet'!$B$12,Paramètres!$A$1:$I$89,3,0)*0.475*44/12</f>
        <v>42.946613877203752</v>
      </c>
      <c r="CL40" s="21">
        <f>EXP(-LN(2)/25)*CL39+(1-EXP(-LN(2)/25))/(LN(2)/25)*Calculateur!CG40*Calculateur!CI40*VLOOKUP('Données projet'!$B$12,Paramètres!$A$1:$I$89,3,0)*0.475*44/12</f>
        <v>8.0116683089029515</v>
      </c>
      <c r="CM40" s="21">
        <f>EXP(-LN(2)/2)*CM39+(1-EXP(-LN(2)/2))/(LN(2)/2)*CG40*CJ40*VLOOKUP('Données projet'!$B$12,Paramètres!$A$1:$I$89,3,0)*0.475*44/12</f>
        <v>5.0633469281569581E-2</v>
      </c>
      <c r="CN40" s="22">
        <f t="shared" si="12"/>
        <v>51.008915655388272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5">
      <c r="A41" s="10">
        <f t="shared" si="31"/>
        <v>38</v>
      </c>
      <c r="B41" s="73">
        <f>'Scénario référence'!$B$16*5+'Scénario référence'!$B$17*0+'Scénario référence'!$B$18*5</f>
        <v>5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1">
        <f t="shared" si="32"/>
        <v>0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1" s="11">
        <f>IF(OR('Scénario référence'!$F$8&gt;0,'Scénario référence'!$F$9&gt;0),('Scénario référence'!$F$8+'Scénario référence'!$F$9)*10,0)</f>
        <v>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18.333333333333332</v>
      </c>
      <c r="H41" s="67">
        <f t="shared" si="1"/>
        <v>183.33333333333334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0</v>
      </c>
      <c r="N41" s="13">
        <f>IF('Données projet'!$A$36&gt;35,N40+M41-V40,IF(A41&lt;'Données projet'!$A$36,$K$205^A41,IF(A41='Données projet'!$A$36,'Données projet'!$B$36,N40+M41-V40)))</f>
        <v>0</v>
      </c>
      <c r="O41" s="13">
        <f>N41*VLOOKUP('Données projet'!$B$9,Paramètres!$A$1:$I$89,3,0)*VLOOKUP('Données projet'!$B$9,Paramètres!$A$1:$I$89,5,0)</f>
        <v>0</v>
      </c>
      <c r="P41" s="13" t="e">
        <f t="shared" si="33"/>
        <v>#NUM!</v>
      </c>
      <c r="Q41" s="20" t="e">
        <f t="shared" si="53"/>
        <v>#NUM!</v>
      </c>
      <c r="R41" s="59" t="e">
        <f t="shared" si="0"/>
        <v>#NUM!</v>
      </c>
      <c r="S41" s="59">
        <f ca="1">AVERAGE(OFFSET($R$3,0,0,'Données projet'!$E$9+1,1))-AVERAGE(OFFSET($H$3,0,0,'Données projet'!$E$9+1,1))</f>
        <v>112.82287576550925</v>
      </c>
      <c r="T41" s="59">
        <f t="shared" si="34"/>
        <v>317.78570695363294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42.104456973919724</v>
      </c>
      <c r="AA41" s="21">
        <f>EXP(-LN(2)/25)*AA40+(1-EXP(-LN(2)/25))/(LN(2)/25)*Calculateur!V41*Calculateur!X41*VLOOKUP('Données projet'!$B$9,Paramètres!$A$1:$I$89,3,0)*0.475*44/12</f>
        <v>7.7925888176806746</v>
      </c>
      <c r="AB41" s="21">
        <f>EXP(-LN(2)/2)*AB40+(1-EXP(-LN(2)/2))/(LN(2)/2)*V41*Y41*VLOOKUP('Données projet'!$B$9,Paramètres!$A$1:$I$89,3,0)*0.475*44/12</f>
        <v>3.5803269483998597E-2</v>
      </c>
      <c r="AC41" s="22">
        <f t="shared" si="3"/>
        <v>49.932849061084397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0</v>
      </c>
      <c r="AI41" s="13">
        <f>IF('Données projet'!$A$62&gt;35,AI40+AH41-AQ40,IF(A41&lt;'Données projet'!$A$62,$AF$205^A41,IF(A41='Données projet'!$A$62,'Données projet'!$B$62,AI40+AH41-AQ40)))</f>
        <v>0</v>
      </c>
      <c r="AJ41" s="13">
        <f>AI41*VLOOKUP('Données projet'!$B$10,Paramètres!$A$1:$I$89,3,0)*VLOOKUP('Données projet'!$B$10,Paramètres!$A$1:$I$89,5,0)</f>
        <v>0</v>
      </c>
      <c r="AK41" s="13" t="e">
        <f t="shared" si="35"/>
        <v>#NUM!</v>
      </c>
      <c r="AL41" s="20" t="e">
        <f t="shared" si="4"/>
        <v>#NUM!</v>
      </c>
      <c r="AM41" s="59" t="e">
        <f t="shared" si="5"/>
        <v>#NUM!</v>
      </c>
      <c r="AN41" s="59">
        <f ca="1">AVERAGE(OFFSET($AM$3,0,0,'Données projet'!$E$10+1,1))-AVERAGE(OFFSET($H$3,0,0,'Données projet'!$E$10+1,1))</f>
        <v>112.82287576550925</v>
      </c>
      <c r="AO41" s="59">
        <f t="shared" si="36"/>
        <v>317.78570695363294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42.104456973919724</v>
      </c>
      <c r="AV41" s="21">
        <f>EXP(-LN(2)/25)*AV40+(1-EXP(-LN(2)/25))/(LN(2)/25)*Calculateur!AQ41*Calculateur!AS41*VLOOKUP('Données projet'!$B$10,Paramètres!$A$1:$I$89,3,0)*0.475*44/12</f>
        <v>7.7925888176806746</v>
      </c>
      <c r="AW41" s="21">
        <f>EXP(-LN(2)/2)*AW40+(1-EXP(-LN(2)/2))/(LN(2)/2)*AQ41*AT41*VLOOKUP('Données projet'!$B$10,Paramètres!$A$1:$I$89,3,0)*0.475*44/12</f>
        <v>3.5803269483998597E-2</v>
      </c>
      <c r="AX41" s="21">
        <f t="shared" si="6"/>
        <v>49.932849061084397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0</v>
      </c>
      <c r="BD41" s="12">
        <f>IF('Données projet'!$A$88&gt;35,BD40+BC41-BL40,IF(A41&lt;'Données projet'!$A$88,$BA$205^A41,IF(A41='Données projet'!$A$88,'Données projet'!$B$88,BD40+BC41-BL40)))</f>
        <v>0</v>
      </c>
      <c r="BE41" s="13">
        <f>BD41*VLOOKUP('Données projet'!$B$11,Paramètres!$A$1:$I$89,3,0)*VLOOKUP('Données projet'!$B$11,Paramètres!$A$1:$I$89,5,0)</f>
        <v>0</v>
      </c>
      <c r="BF41" s="13" t="e">
        <f t="shared" si="37"/>
        <v>#NUM!</v>
      </c>
      <c r="BG41" s="20" t="e">
        <f t="shared" si="7"/>
        <v>#NUM!</v>
      </c>
      <c r="BH41" s="59" t="e">
        <f t="shared" si="8"/>
        <v>#NUM!</v>
      </c>
      <c r="BI41" s="59">
        <f ca="1">AVERAGE(OFFSET($BH$3,0,0,'Données projet'!$E$11+1,1))-AVERAGE(OFFSET($H$3,0,0,'Données projet'!$E$11+1,1))</f>
        <v>112.82287576550925</v>
      </c>
      <c r="BJ41" s="59">
        <f t="shared" si="38"/>
        <v>317.78570695363294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42.104456973919724</v>
      </c>
      <c r="BQ41" s="21">
        <f>EXP(-LN(2)/25)*BQ40+(1-EXP(-LN(2)/25))/(LN(2)/25)*Calculateur!BL41*Calculateur!BN41*VLOOKUP('Données projet'!$B$11,Paramètres!$A$1:$I$89,3,0)*0.475*44/12</f>
        <v>7.7925888176806746</v>
      </c>
      <c r="BR41" s="21">
        <f>EXP(-LN(2)/2)*BR40+(1-EXP(-LN(2)/2))/(LN(2)/2)*BL41*BO41*VLOOKUP('Données projet'!$B$11,Paramètres!$A$1:$I$89,3,0)*0.475*44/12</f>
        <v>3.5803269483998597E-2</v>
      </c>
      <c r="BS41" s="22">
        <f t="shared" si="9"/>
        <v>49.932849061084397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>
        <f>BY41*VLOOKUP('Données projet'!$B$12,Paramètres!$A$1:$I$89,3,0)*VLOOKUP('Données projet'!$B$12,Paramètres!$A$1:$I$89,5,0)</f>
        <v>0</v>
      </c>
      <c r="CA41" s="13" t="e">
        <f t="shared" si="39"/>
        <v>#NUM!</v>
      </c>
      <c r="CB41" s="20" t="e">
        <f t="shared" si="10"/>
        <v>#NUM!</v>
      </c>
      <c r="CC41" s="59" t="e">
        <f t="shared" si="11"/>
        <v>#NUM!</v>
      </c>
      <c r="CD41" s="59">
        <f ca="1">AVERAGE(OFFSET($CC$3,0,0,'Données projet'!$E$12+1,1))-AVERAGE(OFFSET($H$3,0,0,'Données projet'!$E$12+1,1))</f>
        <v>112.82287576550925</v>
      </c>
      <c r="CE41" s="59">
        <f t="shared" si="40"/>
        <v>317.78570695363294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>
        <f>EXP(-LN(2)/35)*CK40+(1-EXP(-LN(2)/35))/(LN(2)/35)*CG41*CH41*VLOOKUP('Données projet'!$B$12,Paramètres!$A$1:$I$89,3,0)*0.475*44/12</f>
        <v>42.104456973919724</v>
      </c>
      <c r="CL41" s="21">
        <f>EXP(-LN(2)/25)*CL40+(1-EXP(-LN(2)/25))/(LN(2)/25)*Calculateur!CG41*Calculateur!CI41*VLOOKUP('Données projet'!$B$12,Paramètres!$A$1:$I$89,3,0)*0.475*44/12</f>
        <v>7.7925888176806746</v>
      </c>
      <c r="CM41" s="21">
        <f>EXP(-LN(2)/2)*CM40+(1-EXP(-LN(2)/2))/(LN(2)/2)*CG41*CJ41*VLOOKUP('Données projet'!$B$12,Paramètres!$A$1:$I$89,3,0)*0.475*44/12</f>
        <v>3.5803269483998597E-2</v>
      </c>
      <c r="CN41" s="22">
        <f t="shared" si="12"/>
        <v>49.932849061084397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5">
      <c r="A42" s="10">
        <f t="shared" si="31"/>
        <v>39</v>
      </c>
      <c r="B42" s="73">
        <f>'Scénario référence'!$B$16*5+'Scénario référence'!$B$17*0+'Scénario référence'!$B$18*5</f>
        <v>5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1">
        <f t="shared" si="32"/>
        <v>0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2" s="11">
        <f>IF(OR('Scénario référence'!$F$8&gt;0,'Scénario référence'!$F$9&gt;0),('Scénario référence'!$F$8+'Scénario référence'!$F$9)*10,0)</f>
        <v>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18.333333333333332</v>
      </c>
      <c r="H42" s="67">
        <f t="shared" si="1"/>
        <v>183.33333333333334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0</v>
      </c>
      <c r="N42" s="13">
        <f>IF('Données projet'!$A$36&gt;35,N41+M42-V41,IF(A42&lt;'Données projet'!$A$36,$K$205^A42,IF(A42='Données projet'!$A$36,'Données projet'!$B$36,N41+M42-V41)))</f>
        <v>0</v>
      </c>
      <c r="O42" s="13">
        <f>N42*VLOOKUP('Données projet'!$B$9,Paramètres!$A$1:$I$89,3,0)*VLOOKUP('Données projet'!$B$9,Paramètres!$A$1:$I$89,5,0)</f>
        <v>0</v>
      </c>
      <c r="P42" s="13" t="e">
        <f t="shared" si="33"/>
        <v>#NUM!</v>
      </c>
      <c r="Q42" s="20" t="e">
        <f t="shared" si="53"/>
        <v>#NUM!</v>
      </c>
      <c r="R42" s="59" t="e">
        <f t="shared" si="0"/>
        <v>#NUM!</v>
      </c>
      <c r="S42" s="59">
        <f ca="1">AVERAGE(OFFSET($R$3,0,0,'Données projet'!$E$9+1,1))-AVERAGE(OFFSET($H$3,0,0,'Données projet'!$E$9+1,1))</f>
        <v>112.82287576550925</v>
      </c>
      <c r="T42" s="59">
        <f t="shared" si="34"/>
        <v>317.78570695363294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41.278814253844104</v>
      </c>
      <c r="AA42" s="21">
        <f>EXP(-LN(2)/25)*AA41+(1-EXP(-LN(2)/25))/(LN(2)/25)*Calculateur!V42*Calculateur!X42*VLOOKUP('Données projet'!$B$9,Paramètres!$A$1:$I$89,3,0)*0.475*44/12</f>
        <v>7.5795000666667605</v>
      </c>
      <c r="AB42" s="21">
        <f>EXP(-LN(2)/2)*AB41+(1-EXP(-LN(2)/2))/(LN(2)/2)*V42*Y42*VLOOKUP('Données projet'!$B$9,Paramètres!$A$1:$I$89,3,0)*0.475*44/12</f>
        <v>2.531673464078479E-2</v>
      </c>
      <c r="AC42" s="22">
        <f t="shared" si="3"/>
        <v>48.883631055151646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0</v>
      </c>
      <c r="AI42" s="13">
        <f>IF('Données projet'!$A$62&gt;35,AI41+AH42-AQ41,IF(A42&lt;'Données projet'!$A$62,$AF$205^A42,IF(A42='Données projet'!$A$62,'Données projet'!$B$62,AI41+AH42-AQ41)))</f>
        <v>0</v>
      </c>
      <c r="AJ42" s="13">
        <f>AI42*VLOOKUP('Données projet'!$B$10,Paramètres!$A$1:$I$89,3,0)*VLOOKUP('Données projet'!$B$10,Paramètres!$A$1:$I$89,5,0)</f>
        <v>0</v>
      </c>
      <c r="AK42" s="13" t="e">
        <f t="shared" si="35"/>
        <v>#NUM!</v>
      </c>
      <c r="AL42" s="20" t="e">
        <f t="shared" si="4"/>
        <v>#NUM!</v>
      </c>
      <c r="AM42" s="59" t="e">
        <f t="shared" si="5"/>
        <v>#NUM!</v>
      </c>
      <c r="AN42" s="59">
        <f ca="1">AVERAGE(OFFSET($AM$3,0,0,'Données projet'!$E$10+1,1))-AVERAGE(OFFSET($H$3,0,0,'Données projet'!$E$10+1,1))</f>
        <v>112.82287576550925</v>
      </c>
      <c r="AO42" s="59">
        <f t="shared" si="36"/>
        <v>317.78570695363294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41.278814253844104</v>
      </c>
      <c r="AV42" s="21">
        <f>EXP(-LN(2)/25)*AV41+(1-EXP(-LN(2)/25))/(LN(2)/25)*Calculateur!AQ42*Calculateur!AS42*VLOOKUP('Données projet'!$B$10,Paramètres!$A$1:$I$89,3,0)*0.475*44/12</f>
        <v>7.5795000666667605</v>
      </c>
      <c r="AW42" s="21">
        <f>EXP(-LN(2)/2)*AW41+(1-EXP(-LN(2)/2))/(LN(2)/2)*AQ42*AT42*VLOOKUP('Données projet'!$B$10,Paramètres!$A$1:$I$89,3,0)*0.475*44/12</f>
        <v>2.531673464078479E-2</v>
      </c>
      <c r="AX42" s="21">
        <f t="shared" si="6"/>
        <v>48.883631055151646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0</v>
      </c>
      <c r="BD42" s="12">
        <f>IF('Données projet'!$A$88&gt;35,BD41+BC42-BL41,IF(A42&lt;'Données projet'!$A$88,$BA$205^A42,IF(A42='Données projet'!$A$88,'Données projet'!$B$88,BD41+BC42-BL41)))</f>
        <v>0</v>
      </c>
      <c r="BE42" s="13">
        <f>BD42*VLOOKUP('Données projet'!$B$11,Paramètres!$A$1:$I$89,3,0)*VLOOKUP('Données projet'!$B$11,Paramètres!$A$1:$I$89,5,0)</f>
        <v>0</v>
      </c>
      <c r="BF42" s="13" t="e">
        <f t="shared" si="37"/>
        <v>#NUM!</v>
      </c>
      <c r="BG42" s="20" t="e">
        <f t="shared" si="7"/>
        <v>#NUM!</v>
      </c>
      <c r="BH42" s="59" t="e">
        <f t="shared" si="8"/>
        <v>#NUM!</v>
      </c>
      <c r="BI42" s="59">
        <f ca="1">AVERAGE(OFFSET($BH$3,0,0,'Données projet'!$E$11+1,1))-AVERAGE(OFFSET($H$3,0,0,'Données projet'!$E$11+1,1))</f>
        <v>112.82287576550925</v>
      </c>
      <c r="BJ42" s="59">
        <f t="shared" si="38"/>
        <v>317.78570695363294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41.278814253844104</v>
      </c>
      <c r="BQ42" s="21">
        <f>EXP(-LN(2)/25)*BQ41+(1-EXP(-LN(2)/25))/(LN(2)/25)*Calculateur!BL42*Calculateur!BN42*VLOOKUP('Données projet'!$B$11,Paramètres!$A$1:$I$89,3,0)*0.475*44/12</f>
        <v>7.5795000666667605</v>
      </c>
      <c r="BR42" s="21">
        <f>EXP(-LN(2)/2)*BR41+(1-EXP(-LN(2)/2))/(LN(2)/2)*BL42*BO42*VLOOKUP('Données projet'!$B$11,Paramètres!$A$1:$I$89,3,0)*0.475*44/12</f>
        <v>2.531673464078479E-2</v>
      </c>
      <c r="BS42" s="22">
        <f t="shared" si="9"/>
        <v>48.883631055151646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>
        <f>BY42*VLOOKUP('Données projet'!$B$12,Paramètres!$A$1:$I$89,3,0)*VLOOKUP('Données projet'!$B$12,Paramètres!$A$1:$I$89,5,0)</f>
        <v>0</v>
      </c>
      <c r="CA42" s="13" t="e">
        <f t="shared" si="39"/>
        <v>#NUM!</v>
      </c>
      <c r="CB42" s="20" t="e">
        <f t="shared" si="10"/>
        <v>#NUM!</v>
      </c>
      <c r="CC42" s="59" t="e">
        <f t="shared" si="11"/>
        <v>#NUM!</v>
      </c>
      <c r="CD42" s="59">
        <f ca="1">AVERAGE(OFFSET($CC$3,0,0,'Données projet'!$E$12+1,1))-AVERAGE(OFFSET($H$3,0,0,'Données projet'!$E$12+1,1))</f>
        <v>112.82287576550925</v>
      </c>
      <c r="CE42" s="59">
        <f t="shared" si="40"/>
        <v>317.78570695363294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>
        <f>EXP(-LN(2)/35)*CK41+(1-EXP(-LN(2)/35))/(LN(2)/35)*CG42*CH42*VLOOKUP('Données projet'!$B$12,Paramètres!$A$1:$I$89,3,0)*0.475*44/12</f>
        <v>41.278814253844104</v>
      </c>
      <c r="CL42" s="21">
        <f>EXP(-LN(2)/25)*CL41+(1-EXP(-LN(2)/25))/(LN(2)/25)*Calculateur!CG42*Calculateur!CI42*VLOOKUP('Données projet'!$B$12,Paramètres!$A$1:$I$89,3,0)*0.475*44/12</f>
        <v>7.5795000666667605</v>
      </c>
      <c r="CM42" s="21">
        <f>EXP(-LN(2)/2)*CM41+(1-EXP(-LN(2)/2))/(LN(2)/2)*CG42*CJ42*VLOOKUP('Données projet'!$B$12,Paramètres!$A$1:$I$89,3,0)*0.475*44/12</f>
        <v>2.531673464078479E-2</v>
      </c>
      <c r="CN42" s="22">
        <f t="shared" si="12"/>
        <v>48.883631055151646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5">
      <c r="A43" s="10">
        <f t="shared" si="31"/>
        <v>40</v>
      </c>
      <c r="B43" s="73">
        <f>'Scénario référence'!$B$16*5+'Scénario référence'!$B$17*0+'Scénario référence'!$B$18*5</f>
        <v>5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1">
        <f t="shared" si="32"/>
        <v>0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3" s="11">
        <f>IF(OR('Scénario référence'!$F$8&gt;0,'Scénario référence'!$F$9&gt;0),('Scénario référence'!$F$8+'Scénario référence'!$F$9)*10,0)</f>
        <v>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18.333333333333332</v>
      </c>
      <c r="H43" s="67">
        <f t="shared" si="1"/>
        <v>183.33333333333334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0</v>
      </c>
      <c r="N43" s="13">
        <f>IF('Données projet'!$A$36&gt;35,N42+M43-V42,IF(A43&lt;'Données projet'!$A$36,$K$205^A43,IF(A43='Données projet'!$A$36,'Données projet'!$B$36,N42+M43-V42)))</f>
        <v>0</v>
      </c>
      <c r="O43" s="13">
        <f>N43*VLOOKUP('Données projet'!$B$9,Paramètres!$A$1:$I$89,3,0)*VLOOKUP('Données projet'!$B$9,Paramètres!$A$1:$I$89,5,0)</f>
        <v>0</v>
      </c>
      <c r="P43" s="13" t="e">
        <f t="shared" si="33"/>
        <v>#NUM!</v>
      </c>
      <c r="Q43" s="20" t="e">
        <f t="shared" si="53"/>
        <v>#NUM!</v>
      </c>
      <c r="R43" s="59" t="e">
        <f t="shared" si="0"/>
        <v>#NUM!</v>
      </c>
      <c r="S43" s="59">
        <f ca="1">AVERAGE(OFFSET($R$3,0,0,'Données projet'!$E$9+1,1))-AVERAGE(OFFSET($H$3,0,0,'Données projet'!$E$9+1,1))</f>
        <v>112.82287576550925</v>
      </c>
      <c r="T43" s="59">
        <f t="shared" si="34"/>
        <v>317.78570695363294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40.469361883916832</v>
      </c>
      <c r="AA43" s="21">
        <f>EXP(-LN(2)/25)*AA42+(1-EXP(-LN(2)/25))/(LN(2)/25)*Calculateur!V43*Calculateur!X43*VLOOKUP('Données projet'!$B$9,Paramètres!$A$1:$I$89,3,0)*0.475*44/12</f>
        <v>7.3722382387551724</v>
      </c>
      <c r="AB43" s="21">
        <f>EXP(-LN(2)/2)*AB42+(1-EXP(-LN(2)/2))/(LN(2)/2)*V43*Y43*VLOOKUP('Données projet'!$B$9,Paramètres!$A$1:$I$89,3,0)*0.475*44/12</f>
        <v>1.7901634741999298E-2</v>
      </c>
      <c r="AC43" s="22">
        <f t="shared" si="3"/>
        <v>47.859501757414002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0</v>
      </c>
      <c r="AI43" s="13">
        <f>IF('Données projet'!$A$62&gt;35,AI42+AH43-AQ42,IF(A43&lt;'Données projet'!$A$62,$AF$205^A43,IF(A43='Données projet'!$A$62,'Données projet'!$B$62,AI42+AH43-AQ42)))</f>
        <v>0</v>
      </c>
      <c r="AJ43" s="13">
        <f>AI43*VLOOKUP('Données projet'!$B$10,Paramètres!$A$1:$I$89,3,0)*VLOOKUP('Données projet'!$B$10,Paramètres!$A$1:$I$89,5,0)</f>
        <v>0</v>
      </c>
      <c r="AK43" s="13" t="e">
        <f t="shared" si="35"/>
        <v>#NUM!</v>
      </c>
      <c r="AL43" s="20" t="e">
        <f t="shared" si="4"/>
        <v>#NUM!</v>
      </c>
      <c r="AM43" s="59" t="e">
        <f t="shared" si="5"/>
        <v>#NUM!</v>
      </c>
      <c r="AN43" s="59">
        <f ca="1">AVERAGE(OFFSET($AM$3,0,0,'Données projet'!$E$10+1,1))-AVERAGE(OFFSET($H$3,0,0,'Données projet'!$E$10+1,1))</f>
        <v>112.82287576550925</v>
      </c>
      <c r="AO43" s="59">
        <f t="shared" si="36"/>
        <v>317.78570695363294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40.469361883916832</v>
      </c>
      <c r="AV43" s="21">
        <f>EXP(-LN(2)/25)*AV42+(1-EXP(-LN(2)/25))/(LN(2)/25)*Calculateur!AQ43*Calculateur!AS43*VLOOKUP('Données projet'!$B$10,Paramètres!$A$1:$I$89,3,0)*0.475*44/12</f>
        <v>7.3722382387551724</v>
      </c>
      <c r="AW43" s="21">
        <f>EXP(-LN(2)/2)*AW42+(1-EXP(-LN(2)/2))/(LN(2)/2)*AQ43*AT43*VLOOKUP('Données projet'!$B$10,Paramètres!$A$1:$I$89,3,0)*0.475*44/12</f>
        <v>1.7901634741999298E-2</v>
      </c>
      <c r="AX43" s="21">
        <f t="shared" si="6"/>
        <v>47.859501757414002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0</v>
      </c>
      <c r="BD43" s="12">
        <f>IF('Données projet'!$A$88&gt;35,BD42+BC43-BL42,IF(A43&lt;'Données projet'!$A$88,$BA$205^A43,IF(A43='Données projet'!$A$88,'Données projet'!$B$88,BD42+BC43-BL42)))</f>
        <v>0</v>
      </c>
      <c r="BE43" s="13">
        <f>BD43*VLOOKUP('Données projet'!$B$11,Paramètres!$A$1:$I$89,3,0)*VLOOKUP('Données projet'!$B$11,Paramètres!$A$1:$I$89,5,0)</f>
        <v>0</v>
      </c>
      <c r="BF43" s="13" t="e">
        <f t="shared" si="37"/>
        <v>#NUM!</v>
      </c>
      <c r="BG43" s="20" t="e">
        <f t="shared" si="7"/>
        <v>#NUM!</v>
      </c>
      <c r="BH43" s="59" t="e">
        <f t="shared" si="8"/>
        <v>#NUM!</v>
      </c>
      <c r="BI43" s="59">
        <f ca="1">AVERAGE(OFFSET($BH$3,0,0,'Données projet'!$E$11+1,1))-AVERAGE(OFFSET($H$3,0,0,'Données projet'!$E$11+1,1))</f>
        <v>112.82287576550925</v>
      </c>
      <c r="BJ43" s="59">
        <f t="shared" si="38"/>
        <v>317.78570695363294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40.469361883916832</v>
      </c>
      <c r="BQ43" s="21">
        <f>EXP(-LN(2)/25)*BQ42+(1-EXP(-LN(2)/25))/(LN(2)/25)*Calculateur!BL43*Calculateur!BN43*VLOOKUP('Données projet'!$B$11,Paramètres!$A$1:$I$89,3,0)*0.475*44/12</f>
        <v>7.3722382387551724</v>
      </c>
      <c r="BR43" s="21">
        <f>EXP(-LN(2)/2)*BR42+(1-EXP(-LN(2)/2))/(LN(2)/2)*BL43*BO43*VLOOKUP('Données projet'!$B$11,Paramètres!$A$1:$I$89,3,0)*0.475*44/12</f>
        <v>1.7901634741999298E-2</v>
      </c>
      <c r="BS43" s="22">
        <f t="shared" si="9"/>
        <v>47.859501757414002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>
        <f>BY43*VLOOKUP('Données projet'!$B$12,Paramètres!$A$1:$I$89,3,0)*VLOOKUP('Données projet'!$B$12,Paramètres!$A$1:$I$89,5,0)</f>
        <v>0</v>
      </c>
      <c r="CA43" s="13" t="e">
        <f t="shared" si="39"/>
        <v>#NUM!</v>
      </c>
      <c r="CB43" s="20" t="e">
        <f t="shared" si="10"/>
        <v>#NUM!</v>
      </c>
      <c r="CC43" s="59" t="e">
        <f t="shared" si="11"/>
        <v>#NUM!</v>
      </c>
      <c r="CD43" s="59">
        <f ca="1">AVERAGE(OFFSET($CC$3,0,0,'Données projet'!$E$12+1,1))-AVERAGE(OFFSET($H$3,0,0,'Données projet'!$E$12+1,1))</f>
        <v>112.82287576550925</v>
      </c>
      <c r="CE43" s="59">
        <f t="shared" si="40"/>
        <v>317.78570695363294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>
        <f>EXP(-LN(2)/35)*CK42+(1-EXP(-LN(2)/35))/(LN(2)/35)*CG43*CH43*VLOOKUP('Données projet'!$B$12,Paramètres!$A$1:$I$89,3,0)*0.475*44/12</f>
        <v>40.469361883916832</v>
      </c>
      <c r="CL43" s="21">
        <f>EXP(-LN(2)/25)*CL42+(1-EXP(-LN(2)/25))/(LN(2)/25)*Calculateur!CG43*Calculateur!CI43*VLOOKUP('Données projet'!$B$12,Paramètres!$A$1:$I$89,3,0)*0.475*44/12</f>
        <v>7.3722382387551724</v>
      </c>
      <c r="CM43" s="21">
        <f>EXP(-LN(2)/2)*CM42+(1-EXP(-LN(2)/2))/(LN(2)/2)*CG43*CJ43*VLOOKUP('Données projet'!$B$12,Paramètres!$A$1:$I$89,3,0)*0.475*44/12</f>
        <v>1.7901634741999298E-2</v>
      </c>
      <c r="CN43" s="22">
        <f t="shared" si="12"/>
        <v>47.859501757414002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5">
      <c r="A44" s="10">
        <f t="shared" si="31"/>
        <v>41</v>
      </c>
      <c r="B44" s="73">
        <f>'Scénario référence'!$B$16*5+'Scénario référence'!$B$17*0+'Scénario référence'!$B$18*5</f>
        <v>5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1">
        <f t="shared" si="32"/>
        <v>0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4" s="11">
        <f>IF(OR('Scénario référence'!$F$8&gt;0,'Scénario référence'!$F$9&gt;0),('Scénario référence'!$F$8+'Scénario référence'!$F$9)*10,0)</f>
        <v>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18.333333333333332</v>
      </c>
      <c r="H44" s="67">
        <f t="shared" si="1"/>
        <v>183.33333333333334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0</v>
      </c>
      <c r="N44" s="13">
        <f>IF('Données projet'!$A$36&gt;35,N43+M44-V43,IF(A44&lt;'Données projet'!$A$36,$K$205^A44,IF(A44='Données projet'!$A$36,'Données projet'!$B$36,N43+M44-V43)))</f>
        <v>0</v>
      </c>
      <c r="O44" s="13">
        <f>N44*VLOOKUP('Données projet'!$B$9,Paramètres!$A$1:$I$89,3,0)*VLOOKUP('Données projet'!$B$9,Paramètres!$A$1:$I$89,5,0)</f>
        <v>0</v>
      </c>
      <c r="P44" s="13" t="e">
        <f t="shared" si="33"/>
        <v>#NUM!</v>
      </c>
      <c r="Q44" s="20" t="e">
        <f t="shared" si="53"/>
        <v>#NUM!</v>
      </c>
      <c r="R44" s="59" t="e">
        <f t="shared" si="0"/>
        <v>#NUM!</v>
      </c>
      <c r="S44" s="59">
        <f ca="1">AVERAGE(OFFSET($R$3,0,0,'Données projet'!$E$9+1,1))-AVERAGE(OFFSET($H$3,0,0,'Données projet'!$E$9+1,1))</f>
        <v>112.82287576550925</v>
      </c>
      <c r="T44" s="59">
        <f t="shared" si="34"/>
        <v>317.78570695363294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39.675782381246641</v>
      </c>
      <c r="AA44" s="21">
        <f>EXP(-LN(2)/25)*AA43+(1-EXP(-LN(2)/25))/(LN(2)/25)*Calculateur!V44*Calculateur!X44*VLOOKUP('Données projet'!$B$9,Paramètres!$A$1:$I$89,3,0)*0.475*44/12</f>
        <v>7.1706439964272528</v>
      </c>
      <c r="AB44" s="21">
        <f>EXP(-LN(2)/2)*AB43+(1-EXP(-LN(2)/2))/(LN(2)/2)*V44*Y44*VLOOKUP('Données projet'!$B$9,Paramètres!$A$1:$I$89,3,0)*0.475*44/12</f>
        <v>1.2658367320392395E-2</v>
      </c>
      <c r="AC44" s="22">
        <f t="shared" si="3"/>
        <v>46.859084744994284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0</v>
      </c>
      <c r="AI44" s="13">
        <f>IF('Données projet'!$A$62&gt;35,AI43+AH44-AQ43,IF(A44&lt;'Données projet'!$A$62,$AF$205^A44,IF(A44='Données projet'!$A$62,'Données projet'!$B$62,AI43+AH44-AQ43)))</f>
        <v>0</v>
      </c>
      <c r="AJ44" s="13">
        <f>AI44*VLOOKUP('Données projet'!$B$10,Paramètres!$A$1:$I$89,3,0)*VLOOKUP('Données projet'!$B$10,Paramètres!$A$1:$I$89,5,0)</f>
        <v>0</v>
      </c>
      <c r="AK44" s="13" t="e">
        <f t="shared" si="35"/>
        <v>#NUM!</v>
      </c>
      <c r="AL44" s="20" t="e">
        <f t="shared" si="4"/>
        <v>#NUM!</v>
      </c>
      <c r="AM44" s="59" t="e">
        <f t="shared" si="5"/>
        <v>#NUM!</v>
      </c>
      <c r="AN44" s="59">
        <f ca="1">AVERAGE(OFFSET($AM$3,0,0,'Données projet'!$E$10+1,1))-AVERAGE(OFFSET($H$3,0,0,'Données projet'!$E$10+1,1))</f>
        <v>112.82287576550925</v>
      </c>
      <c r="AO44" s="59">
        <f t="shared" si="36"/>
        <v>317.78570695363294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39.675782381246641</v>
      </c>
      <c r="AV44" s="21">
        <f>EXP(-LN(2)/25)*AV43+(1-EXP(-LN(2)/25))/(LN(2)/25)*Calculateur!AQ44*Calculateur!AS44*VLOOKUP('Données projet'!$B$10,Paramètres!$A$1:$I$89,3,0)*0.475*44/12</f>
        <v>7.1706439964272528</v>
      </c>
      <c r="AW44" s="21">
        <f>EXP(-LN(2)/2)*AW43+(1-EXP(-LN(2)/2))/(LN(2)/2)*AQ44*AT44*VLOOKUP('Données projet'!$B$10,Paramètres!$A$1:$I$89,3,0)*0.475*44/12</f>
        <v>1.2658367320392395E-2</v>
      </c>
      <c r="AX44" s="21">
        <f t="shared" si="6"/>
        <v>46.859084744994284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0</v>
      </c>
      <c r="BD44" s="12">
        <f>IF('Données projet'!$A$88&gt;35,BD43+BC44-BL43,IF(A44&lt;'Données projet'!$A$88,$BA$205^A44,IF(A44='Données projet'!$A$88,'Données projet'!$B$88,BD43+BC44-BL43)))</f>
        <v>0</v>
      </c>
      <c r="BE44" s="13">
        <f>BD44*VLOOKUP('Données projet'!$B$11,Paramètres!$A$1:$I$89,3,0)*VLOOKUP('Données projet'!$B$11,Paramètres!$A$1:$I$89,5,0)</f>
        <v>0</v>
      </c>
      <c r="BF44" s="13" t="e">
        <f t="shared" si="37"/>
        <v>#NUM!</v>
      </c>
      <c r="BG44" s="20" t="e">
        <f t="shared" si="7"/>
        <v>#NUM!</v>
      </c>
      <c r="BH44" s="59" t="e">
        <f t="shared" si="8"/>
        <v>#NUM!</v>
      </c>
      <c r="BI44" s="59">
        <f ca="1">AVERAGE(OFFSET($BH$3,0,0,'Données projet'!$E$11+1,1))-AVERAGE(OFFSET($H$3,0,0,'Données projet'!$E$11+1,1))</f>
        <v>112.82287576550925</v>
      </c>
      <c r="BJ44" s="59">
        <f t="shared" si="38"/>
        <v>317.78570695363294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39.675782381246641</v>
      </c>
      <c r="BQ44" s="21">
        <f>EXP(-LN(2)/25)*BQ43+(1-EXP(-LN(2)/25))/(LN(2)/25)*Calculateur!BL44*Calculateur!BN44*VLOOKUP('Données projet'!$B$11,Paramètres!$A$1:$I$89,3,0)*0.475*44/12</f>
        <v>7.1706439964272528</v>
      </c>
      <c r="BR44" s="21">
        <f>EXP(-LN(2)/2)*BR43+(1-EXP(-LN(2)/2))/(LN(2)/2)*BL44*BO44*VLOOKUP('Données projet'!$B$11,Paramètres!$A$1:$I$89,3,0)*0.475*44/12</f>
        <v>1.2658367320392395E-2</v>
      </c>
      <c r="BS44" s="22">
        <f t="shared" si="9"/>
        <v>46.859084744994284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>
        <f>BY44*VLOOKUP('Données projet'!$B$12,Paramètres!$A$1:$I$89,3,0)*VLOOKUP('Données projet'!$B$12,Paramètres!$A$1:$I$89,5,0)</f>
        <v>0</v>
      </c>
      <c r="CA44" s="13" t="e">
        <f t="shared" si="39"/>
        <v>#NUM!</v>
      </c>
      <c r="CB44" s="20" t="e">
        <f t="shared" si="10"/>
        <v>#NUM!</v>
      </c>
      <c r="CC44" s="59" t="e">
        <f t="shared" si="11"/>
        <v>#NUM!</v>
      </c>
      <c r="CD44" s="59">
        <f ca="1">AVERAGE(OFFSET($CC$3,0,0,'Données projet'!$E$12+1,1))-AVERAGE(OFFSET($H$3,0,0,'Données projet'!$E$12+1,1))</f>
        <v>112.82287576550925</v>
      </c>
      <c r="CE44" s="59">
        <f t="shared" si="40"/>
        <v>317.78570695363294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>
        <f>EXP(-LN(2)/35)*CK43+(1-EXP(-LN(2)/35))/(LN(2)/35)*CG44*CH44*VLOOKUP('Données projet'!$B$12,Paramètres!$A$1:$I$89,3,0)*0.475*44/12</f>
        <v>39.675782381246641</v>
      </c>
      <c r="CL44" s="21">
        <f>EXP(-LN(2)/25)*CL43+(1-EXP(-LN(2)/25))/(LN(2)/25)*Calculateur!CG44*Calculateur!CI44*VLOOKUP('Données projet'!$B$12,Paramètres!$A$1:$I$89,3,0)*0.475*44/12</f>
        <v>7.1706439964272528</v>
      </c>
      <c r="CM44" s="21">
        <f>EXP(-LN(2)/2)*CM43+(1-EXP(-LN(2)/2))/(LN(2)/2)*CG44*CJ44*VLOOKUP('Données projet'!$B$12,Paramètres!$A$1:$I$89,3,0)*0.475*44/12</f>
        <v>1.2658367320392395E-2</v>
      </c>
      <c r="CN44" s="22">
        <f t="shared" si="12"/>
        <v>46.859084744994284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5">
      <c r="A45" s="10">
        <f t="shared" si="31"/>
        <v>42</v>
      </c>
      <c r="B45" s="73">
        <f>'Scénario référence'!$B$16*5+'Scénario référence'!$B$17*0+'Scénario référence'!$B$18*5</f>
        <v>5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1">
        <f t="shared" si="32"/>
        <v>0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5" s="11">
        <f>IF(OR('Scénario référence'!$F$8&gt;0,'Scénario référence'!$F$9&gt;0),('Scénario référence'!$F$8+'Scénario référence'!$F$9)*10,0)</f>
        <v>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18.333333333333332</v>
      </c>
      <c r="H45" s="67">
        <f t="shared" si="1"/>
        <v>183.33333333333334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0</v>
      </c>
      <c r="N45" s="13">
        <f>IF('Données projet'!$A$36&gt;35,N44+M45-V44,IF(A45&lt;'Données projet'!$A$36,$K$205^A45,IF(A45='Données projet'!$A$36,'Données projet'!$B$36,N44+M45-V44)))</f>
        <v>0</v>
      </c>
      <c r="O45" s="13">
        <f>N45*VLOOKUP('Données projet'!$B$9,Paramètres!$A$1:$I$89,3,0)*VLOOKUP('Données projet'!$B$9,Paramètres!$A$1:$I$89,5,0)</f>
        <v>0</v>
      </c>
      <c r="P45" s="13" t="e">
        <f t="shared" si="33"/>
        <v>#NUM!</v>
      </c>
      <c r="Q45" s="20" t="e">
        <f t="shared" si="53"/>
        <v>#NUM!</v>
      </c>
      <c r="R45" s="59" t="e">
        <f t="shared" si="0"/>
        <v>#NUM!</v>
      </c>
      <c r="S45" s="59">
        <f ca="1">AVERAGE(OFFSET($R$3,0,0,'Données projet'!$E$9+1,1))-AVERAGE(OFFSET($H$3,0,0,'Données projet'!$E$9+1,1))</f>
        <v>112.82287576550925</v>
      </c>
      <c r="T45" s="59">
        <f t="shared" si="34"/>
        <v>317.78570695363294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38.897764488588109</v>
      </c>
      <c r="AA45" s="21">
        <f>EXP(-LN(2)/25)*AA44+(1-EXP(-LN(2)/25))/(LN(2)/25)*Calculateur!V45*Calculateur!X45*VLOOKUP('Données projet'!$B$9,Paramètres!$A$1:$I$89,3,0)*0.475*44/12</f>
        <v>6.9745623592571704</v>
      </c>
      <c r="AB45" s="21">
        <f>EXP(-LN(2)/2)*AB44+(1-EXP(-LN(2)/2))/(LN(2)/2)*V45*Y45*VLOOKUP('Données projet'!$B$9,Paramètres!$A$1:$I$89,3,0)*0.475*44/12</f>
        <v>8.9508173709996492E-3</v>
      </c>
      <c r="AC45" s="22">
        <f t="shared" si="3"/>
        <v>45.881277665216281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0</v>
      </c>
      <c r="AI45" s="13">
        <f>IF('Données projet'!$A$62&gt;35,AI44+AH45-AQ44,IF(A45&lt;'Données projet'!$A$62,$AF$205^A45,IF(A45='Données projet'!$A$62,'Données projet'!$B$62,AI44+AH45-AQ44)))</f>
        <v>0</v>
      </c>
      <c r="AJ45" s="13">
        <f>AI45*VLOOKUP('Données projet'!$B$10,Paramètres!$A$1:$I$89,3,0)*VLOOKUP('Données projet'!$B$10,Paramètres!$A$1:$I$89,5,0)</f>
        <v>0</v>
      </c>
      <c r="AK45" s="13" t="e">
        <f t="shared" si="35"/>
        <v>#NUM!</v>
      </c>
      <c r="AL45" s="20" t="e">
        <f t="shared" si="4"/>
        <v>#NUM!</v>
      </c>
      <c r="AM45" s="59" t="e">
        <f t="shared" si="5"/>
        <v>#NUM!</v>
      </c>
      <c r="AN45" s="59">
        <f ca="1">AVERAGE(OFFSET($AM$3,0,0,'Données projet'!$E$10+1,1))-AVERAGE(OFFSET($H$3,0,0,'Données projet'!$E$10+1,1))</f>
        <v>112.82287576550925</v>
      </c>
      <c r="AO45" s="59">
        <f t="shared" si="36"/>
        <v>317.78570695363294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38.897764488588109</v>
      </c>
      <c r="AV45" s="21">
        <f>EXP(-LN(2)/25)*AV44+(1-EXP(-LN(2)/25))/(LN(2)/25)*Calculateur!AQ45*Calculateur!AS45*VLOOKUP('Données projet'!$B$10,Paramètres!$A$1:$I$89,3,0)*0.475*44/12</f>
        <v>6.9745623592571704</v>
      </c>
      <c r="AW45" s="21">
        <f>EXP(-LN(2)/2)*AW44+(1-EXP(-LN(2)/2))/(LN(2)/2)*AQ45*AT45*VLOOKUP('Données projet'!$B$10,Paramètres!$A$1:$I$89,3,0)*0.475*44/12</f>
        <v>8.9508173709996492E-3</v>
      </c>
      <c r="AX45" s="21">
        <f t="shared" si="6"/>
        <v>45.881277665216281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0</v>
      </c>
      <c r="BD45" s="12">
        <f>IF('Données projet'!$A$88&gt;35,BD44+BC45-BL44,IF(A45&lt;'Données projet'!$A$88,$BA$205^A45,IF(A45='Données projet'!$A$88,'Données projet'!$B$88,BD44+BC45-BL44)))</f>
        <v>0</v>
      </c>
      <c r="BE45" s="13">
        <f>BD45*VLOOKUP('Données projet'!$B$11,Paramètres!$A$1:$I$89,3,0)*VLOOKUP('Données projet'!$B$11,Paramètres!$A$1:$I$89,5,0)</f>
        <v>0</v>
      </c>
      <c r="BF45" s="13" t="e">
        <f t="shared" si="37"/>
        <v>#NUM!</v>
      </c>
      <c r="BG45" s="20" t="e">
        <f t="shared" si="7"/>
        <v>#NUM!</v>
      </c>
      <c r="BH45" s="59" t="e">
        <f t="shared" si="8"/>
        <v>#NUM!</v>
      </c>
      <c r="BI45" s="59">
        <f ca="1">AVERAGE(OFFSET($BH$3,0,0,'Données projet'!$E$11+1,1))-AVERAGE(OFFSET($H$3,0,0,'Données projet'!$E$11+1,1))</f>
        <v>112.82287576550925</v>
      </c>
      <c r="BJ45" s="59">
        <f t="shared" si="38"/>
        <v>317.78570695363294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38.897764488588109</v>
      </c>
      <c r="BQ45" s="21">
        <f>EXP(-LN(2)/25)*BQ44+(1-EXP(-LN(2)/25))/(LN(2)/25)*Calculateur!BL45*Calculateur!BN45*VLOOKUP('Données projet'!$B$11,Paramètres!$A$1:$I$89,3,0)*0.475*44/12</f>
        <v>6.9745623592571704</v>
      </c>
      <c r="BR45" s="21">
        <f>EXP(-LN(2)/2)*BR44+(1-EXP(-LN(2)/2))/(LN(2)/2)*BL45*BO45*VLOOKUP('Données projet'!$B$11,Paramètres!$A$1:$I$89,3,0)*0.475*44/12</f>
        <v>8.9508173709996492E-3</v>
      </c>
      <c r="BS45" s="22">
        <f t="shared" si="9"/>
        <v>45.881277665216281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>
        <f>BY45*VLOOKUP('Données projet'!$B$12,Paramètres!$A$1:$I$89,3,0)*VLOOKUP('Données projet'!$B$12,Paramètres!$A$1:$I$89,5,0)</f>
        <v>0</v>
      </c>
      <c r="CA45" s="13" t="e">
        <f t="shared" si="39"/>
        <v>#NUM!</v>
      </c>
      <c r="CB45" s="20" t="e">
        <f t="shared" si="10"/>
        <v>#NUM!</v>
      </c>
      <c r="CC45" s="59" t="e">
        <f t="shared" si="11"/>
        <v>#NUM!</v>
      </c>
      <c r="CD45" s="59">
        <f ca="1">AVERAGE(OFFSET($CC$3,0,0,'Données projet'!$E$12+1,1))-AVERAGE(OFFSET($H$3,0,0,'Données projet'!$E$12+1,1))</f>
        <v>112.82287576550925</v>
      </c>
      <c r="CE45" s="59">
        <f t="shared" si="40"/>
        <v>317.78570695363294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>
        <f>EXP(-LN(2)/35)*CK44+(1-EXP(-LN(2)/35))/(LN(2)/35)*CG45*CH45*VLOOKUP('Données projet'!$B$12,Paramètres!$A$1:$I$89,3,0)*0.475*44/12</f>
        <v>38.897764488588109</v>
      </c>
      <c r="CL45" s="21">
        <f>EXP(-LN(2)/25)*CL44+(1-EXP(-LN(2)/25))/(LN(2)/25)*Calculateur!CG45*Calculateur!CI45*VLOOKUP('Données projet'!$B$12,Paramètres!$A$1:$I$89,3,0)*0.475*44/12</f>
        <v>6.9745623592571704</v>
      </c>
      <c r="CM45" s="21">
        <f>EXP(-LN(2)/2)*CM44+(1-EXP(-LN(2)/2))/(LN(2)/2)*CG45*CJ45*VLOOKUP('Données projet'!$B$12,Paramètres!$A$1:$I$89,3,0)*0.475*44/12</f>
        <v>8.9508173709996492E-3</v>
      </c>
      <c r="CN45" s="22">
        <f t="shared" si="12"/>
        <v>45.881277665216281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5">
      <c r="A46" s="10">
        <f t="shared" si="31"/>
        <v>43</v>
      </c>
      <c r="B46" s="73">
        <f>'Scénario référence'!$B$16*5+'Scénario référence'!$B$17*0+'Scénario référence'!$B$18*5</f>
        <v>5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1">
        <f t="shared" si="32"/>
        <v>0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6" s="11">
        <f>IF(OR('Scénario référence'!$F$8&gt;0,'Scénario référence'!$F$9&gt;0),('Scénario référence'!$F$8+'Scénario référence'!$F$9)*10,0)</f>
        <v>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18.333333333333332</v>
      </c>
      <c r="H46" s="67">
        <f t="shared" si="1"/>
        <v>183.33333333333334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0</v>
      </c>
      <c r="N46" s="13">
        <f>IF('Données projet'!$A$36&gt;35,N45+M46-V45,IF(A46&lt;'Données projet'!$A$36,$K$205^A46,IF(A46='Données projet'!$A$36,'Données projet'!$B$36,N45+M46-V45)))</f>
        <v>0</v>
      </c>
      <c r="O46" s="13">
        <f>N46*VLOOKUP('Données projet'!$B$9,Paramètres!$A$1:$I$89,3,0)*VLOOKUP('Données projet'!$B$9,Paramètres!$A$1:$I$89,5,0)</f>
        <v>0</v>
      </c>
      <c r="P46" s="13" t="e">
        <f t="shared" si="33"/>
        <v>#NUM!</v>
      </c>
      <c r="Q46" s="20" t="e">
        <f t="shared" si="53"/>
        <v>#NUM!</v>
      </c>
      <c r="R46" s="59" t="e">
        <f t="shared" si="0"/>
        <v>#NUM!</v>
      </c>
      <c r="S46" s="59">
        <f ca="1">AVERAGE(OFFSET($R$3,0,0,'Données projet'!$E$9+1,1))-AVERAGE(OFFSET($H$3,0,0,'Données projet'!$E$9+1,1))</f>
        <v>112.82287576550925</v>
      </c>
      <c r="T46" s="59">
        <f t="shared" si="34"/>
        <v>317.78570695363294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38.135003052260558</v>
      </c>
      <c r="AA46" s="21">
        <f>EXP(-LN(2)/25)*AA45+(1-EXP(-LN(2)/25))/(LN(2)/25)*Calculateur!V46*Calculateur!X46*VLOOKUP('Données projet'!$B$9,Paramètres!$A$1:$I$89,3,0)*0.475*44/12</f>
        <v>6.7838425847669894</v>
      </c>
      <c r="AB46" s="21">
        <f>EXP(-LN(2)/2)*AB45+(1-EXP(-LN(2)/2))/(LN(2)/2)*V46*Y46*VLOOKUP('Données projet'!$B$9,Paramètres!$A$1:$I$89,3,0)*0.475*44/12</f>
        <v>6.3291836601961976E-3</v>
      </c>
      <c r="AC46" s="22">
        <f t="shared" si="3"/>
        <v>44.925174820687744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0</v>
      </c>
      <c r="AI46" s="13">
        <f>IF('Données projet'!$A$62&gt;35,AI45+AH46-AQ45,IF(A46&lt;'Données projet'!$A$62,$AF$205^A46,IF(A46='Données projet'!$A$62,'Données projet'!$B$62,AI45+AH46-AQ45)))</f>
        <v>0</v>
      </c>
      <c r="AJ46" s="13">
        <f>AI46*VLOOKUP('Données projet'!$B$10,Paramètres!$A$1:$I$89,3,0)*VLOOKUP('Données projet'!$B$10,Paramètres!$A$1:$I$89,5,0)</f>
        <v>0</v>
      </c>
      <c r="AK46" s="13" t="e">
        <f t="shared" si="35"/>
        <v>#NUM!</v>
      </c>
      <c r="AL46" s="20" t="e">
        <f t="shared" si="4"/>
        <v>#NUM!</v>
      </c>
      <c r="AM46" s="59" t="e">
        <f t="shared" si="5"/>
        <v>#NUM!</v>
      </c>
      <c r="AN46" s="59">
        <f ca="1">AVERAGE(OFFSET($AM$3,0,0,'Données projet'!$E$10+1,1))-AVERAGE(OFFSET($H$3,0,0,'Données projet'!$E$10+1,1))</f>
        <v>112.82287576550925</v>
      </c>
      <c r="AO46" s="59">
        <f t="shared" si="36"/>
        <v>317.78570695363294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38.135003052260558</v>
      </c>
      <c r="AV46" s="21">
        <f>EXP(-LN(2)/25)*AV45+(1-EXP(-LN(2)/25))/(LN(2)/25)*Calculateur!AQ46*Calculateur!AS46*VLOOKUP('Données projet'!$B$10,Paramètres!$A$1:$I$89,3,0)*0.475*44/12</f>
        <v>6.7838425847669894</v>
      </c>
      <c r="AW46" s="21">
        <f>EXP(-LN(2)/2)*AW45+(1-EXP(-LN(2)/2))/(LN(2)/2)*AQ46*AT46*VLOOKUP('Données projet'!$B$10,Paramètres!$A$1:$I$89,3,0)*0.475*44/12</f>
        <v>6.3291836601961976E-3</v>
      </c>
      <c r="AX46" s="21">
        <f t="shared" si="6"/>
        <v>44.925174820687744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0</v>
      </c>
      <c r="BD46" s="12">
        <f>IF('Données projet'!$A$88&gt;35,BD45+BC46-BL45,IF(A46&lt;'Données projet'!$A$88,$BA$205^A46,IF(A46='Données projet'!$A$88,'Données projet'!$B$88,BD45+BC46-BL45)))</f>
        <v>0</v>
      </c>
      <c r="BE46" s="13">
        <f>BD46*VLOOKUP('Données projet'!$B$11,Paramètres!$A$1:$I$89,3,0)*VLOOKUP('Données projet'!$B$11,Paramètres!$A$1:$I$89,5,0)</f>
        <v>0</v>
      </c>
      <c r="BF46" s="13" t="e">
        <f t="shared" si="37"/>
        <v>#NUM!</v>
      </c>
      <c r="BG46" s="20" t="e">
        <f t="shared" si="7"/>
        <v>#NUM!</v>
      </c>
      <c r="BH46" s="59" t="e">
        <f t="shared" si="8"/>
        <v>#NUM!</v>
      </c>
      <c r="BI46" s="59">
        <f ca="1">AVERAGE(OFFSET($BH$3,0,0,'Données projet'!$E$11+1,1))-AVERAGE(OFFSET($H$3,0,0,'Données projet'!$E$11+1,1))</f>
        <v>112.82287576550925</v>
      </c>
      <c r="BJ46" s="59">
        <f t="shared" si="38"/>
        <v>317.78570695363294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38.135003052260558</v>
      </c>
      <c r="BQ46" s="21">
        <f>EXP(-LN(2)/25)*BQ45+(1-EXP(-LN(2)/25))/(LN(2)/25)*Calculateur!BL46*Calculateur!BN46*VLOOKUP('Données projet'!$B$11,Paramètres!$A$1:$I$89,3,0)*0.475*44/12</f>
        <v>6.7838425847669894</v>
      </c>
      <c r="BR46" s="21">
        <f>EXP(-LN(2)/2)*BR45+(1-EXP(-LN(2)/2))/(LN(2)/2)*BL46*BO46*VLOOKUP('Données projet'!$B$11,Paramètres!$A$1:$I$89,3,0)*0.475*44/12</f>
        <v>6.3291836601961976E-3</v>
      </c>
      <c r="BS46" s="22">
        <f t="shared" si="9"/>
        <v>44.925174820687744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>
        <f>BY46*VLOOKUP('Données projet'!$B$12,Paramètres!$A$1:$I$89,3,0)*VLOOKUP('Données projet'!$B$12,Paramètres!$A$1:$I$89,5,0)</f>
        <v>0</v>
      </c>
      <c r="CA46" s="13" t="e">
        <f t="shared" si="39"/>
        <v>#NUM!</v>
      </c>
      <c r="CB46" s="20" t="e">
        <f t="shared" si="10"/>
        <v>#NUM!</v>
      </c>
      <c r="CC46" s="59" t="e">
        <f t="shared" si="11"/>
        <v>#NUM!</v>
      </c>
      <c r="CD46" s="59">
        <f ca="1">AVERAGE(OFFSET($CC$3,0,0,'Données projet'!$E$12+1,1))-AVERAGE(OFFSET($H$3,0,0,'Données projet'!$E$12+1,1))</f>
        <v>112.82287576550925</v>
      </c>
      <c r="CE46" s="59">
        <f t="shared" si="40"/>
        <v>317.78570695363294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>
        <f>EXP(-LN(2)/35)*CK45+(1-EXP(-LN(2)/35))/(LN(2)/35)*CG46*CH46*VLOOKUP('Données projet'!$B$12,Paramètres!$A$1:$I$89,3,0)*0.475*44/12</f>
        <v>38.135003052260558</v>
      </c>
      <c r="CL46" s="21">
        <f>EXP(-LN(2)/25)*CL45+(1-EXP(-LN(2)/25))/(LN(2)/25)*Calculateur!CG46*Calculateur!CI46*VLOOKUP('Données projet'!$B$12,Paramètres!$A$1:$I$89,3,0)*0.475*44/12</f>
        <v>6.7838425847669894</v>
      </c>
      <c r="CM46" s="21">
        <f>EXP(-LN(2)/2)*CM45+(1-EXP(-LN(2)/2))/(LN(2)/2)*CG46*CJ46*VLOOKUP('Données projet'!$B$12,Paramètres!$A$1:$I$89,3,0)*0.475*44/12</f>
        <v>6.3291836601961976E-3</v>
      </c>
      <c r="CN46" s="22">
        <f t="shared" si="12"/>
        <v>44.925174820687744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5">
      <c r="A47" s="10">
        <f t="shared" si="31"/>
        <v>44</v>
      </c>
      <c r="B47" s="73">
        <f>'Scénario référence'!$B$16*5+'Scénario référence'!$B$17*0+'Scénario référence'!$B$18*5</f>
        <v>5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1">
        <f t="shared" si="32"/>
        <v>0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7" s="11">
        <f>IF(OR('Scénario référence'!$F$8&gt;0,'Scénario référence'!$F$9&gt;0),('Scénario référence'!$F$8+'Scénario référence'!$F$9)*10,0)</f>
        <v>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18.333333333333332</v>
      </c>
      <c r="H47" s="67">
        <f t="shared" si="1"/>
        <v>183.33333333333334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0</v>
      </c>
      <c r="N47" s="13">
        <f>IF('Données projet'!$A$36&gt;35,N46+M47-V46,IF(A47&lt;'Données projet'!$A$36,$K$205^A47,IF(A47='Données projet'!$A$36,'Données projet'!$B$36,N46+M47-V46)))</f>
        <v>0</v>
      </c>
      <c r="O47" s="13">
        <f>N47*VLOOKUP('Données projet'!$B$9,Paramètres!$A$1:$I$89,3,0)*VLOOKUP('Données projet'!$B$9,Paramètres!$A$1:$I$89,5,0)</f>
        <v>0</v>
      </c>
      <c r="P47" s="13" t="e">
        <f t="shared" si="33"/>
        <v>#NUM!</v>
      </c>
      <c r="Q47" s="20" t="e">
        <f t="shared" si="53"/>
        <v>#NUM!</v>
      </c>
      <c r="R47" s="59" t="e">
        <f t="shared" si="0"/>
        <v>#NUM!</v>
      </c>
      <c r="S47" s="59">
        <f ca="1">AVERAGE(OFFSET($R$3,0,0,'Données projet'!$E$9+1,1))-AVERAGE(OFFSET($H$3,0,0,'Données projet'!$E$9+1,1))</f>
        <v>112.82287576550925</v>
      </c>
      <c r="T47" s="59">
        <f t="shared" si="34"/>
        <v>317.78570695363294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37.387198902460852</v>
      </c>
      <c r="AA47" s="21">
        <f>EXP(-LN(2)/25)*AA46+(1-EXP(-LN(2)/25))/(LN(2)/25)*Calculateur!V47*Calculateur!X47*VLOOKUP('Données projet'!$B$9,Paramètres!$A$1:$I$89,3,0)*0.475*44/12</f>
        <v>6.5983380525397592</v>
      </c>
      <c r="AB47" s="21">
        <f>EXP(-LN(2)/2)*AB46+(1-EXP(-LN(2)/2))/(LN(2)/2)*V47*Y47*VLOOKUP('Données projet'!$B$9,Paramètres!$A$1:$I$89,3,0)*0.475*44/12</f>
        <v>4.4754086854998246E-3</v>
      </c>
      <c r="AC47" s="22">
        <f t="shared" si="3"/>
        <v>43.990012363686112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0</v>
      </c>
      <c r="AI47" s="13">
        <f>IF('Données projet'!$A$62&gt;35,AI46+AH47-AQ46,IF(A47&lt;'Données projet'!$A$62,$AF$205^A47,IF(A47='Données projet'!$A$62,'Données projet'!$B$62,AI46+AH47-AQ46)))</f>
        <v>0</v>
      </c>
      <c r="AJ47" s="13">
        <f>AI47*VLOOKUP('Données projet'!$B$10,Paramètres!$A$1:$I$89,3,0)*VLOOKUP('Données projet'!$B$10,Paramètres!$A$1:$I$89,5,0)</f>
        <v>0</v>
      </c>
      <c r="AK47" s="13" t="e">
        <f t="shared" si="35"/>
        <v>#NUM!</v>
      </c>
      <c r="AL47" s="20" t="e">
        <f t="shared" si="4"/>
        <v>#NUM!</v>
      </c>
      <c r="AM47" s="59" t="e">
        <f t="shared" si="5"/>
        <v>#NUM!</v>
      </c>
      <c r="AN47" s="59">
        <f ca="1">AVERAGE(OFFSET($AM$3,0,0,'Données projet'!$E$10+1,1))-AVERAGE(OFFSET($H$3,0,0,'Données projet'!$E$10+1,1))</f>
        <v>112.82287576550925</v>
      </c>
      <c r="AO47" s="59">
        <f t="shared" si="36"/>
        <v>317.78570695363294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37.387198902460852</v>
      </c>
      <c r="AV47" s="21">
        <f>EXP(-LN(2)/25)*AV46+(1-EXP(-LN(2)/25))/(LN(2)/25)*Calculateur!AQ47*Calculateur!AS47*VLOOKUP('Données projet'!$B$10,Paramètres!$A$1:$I$89,3,0)*0.475*44/12</f>
        <v>6.5983380525397592</v>
      </c>
      <c r="AW47" s="21">
        <f>EXP(-LN(2)/2)*AW46+(1-EXP(-LN(2)/2))/(LN(2)/2)*AQ47*AT47*VLOOKUP('Données projet'!$B$10,Paramètres!$A$1:$I$89,3,0)*0.475*44/12</f>
        <v>4.4754086854998246E-3</v>
      </c>
      <c r="AX47" s="21">
        <f t="shared" si="6"/>
        <v>43.990012363686112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0</v>
      </c>
      <c r="BD47" s="12">
        <f>IF('Données projet'!$A$88&gt;35,BD46+BC47-BL46,IF(A47&lt;'Données projet'!$A$88,$BA$205^A47,IF(A47='Données projet'!$A$88,'Données projet'!$B$88,BD46+BC47-BL46)))</f>
        <v>0</v>
      </c>
      <c r="BE47" s="13">
        <f>BD47*VLOOKUP('Données projet'!$B$11,Paramètres!$A$1:$I$89,3,0)*VLOOKUP('Données projet'!$B$11,Paramètres!$A$1:$I$89,5,0)</f>
        <v>0</v>
      </c>
      <c r="BF47" s="13" t="e">
        <f t="shared" si="37"/>
        <v>#NUM!</v>
      </c>
      <c r="BG47" s="20" t="e">
        <f t="shared" si="7"/>
        <v>#NUM!</v>
      </c>
      <c r="BH47" s="59" t="e">
        <f t="shared" si="8"/>
        <v>#NUM!</v>
      </c>
      <c r="BI47" s="59">
        <f ca="1">AVERAGE(OFFSET($BH$3,0,0,'Données projet'!$E$11+1,1))-AVERAGE(OFFSET($H$3,0,0,'Données projet'!$E$11+1,1))</f>
        <v>112.82287576550925</v>
      </c>
      <c r="BJ47" s="59">
        <f t="shared" si="38"/>
        <v>317.78570695363294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37.387198902460852</v>
      </c>
      <c r="BQ47" s="21">
        <f>EXP(-LN(2)/25)*BQ46+(1-EXP(-LN(2)/25))/(LN(2)/25)*Calculateur!BL47*Calculateur!BN47*VLOOKUP('Données projet'!$B$11,Paramètres!$A$1:$I$89,3,0)*0.475*44/12</f>
        <v>6.5983380525397592</v>
      </c>
      <c r="BR47" s="21">
        <f>EXP(-LN(2)/2)*BR46+(1-EXP(-LN(2)/2))/(LN(2)/2)*BL47*BO47*VLOOKUP('Données projet'!$B$11,Paramètres!$A$1:$I$89,3,0)*0.475*44/12</f>
        <v>4.4754086854998246E-3</v>
      </c>
      <c r="BS47" s="22">
        <f t="shared" si="9"/>
        <v>43.990012363686112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>
        <f>BY47*VLOOKUP('Données projet'!$B$12,Paramètres!$A$1:$I$89,3,0)*VLOOKUP('Données projet'!$B$12,Paramètres!$A$1:$I$89,5,0)</f>
        <v>0</v>
      </c>
      <c r="CA47" s="13" t="e">
        <f t="shared" si="39"/>
        <v>#NUM!</v>
      </c>
      <c r="CB47" s="20" t="e">
        <f t="shared" si="10"/>
        <v>#NUM!</v>
      </c>
      <c r="CC47" s="59" t="e">
        <f t="shared" si="11"/>
        <v>#NUM!</v>
      </c>
      <c r="CD47" s="59">
        <f ca="1">AVERAGE(OFFSET($CC$3,0,0,'Données projet'!$E$12+1,1))-AVERAGE(OFFSET($H$3,0,0,'Données projet'!$E$12+1,1))</f>
        <v>112.82287576550925</v>
      </c>
      <c r="CE47" s="59">
        <f t="shared" si="40"/>
        <v>317.78570695363294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>
        <f>EXP(-LN(2)/35)*CK46+(1-EXP(-LN(2)/35))/(LN(2)/35)*CG47*CH47*VLOOKUP('Données projet'!$B$12,Paramètres!$A$1:$I$89,3,0)*0.475*44/12</f>
        <v>37.387198902460852</v>
      </c>
      <c r="CL47" s="21">
        <f>EXP(-LN(2)/25)*CL46+(1-EXP(-LN(2)/25))/(LN(2)/25)*Calculateur!CG47*Calculateur!CI47*VLOOKUP('Données projet'!$B$12,Paramètres!$A$1:$I$89,3,0)*0.475*44/12</f>
        <v>6.5983380525397592</v>
      </c>
      <c r="CM47" s="21">
        <f>EXP(-LN(2)/2)*CM46+(1-EXP(-LN(2)/2))/(LN(2)/2)*CG47*CJ47*VLOOKUP('Données projet'!$B$12,Paramètres!$A$1:$I$89,3,0)*0.475*44/12</f>
        <v>4.4754086854998246E-3</v>
      </c>
      <c r="CN47" s="22">
        <f t="shared" si="12"/>
        <v>43.990012363686112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5">
      <c r="A48" s="10">
        <f t="shared" si="31"/>
        <v>45</v>
      </c>
      <c r="B48" s="73">
        <f>'Scénario référence'!$B$16*5+'Scénario référence'!$B$17*0+'Scénario référence'!$B$18*5</f>
        <v>5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1">
        <f t="shared" si="32"/>
        <v>0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8" s="11">
        <f>IF(OR('Scénario référence'!$F$8&gt;0,'Scénario référence'!$F$9&gt;0),('Scénario référence'!$F$8+'Scénario référence'!$F$9)*10,0)</f>
        <v>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18.333333333333332</v>
      </c>
      <c r="H48" s="67">
        <f t="shared" si="1"/>
        <v>183.33333333333334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0</v>
      </c>
      <c r="N48" s="13">
        <f>IF('Données projet'!$A$36&gt;35,N47+M48-V47,IF(A48&lt;'Données projet'!$A$36,$K$205^A48,IF(A48='Données projet'!$A$36,'Données projet'!$B$36,N47+M48-V47)))</f>
        <v>0</v>
      </c>
      <c r="O48" s="13">
        <f>N48*VLOOKUP('Données projet'!$B$9,Paramètres!$A$1:$I$89,3,0)*VLOOKUP('Données projet'!$B$9,Paramètres!$A$1:$I$89,5,0)</f>
        <v>0</v>
      </c>
      <c r="P48" s="13" t="e">
        <f t="shared" si="33"/>
        <v>#NUM!</v>
      </c>
      <c r="Q48" s="20" t="e">
        <f t="shared" si="53"/>
        <v>#NUM!</v>
      </c>
      <c r="R48" s="59" t="e">
        <f t="shared" si="0"/>
        <v>#NUM!</v>
      </c>
      <c r="S48" s="59">
        <f ca="1">AVERAGE(OFFSET($R$3,0,0,'Données projet'!$E$9+1,1))-AVERAGE(OFFSET($H$3,0,0,'Données projet'!$E$9+1,1))</f>
        <v>112.82287576550925</v>
      </c>
      <c r="T48" s="59">
        <f t="shared" si="34"/>
        <v>317.78570695363294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36.654058735923222</v>
      </c>
      <c r="AA48" s="21">
        <f>EXP(-LN(2)/25)*AA47+(1-EXP(-LN(2)/25))/(LN(2)/25)*Calculateur!V48*Calculateur!X48*VLOOKUP('Données projet'!$B$9,Paramètres!$A$1:$I$89,3,0)*0.475*44/12</f>
        <v>6.4179061515015423</v>
      </c>
      <c r="AB48" s="21">
        <f>EXP(-LN(2)/2)*AB47+(1-EXP(-LN(2)/2))/(LN(2)/2)*V48*Y48*VLOOKUP('Données projet'!$B$9,Paramètres!$A$1:$I$89,3,0)*0.475*44/12</f>
        <v>3.1645918300980988E-3</v>
      </c>
      <c r="AC48" s="22">
        <f t="shared" si="3"/>
        <v>43.075129479254862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0</v>
      </c>
      <c r="AI48" s="13">
        <f>IF('Données projet'!$A$62&gt;35,AI47+AH48-AQ47,IF(A48&lt;'Données projet'!$A$62,$AF$205^A48,IF(A48='Données projet'!$A$62,'Données projet'!$B$62,AI47+AH48-AQ47)))</f>
        <v>0</v>
      </c>
      <c r="AJ48" s="13">
        <f>AI48*VLOOKUP('Données projet'!$B$10,Paramètres!$A$1:$I$89,3,0)*VLOOKUP('Données projet'!$B$10,Paramètres!$A$1:$I$89,5,0)</f>
        <v>0</v>
      </c>
      <c r="AK48" s="13" t="e">
        <f t="shared" si="35"/>
        <v>#NUM!</v>
      </c>
      <c r="AL48" s="20" t="e">
        <f t="shared" si="4"/>
        <v>#NUM!</v>
      </c>
      <c r="AM48" s="59" t="e">
        <f t="shared" si="5"/>
        <v>#NUM!</v>
      </c>
      <c r="AN48" s="59">
        <f ca="1">AVERAGE(OFFSET($AM$3,0,0,'Données projet'!$E$10+1,1))-AVERAGE(OFFSET($H$3,0,0,'Données projet'!$E$10+1,1))</f>
        <v>112.82287576550925</v>
      </c>
      <c r="AO48" s="59">
        <f t="shared" si="36"/>
        <v>317.78570695363294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36.654058735923222</v>
      </c>
      <c r="AV48" s="21">
        <f>EXP(-LN(2)/25)*AV47+(1-EXP(-LN(2)/25))/(LN(2)/25)*Calculateur!AQ48*Calculateur!AS48*VLOOKUP('Données projet'!$B$10,Paramètres!$A$1:$I$89,3,0)*0.475*44/12</f>
        <v>6.4179061515015423</v>
      </c>
      <c r="AW48" s="21">
        <f>EXP(-LN(2)/2)*AW47+(1-EXP(-LN(2)/2))/(LN(2)/2)*AQ48*AT48*VLOOKUP('Données projet'!$B$10,Paramètres!$A$1:$I$89,3,0)*0.475*44/12</f>
        <v>3.1645918300980988E-3</v>
      </c>
      <c r="AX48" s="21">
        <f t="shared" si="6"/>
        <v>43.075129479254862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0</v>
      </c>
      <c r="BD48" s="12">
        <f>IF('Données projet'!$A$88&gt;35,BD47+BC48-BL47,IF(A48&lt;'Données projet'!$A$88,$BA$205^A48,IF(A48='Données projet'!$A$88,'Données projet'!$B$88,BD47+BC48-BL47)))</f>
        <v>0</v>
      </c>
      <c r="BE48" s="13">
        <f>BD48*VLOOKUP('Données projet'!$B$11,Paramètres!$A$1:$I$89,3,0)*VLOOKUP('Données projet'!$B$11,Paramètres!$A$1:$I$89,5,0)</f>
        <v>0</v>
      </c>
      <c r="BF48" s="13" t="e">
        <f t="shared" si="37"/>
        <v>#NUM!</v>
      </c>
      <c r="BG48" s="20" t="e">
        <f t="shared" si="7"/>
        <v>#NUM!</v>
      </c>
      <c r="BH48" s="59" t="e">
        <f t="shared" si="8"/>
        <v>#NUM!</v>
      </c>
      <c r="BI48" s="59">
        <f ca="1">AVERAGE(OFFSET($BH$3,0,0,'Données projet'!$E$11+1,1))-AVERAGE(OFFSET($H$3,0,0,'Données projet'!$E$11+1,1))</f>
        <v>112.82287576550925</v>
      </c>
      <c r="BJ48" s="59">
        <f t="shared" si="38"/>
        <v>317.78570695363294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36.654058735923222</v>
      </c>
      <c r="BQ48" s="21">
        <f>EXP(-LN(2)/25)*BQ47+(1-EXP(-LN(2)/25))/(LN(2)/25)*Calculateur!BL48*Calculateur!BN48*VLOOKUP('Données projet'!$B$11,Paramètres!$A$1:$I$89,3,0)*0.475*44/12</f>
        <v>6.4179061515015423</v>
      </c>
      <c r="BR48" s="21">
        <f>EXP(-LN(2)/2)*BR47+(1-EXP(-LN(2)/2))/(LN(2)/2)*BL48*BO48*VLOOKUP('Données projet'!$B$11,Paramètres!$A$1:$I$89,3,0)*0.475*44/12</f>
        <v>3.1645918300980988E-3</v>
      </c>
      <c r="BS48" s="22">
        <f t="shared" si="9"/>
        <v>43.075129479254862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>
        <f>BY48*VLOOKUP('Données projet'!$B$12,Paramètres!$A$1:$I$89,3,0)*VLOOKUP('Données projet'!$B$12,Paramètres!$A$1:$I$89,5,0)</f>
        <v>0</v>
      </c>
      <c r="CA48" s="13" t="e">
        <f t="shared" si="39"/>
        <v>#NUM!</v>
      </c>
      <c r="CB48" s="20" t="e">
        <f t="shared" si="10"/>
        <v>#NUM!</v>
      </c>
      <c r="CC48" s="59" t="e">
        <f t="shared" si="11"/>
        <v>#NUM!</v>
      </c>
      <c r="CD48" s="59">
        <f ca="1">AVERAGE(OFFSET($CC$3,0,0,'Données projet'!$E$12+1,1))-AVERAGE(OFFSET($H$3,0,0,'Données projet'!$E$12+1,1))</f>
        <v>112.82287576550925</v>
      </c>
      <c r="CE48" s="59">
        <f t="shared" si="40"/>
        <v>317.78570695363294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>
        <f>EXP(-LN(2)/35)*CK47+(1-EXP(-LN(2)/35))/(LN(2)/35)*CG48*CH48*VLOOKUP('Données projet'!$B$12,Paramètres!$A$1:$I$89,3,0)*0.475*44/12</f>
        <v>36.654058735923222</v>
      </c>
      <c r="CL48" s="21">
        <f>EXP(-LN(2)/25)*CL47+(1-EXP(-LN(2)/25))/(LN(2)/25)*Calculateur!CG48*Calculateur!CI48*VLOOKUP('Données projet'!$B$12,Paramètres!$A$1:$I$89,3,0)*0.475*44/12</f>
        <v>6.4179061515015423</v>
      </c>
      <c r="CM48" s="21">
        <f>EXP(-LN(2)/2)*CM47+(1-EXP(-LN(2)/2))/(LN(2)/2)*CG48*CJ48*VLOOKUP('Données projet'!$B$12,Paramètres!$A$1:$I$89,3,0)*0.475*44/12</f>
        <v>3.1645918300980988E-3</v>
      </c>
      <c r="CN48" s="22">
        <f t="shared" si="12"/>
        <v>43.075129479254862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5">
      <c r="A49" s="10">
        <f t="shared" si="31"/>
        <v>46</v>
      </c>
      <c r="B49" s="73">
        <f>'Scénario référence'!$B$16*5+'Scénario référence'!$B$17*0+'Scénario référence'!$B$18*5</f>
        <v>5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1">
        <f t="shared" si="32"/>
        <v>0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49" s="11">
        <f>IF(OR('Scénario référence'!$F$8&gt;0,'Scénario référence'!$F$9&gt;0),('Scénario référence'!$F$8+'Scénario référence'!$F$9)*10,0)</f>
        <v>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18.333333333333332</v>
      </c>
      <c r="H49" s="67">
        <f t="shared" si="1"/>
        <v>183.33333333333334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0</v>
      </c>
      <c r="N49" s="13">
        <f>IF('Données projet'!$A$36&gt;35,N48+M49-V48,IF(A49&lt;'Données projet'!$A$36,$K$205^A49,IF(A49='Données projet'!$A$36,'Données projet'!$B$36,N48+M49-V48)))</f>
        <v>0</v>
      </c>
      <c r="O49" s="13">
        <f>N49*VLOOKUP('Données projet'!$B$9,Paramètres!$A$1:$I$89,3,0)*VLOOKUP('Données projet'!$B$9,Paramètres!$A$1:$I$89,5,0)</f>
        <v>0</v>
      </c>
      <c r="P49" s="13" t="e">
        <f t="shared" si="33"/>
        <v>#NUM!</v>
      </c>
      <c r="Q49" s="20" t="e">
        <f t="shared" si="53"/>
        <v>#NUM!</v>
      </c>
      <c r="R49" s="59" t="e">
        <f t="shared" si="0"/>
        <v>#NUM!</v>
      </c>
      <c r="S49" s="59">
        <f ca="1">AVERAGE(OFFSET($R$3,0,0,'Données projet'!$E$9+1,1))-AVERAGE(OFFSET($H$3,0,0,'Données projet'!$E$9+1,1))</f>
        <v>112.82287576550925</v>
      </c>
      <c r="T49" s="59">
        <f t="shared" si="34"/>
        <v>317.78570695363294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35.935295000880046</v>
      </c>
      <c r="AA49" s="21">
        <f>EXP(-LN(2)/25)*AA48+(1-EXP(-LN(2)/25))/(LN(2)/25)*Calculateur!V49*Calculateur!X49*VLOOKUP('Données projet'!$B$9,Paramètres!$A$1:$I$89,3,0)*0.475*44/12</f>
        <v>6.2424081702857164</v>
      </c>
      <c r="AB49" s="21">
        <f>EXP(-LN(2)/2)*AB48+(1-EXP(-LN(2)/2))/(LN(2)/2)*V49*Y49*VLOOKUP('Données projet'!$B$9,Paramètres!$A$1:$I$89,3,0)*0.475*44/12</f>
        <v>2.2377043427499123E-3</v>
      </c>
      <c r="AC49" s="22">
        <f t="shared" si="3"/>
        <v>42.179940875508507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0</v>
      </c>
      <c r="AI49" s="13">
        <f>IF('Données projet'!$A$62&gt;35,AI48+AH49-AQ48,IF(A49&lt;'Données projet'!$A$62,$AF$205^A49,IF(A49='Données projet'!$A$62,'Données projet'!$B$62,AI48+AH49-AQ48)))</f>
        <v>0</v>
      </c>
      <c r="AJ49" s="13">
        <f>AI49*VLOOKUP('Données projet'!$B$10,Paramètres!$A$1:$I$89,3,0)*VLOOKUP('Données projet'!$B$10,Paramètres!$A$1:$I$89,5,0)</f>
        <v>0</v>
      </c>
      <c r="AK49" s="13" t="e">
        <f t="shared" si="35"/>
        <v>#NUM!</v>
      </c>
      <c r="AL49" s="20" t="e">
        <f t="shared" si="4"/>
        <v>#NUM!</v>
      </c>
      <c r="AM49" s="59" t="e">
        <f t="shared" si="5"/>
        <v>#NUM!</v>
      </c>
      <c r="AN49" s="59">
        <f ca="1">AVERAGE(OFFSET($AM$3,0,0,'Données projet'!$E$10+1,1))-AVERAGE(OFFSET($H$3,0,0,'Données projet'!$E$10+1,1))</f>
        <v>112.82287576550925</v>
      </c>
      <c r="AO49" s="59">
        <f t="shared" si="36"/>
        <v>317.78570695363294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35.935295000880046</v>
      </c>
      <c r="AV49" s="21">
        <f>EXP(-LN(2)/25)*AV48+(1-EXP(-LN(2)/25))/(LN(2)/25)*Calculateur!AQ49*Calculateur!AS49*VLOOKUP('Données projet'!$B$10,Paramètres!$A$1:$I$89,3,0)*0.475*44/12</f>
        <v>6.2424081702857164</v>
      </c>
      <c r="AW49" s="21">
        <f>EXP(-LN(2)/2)*AW48+(1-EXP(-LN(2)/2))/(LN(2)/2)*AQ49*AT49*VLOOKUP('Données projet'!$B$10,Paramètres!$A$1:$I$89,3,0)*0.475*44/12</f>
        <v>2.2377043427499123E-3</v>
      </c>
      <c r="AX49" s="21">
        <f t="shared" si="6"/>
        <v>42.179940875508507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0</v>
      </c>
      <c r="BD49" s="12">
        <f>IF('Données projet'!$A$88&gt;35,BD48+BC49-BL48,IF(A49&lt;'Données projet'!$A$88,$BA$205^A49,IF(A49='Données projet'!$A$88,'Données projet'!$B$88,BD48+BC49-BL48)))</f>
        <v>0</v>
      </c>
      <c r="BE49" s="13">
        <f>BD49*VLOOKUP('Données projet'!$B$11,Paramètres!$A$1:$I$89,3,0)*VLOOKUP('Données projet'!$B$11,Paramètres!$A$1:$I$89,5,0)</f>
        <v>0</v>
      </c>
      <c r="BF49" s="13" t="e">
        <f t="shared" si="37"/>
        <v>#NUM!</v>
      </c>
      <c r="BG49" s="20" t="e">
        <f t="shared" si="7"/>
        <v>#NUM!</v>
      </c>
      <c r="BH49" s="59" t="e">
        <f t="shared" si="8"/>
        <v>#NUM!</v>
      </c>
      <c r="BI49" s="59">
        <f ca="1">AVERAGE(OFFSET($BH$3,0,0,'Données projet'!$E$11+1,1))-AVERAGE(OFFSET($H$3,0,0,'Données projet'!$E$11+1,1))</f>
        <v>112.82287576550925</v>
      </c>
      <c r="BJ49" s="59">
        <f t="shared" si="38"/>
        <v>317.78570695363294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35.935295000880046</v>
      </c>
      <c r="BQ49" s="21">
        <f>EXP(-LN(2)/25)*BQ48+(1-EXP(-LN(2)/25))/(LN(2)/25)*Calculateur!BL49*Calculateur!BN49*VLOOKUP('Données projet'!$B$11,Paramètres!$A$1:$I$89,3,0)*0.475*44/12</f>
        <v>6.2424081702857164</v>
      </c>
      <c r="BR49" s="21">
        <f>EXP(-LN(2)/2)*BR48+(1-EXP(-LN(2)/2))/(LN(2)/2)*BL49*BO49*VLOOKUP('Données projet'!$B$11,Paramètres!$A$1:$I$89,3,0)*0.475*44/12</f>
        <v>2.2377043427499123E-3</v>
      </c>
      <c r="BS49" s="22">
        <f t="shared" si="9"/>
        <v>42.179940875508507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>
        <f>BY49*VLOOKUP('Données projet'!$B$12,Paramètres!$A$1:$I$89,3,0)*VLOOKUP('Données projet'!$B$12,Paramètres!$A$1:$I$89,5,0)</f>
        <v>0</v>
      </c>
      <c r="CA49" s="13" t="e">
        <f t="shared" si="39"/>
        <v>#NUM!</v>
      </c>
      <c r="CB49" s="20" t="e">
        <f t="shared" si="10"/>
        <v>#NUM!</v>
      </c>
      <c r="CC49" s="59" t="e">
        <f t="shared" si="11"/>
        <v>#NUM!</v>
      </c>
      <c r="CD49" s="59">
        <f ca="1">AVERAGE(OFFSET($CC$3,0,0,'Données projet'!$E$12+1,1))-AVERAGE(OFFSET($H$3,0,0,'Données projet'!$E$12+1,1))</f>
        <v>112.82287576550925</v>
      </c>
      <c r="CE49" s="59">
        <f t="shared" si="40"/>
        <v>317.78570695363294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>
        <f>EXP(-LN(2)/35)*CK48+(1-EXP(-LN(2)/35))/(LN(2)/35)*CG49*CH49*VLOOKUP('Données projet'!$B$12,Paramètres!$A$1:$I$89,3,0)*0.475*44/12</f>
        <v>35.935295000880046</v>
      </c>
      <c r="CL49" s="21">
        <f>EXP(-LN(2)/25)*CL48+(1-EXP(-LN(2)/25))/(LN(2)/25)*Calculateur!CG49*Calculateur!CI49*VLOOKUP('Données projet'!$B$12,Paramètres!$A$1:$I$89,3,0)*0.475*44/12</f>
        <v>6.2424081702857164</v>
      </c>
      <c r="CM49" s="21">
        <f>EXP(-LN(2)/2)*CM48+(1-EXP(-LN(2)/2))/(LN(2)/2)*CG49*CJ49*VLOOKUP('Données projet'!$B$12,Paramètres!$A$1:$I$89,3,0)*0.475*44/12</f>
        <v>2.2377043427499123E-3</v>
      </c>
      <c r="CN49" s="22">
        <f t="shared" si="12"/>
        <v>42.179940875508507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5">
      <c r="A50" s="10">
        <f t="shared" si="31"/>
        <v>47</v>
      </c>
      <c r="B50" s="73">
        <f>'Scénario référence'!$B$16*5+'Scénario référence'!$B$17*0+'Scénario référence'!$B$18*5</f>
        <v>5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1">
        <f t="shared" si="32"/>
        <v>0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0" s="11">
        <f>IF(OR('Scénario référence'!$F$8&gt;0,'Scénario référence'!$F$9&gt;0),('Scénario référence'!$F$8+'Scénario référence'!$F$9)*10,0)</f>
        <v>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18.333333333333332</v>
      </c>
      <c r="H50" s="67">
        <f t="shared" si="1"/>
        <v>183.33333333333334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0</v>
      </c>
      <c r="N50" s="13">
        <f>IF('Données projet'!$A$36&gt;35,N49+M50-V49,IF(A50&lt;'Données projet'!$A$36,$K$205^A50,IF(A50='Données projet'!$A$36,'Données projet'!$B$36,N49+M50-V49)))</f>
        <v>0</v>
      </c>
      <c r="O50" s="13">
        <f>N50*VLOOKUP('Données projet'!$B$9,Paramètres!$A$1:$I$89,3,0)*VLOOKUP('Données projet'!$B$9,Paramètres!$A$1:$I$89,5,0)</f>
        <v>0</v>
      </c>
      <c r="P50" s="13" t="e">
        <f t="shared" si="33"/>
        <v>#NUM!</v>
      </c>
      <c r="Q50" s="20" t="e">
        <f t="shared" si="53"/>
        <v>#NUM!</v>
      </c>
      <c r="R50" s="59" t="e">
        <f t="shared" si="0"/>
        <v>#NUM!</v>
      </c>
      <c r="S50" s="59">
        <f ca="1">AVERAGE(OFFSET($R$3,0,0,'Données projet'!$E$9+1,1))-AVERAGE(OFFSET($H$3,0,0,'Données projet'!$E$9+1,1))</f>
        <v>112.82287576550925</v>
      </c>
      <c r="T50" s="59">
        <f t="shared" si="34"/>
        <v>317.78570695363294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35.23062578427848</v>
      </c>
      <c r="AA50" s="21">
        <f>EXP(-LN(2)/25)*AA49+(1-EXP(-LN(2)/25))/(LN(2)/25)*Calculateur!V50*Calculateur!X50*VLOOKUP('Données projet'!$B$9,Paramètres!$A$1:$I$89,3,0)*0.475*44/12</f>
        <v>6.0717091905952749</v>
      </c>
      <c r="AB50" s="21">
        <f>EXP(-LN(2)/2)*AB49+(1-EXP(-LN(2)/2))/(LN(2)/2)*V50*Y50*VLOOKUP('Données projet'!$B$9,Paramètres!$A$1:$I$89,3,0)*0.475*44/12</f>
        <v>1.5822959150490494E-3</v>
      </c>
      <c r="AC50" s="22">
        <f t="shared" si="3"/>
        <v>41.303917270788808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0</v>
      </c>
      <c r="AI50" s="13">
        <f>IF('Données projet'!$A$62&gt;35,AI49+AH50-AQ49,IF(A50&lt;'Données projet'!$A$62,$AF$205^A50,IF(A50='Données projet'!$A$62,'Données projet'!$B$62,AI49+AH50-AQ49)))</f>
        <v>0</v>
      </c>
      <c r="AJ50" s="13">
        <f>AI50*VLOOKUP('Données projet'!$B$10,Paramètres!$A$1:$I$89,3,0)*VLOOKUP('Données projet'!$B$10,Paramètres!$A$1:$I$89,5,0)</f>
        <v>0</v>
      </c>
      <c r="AK50" s="13" t="e">
        <f t="shared" si="35"/>
        <v>#NUM!</v>
      </c>
      <c r="AL50" s="20" t="e">
        <f t="shared" si="4"/>
        <v>#NUM!</v>
      </c>
      <c r="AM50" s="59" t="e">
        <f t="shared" si="5"/>
        <v>#NUM!</v>
      </c>
      <c r="AN50" s="59">
        <f ca="1">AVERAGE(OFFSET($AM$3,0,0,'Données projet'!$E$10+1,1))-AVERAGE(OFFSET($H$3,0,0,'Données projet'!$E$10+1,1))</f>
        <v>112.82287576550925</v>
      </c>
      <c r="AO50" s="59">
        <f t="shared" si="36"/>
        <v>317.78570695363294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35.23062578427848</v>
      </c>
      <c r="AV50" s="21">
        <f>EXP(-LN(2)/25)*AV49+(1-EXP(-LN(2)/25))/(LN(2)/25)*Calculateur!AQ50*Calculateur!AS50*VLOOKUP('Données projet'!$B$10,Paramètres!$A$1:$I$89,3,0)*0.475*44/12</f>
        <v>6.0717091905952749</v>
      </c>
      <c r="AW50" s="21">
        <f>EXP(-LN(2)/2)*AW49+(1-EXP(-LN(2)/2))/(LN(2)/2)*AQ50*AT50*VLOOKUP('Données projet'!$B$10,Paramètres!$A$1:$I$89,3,0)*0.475*44/12</f>
        <v>1.5822959150490494E-3</v>
      </c>
      <c r="AX50" s="21">
        <f t="shared" si="6"/>
        <v>41.303917270788808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0</v>
      </c>
      <c r="BD50" s="12">
        <f>IF('Données projet'!$A$88&gt;35,BD49+BC50-BL49,IF(A50&lt;'Données projet'!$A$88,$BA$205^A50,IF(A50='Données projet'!$A$88,'Données projet'!$B$88,BD49+BC50-BL49)))</f>
        <v>0</v>
      </c>
      <c r="BE50" s="13">
        <f>BD50*VLOOKUP('Données projet'!$B$11,Paramètres!$A$1:$I$89,3,0)*VLOOKUP('Données projet'!$B$11,Paramètres!$A$1:$I$89,5,0)</f>
        <v>0</v>
      </c>
      <c r="BF50" s="13" t="e">
        <f t="shared" si="37"/>
        <v>#NUM!</v>
      </c>
      <c r="BG50" s="20" t="e">
        <f t="shared" si="7"/>
        <v>#NUM!</v>
      </c>
      <c r="BH50" s="59" t="e">
        <f t="shared" si="8"/>
        <v>#NUM!</v>
      </c>
      <c r="BI50" s="59">
        <f ca="1">AVERAGE(OFFSET($BH$3,0,0,'Données projet'!$E$11+1,1))-AVERAGE(OFFSET($H$3,0,0,'Données projet'!$E$11+1,1))</f>
        <v>112.82287576550925</v>
      </c>
      <c r="BJ50" s="59">
        <f t="shared" si="38"/>
        <v>317.78570695363294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35.23062578427848</v>
      </c>
      <c r="BQ50" s="21">
        <f>EXP(-LN(2)/25)*BQ49+(1-EXP(-LN(2)/25))/(LN(2)/25)*Calculateur!BL50*Calculateur!BN50*VLOOKUP('Données projet'!$B$11,Paramètres!$A$1:$I$89,3,0)*0.475*44/12</f>
        <v>6.0717091905952749</v>
      </c>
      <c r="BR50" s="21">
        <f>EXP(-LN(2)/2)*BR49+(1-EXP(-LN(2)/2))/(LN(2)/2)*BL50*BO50*VLOOKUP('Données projet'!$B$11,Paramètres!$A$1:$I$89,3,0)*0.475*44/12</f>
        <v>1.5822959150490494E-3</v>
      </c>
      <c r="BS50" s="22">
        <f t="shared" si="9"/>
        <v>41.303917270788808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>
        <f>BY50*VLOOKUP('Données projet'!$B$12,Paramètres!$A$1:$I$89,3,0)*VLOOKUP('Données projet'!$B$12,Paramètres!$A$1:$I$89,5,0)</f>
        <v>0</v>
      </c>
      <c r="CA50" s="13" t="e">
        <f t="shared" si="39"/>
        <v>#NUM!</v>
      </c>
      <c r="CB50" s="20" t="e">
        <f t="shared" si="10"/>
        <v>#NUM!</v>
      </c>
      <c r="CC50" s="59" t="e">
        <f t="shared" si="11"/>
        <v>#NUM!</v>
      </c>
      <c r="CD50" s="59">
        <f ca="1">AVERAGE(OFFSET($CC$3,0,0,'Données projet'!$E$12+1,1))-AVERAGE(OFFSET($H$3,0,0,'Données projet'!$E$12+1,1))</f>
        <v>112.82287576550925</v>
      </c>
      <c r="CE50" s="59">
        <f t="shared" si="40"/>
        <v>317.78570695363294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>
        <f>EXP(-LN(2)/35)*CK49+(1-EXP(-LN(2)/35))/(LN(2)/35)*CG50*CH50*VLOOKUP('Données projet'!$B$12,Paramètres!$A$1:$I$89,3,0)*0.475*44/12</f>
        <v>35.23062578427848</v>
      </c>
      <c r="CL50" s="21">
        <f>EXP(-LN(2)/25)*CL49+(1-EXP(-LN(2)/25))/(LN(2)/25)*Calculateur!CG50*Calculateur!CI50*VLOOKUP('Données projet'!$B$12,Paramètres!$A$1:$I$89,3,0)*0.475*44/12</f>
        <v>6.0717091905952749</v>
      </c>
      <c r="CM50" s="21">
        <f>EXP(-LN(2)/2)*CM49+(1-EXP(-LN(2)/2))/(LN(2)/2)*CG50*CJ50*VLOOKUP('Données projet'!$B$12,Paramètres!$A$1:$I$89,3,0)*0.475*44/12</f>
        <v>1.5822959150490494E-3</v>
      </c>
      <c r="CN50" s="22">
        <f t="shared" si="12"/>
        <v>41.303917270788808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5">
      <c r="A51" s="10">
        <f t="shared" si="31"/>
        <v>48</v>
      </c>
      <c r="B51" s="73">
        <f>'Scénario référence'!$B$16*5+'Scénario référence'!$B$17*0+'Scénario référence'!$B$18*5</f>
        <v>5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1">
        <f t="shared" si="32"/>
        <v>0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1" s="11">
        <f>IF(OR('Scénario référence'!$F$8&gt;0,'Scénario référence'!$F$9&gt;0),('Scénario référence'!$F$8+'Scénario référence'!$F$9)*10,0)</f>
        <v>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18.333333333333332</v>
      </c>
      <c r="H51" s="67">
        <f t="shared" si="1"/>
        <v>183.33333333333334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0</v>
      </c>
      <c r="N51" s="13">
        <f>IF('Données projet'!$A$36&gt;35,N50+M51-V50,IF(A51&lt;'Données projet'!$A$36,$K$205^A51,IF(A51='Données projet'!$A$36,'Données projet'!$B$36,N50+M51-V50)))</f>
        <v>0</v>
      </c>
      <c r="O51" s="13">
        <f>N51*VLOOKUP('Données projet'!$B$9,Paramètres!$A$1:$I$89,3,0)*VLOOKUP('Données projet'!$B$9,Paramètres!$A$1:$I$89,5,0)</f>
        <v>0</v>
      </c>
      <c r="P51" s="13" t="e">
        <f t="shared" si="33"/>
        <v>#NUM!</v>
      </c>
      <c r="Q51" s="20" t="e">
        <f t="shared" si="53"/>
        <v>#NUM!</v>
      </c>
      <c r="R51" s="59" t="e">
        <f t="shared" si="0"/>
        <v>#NUM!</v>
      </c>
      <c r="S51" s="59">
        <f ca="1">AVERAGE(OFFSET($R$3,0,0,'Données projet'!$E$9+1,1))-AVERAGE(OFFSET($H$3,0,0,'Données projet'!$E$9+1,1))</f>
        <v>112.82287576550925</v>
      </c>
      <c r="T51" s="59">
        <f t="shared" si="34"/>
        <v>317.78570695363294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34.539774701208685</v>
      </c>
      <c r="AA51" s="21">
        <f>EXP(-LN(2)/25)*AA50+(1-EXP(-LN(2)/25))/(LN(2)/25)*Calculateur!V51*Calculateur!X51*VLOOKUP('Données projet'!$B$9,Paramètres!$A$1:$I$89,3,0)*0.475*44/12</f>
        <v>5.9056779834811381</v>
      </c>
      <c r="AB51" s="21">
        <f>EXP(-LN(2)/2)*AB50+(1-EXP(-LN(2)/2))/(LN(2)/2)*V51*Y51*VLOOKUP('Données projet'!$B$9,Paramètres!$A$1:$I$89,3,0)*0.475*44/12</f>
        <v>1.1188521713749562E-3</v>
      </c>
      <c r="AC51" s="22">
        <f t="shared" si="3"/>
        <v>40.4465715368612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0</v>
      </c>
      <c r="AI51" s="13">
        <f>IF('Données projet'!$A$62&gt;35,AI50+AH51-AQ50,IF(A51&lt;'Données projet'!$A$62,$AF$205^A51,IF(A51='Données projet'!$A$62,'Données projet'!$B$62,AI50+AH51-AQ50)))</f>
        <v>0</v>
      </c>
      <c r="AJ51" s="13">
        <f>AI51*VLOOKUP('Données projet'!$B$10,Paramètres!$A$1:$I$89,3,0)*VLOOKUP('Données projet'!$B$10,Paramètres!$A$1:$I$89,5,0)</f>
        <v>0</v>
      </c>
      <c r="AK51" s="13" t="e">
        <f t="shared" si="35"/>
        <v>#NUM!</v>
      </c>
      <c r="AL51" s="20" t="e">
        <f t="shared" si="4"/>
        <v>#NUM!</v>
      </c>
      <c r="AM51" s="59" t="e">
        <f t="shared" si="5"/>
        <v>#NUM!</v>
      </c>
      <c r="AN51" s="59">
        <f ca="1">AVERAGE(OFFSET($AM$3,0,0,'Données projet'!$E$10+1,1))-AVERAGE(OFFSET($H$3,0,0,'Données projet'!$E$10+1,1))</f>
        <v>112.82287576550925</v>
      </c>
      <c r="AO51" s="59">
        <f t="shared" si="36"/>
        <v>317.78570695363294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34.539774701208685</v>
      </c>
      <c r="AV51" s="21">
        <f>EXP(-LN(2)/25)*AV50+(1-EXP(-LN(2)/25))/(LN(2)/25)*Calculateur!AQ51*Calculateur!AS51*VLOOKUP('Données projet'!$B$10,Paramètres!$A$1:$I$89,3,0)*0.475*44/12</f>
        <v>5.9056779834811381</v>
      </c>
      <c r="AW51" s="21">
        <f>EXP(-LN(2)/2)*AW50+(1-EXP(-LN(2)/2))/(LN(2)/2)*AQ51*AT51*VLOOKUP('Données projet'!$B$10,Paramètres!$A$1:$I$89,3,0)*0.475*44/12</f>
        <v>1.1188521713749562E-3</v>
      </c>
      <c r="AX51" s="21">
        <f t="shared" si="6"/>
        <v>40.4465715368612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0</v>
      </c>
      <c r="BD51" s="12">
        <f>IF('Données projet'!$A$88&gt;35,BD50+BC51-BL50,IF(A51&lt;'Données projet'!$A$88,$BA$205^A51,IF(A51='Données projet'!$A$88,'Données projet'!$B$88,BD50+BC51-BL50)))</f>
        <v>0</v>
      </c>
      <c r="BE51" s="13">
        <f>BD51*VLOOKUP('Données projet'!$B$11,Paramètres!$A$1:$I$89,3,0)*VLOOKUP('Données projet'!$B$11,Paramètres!$A$1:$I$89,5,0)</f>
        <v>0</v>
      </c>
      <c r="BF51" s="13" t="e">
        <f t="shared" si="37"/>
        <v>#NUM!</v>
      </c>
      <c r="BG51" s="20" t="e">
        <f t="shared" si="7"/>
        <v>#NUM!</v>
      </c>
      <c r="BH51" s="59" t="e">
        <f t="shared" si="8"/>
        <v>#NUM!</v>
      </c>
      <c r="BI51" s="59">
        <f ca="1">AVERAGE(OFFSET($BH$3,0,0,'Données projet'!$E$11+1,1))-AVERAGE(OFFSET($H$3,0,0,'Données projet'!$E$11+1,1))</f>
        <v>112.82287576550925</v>
      </c>
      <c r="BJ51" s="59">
        <f t="shared" si="38"/>
        <v>317.78570695363294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34.539774701208685</v>
      </c>
      <c r="BQ51" s="21">
        <f>EXP(-LN(2)/25)*BQ50+(1-EXP(-LN(2)/25))/(LN(2)/25)*Calculateur!BL51*Calculateur!BN51*VLOOKUP('Données projet'!$B$11,Paramètres!$A$1:$I$89,3,0)*0.475*44/12</f>
        <v>5.9056779834811381</v>
      </c>
      <c r="BR51" s="21">
        <f>EXP(-LN(2)/2)*BR50+(1-EXP(-LN(2)/2))/(LN(2)/2)*BL51*BO51*VLOOKUP('Données projet'!$B$11,Paramètres!$A$1:$I$89,3,0)*0.475*44/12</f>
        <v>1.1188521713749562E-3</v>
      </c>
      <c r="BS51" s="22">
        <f t="shared" si="9"/>
        <v>40.4465715368612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>
        <f>BY51*VLOOKUP('Données projet'!$B$12,Paramètres!$A$1:$I$89,3,0)*VLOOKUP('Données projet'!$B$12,Paramètres!$A$1:$I$89,5,0)</f>
        <v>0</v>
      </c>
      <c r="CA51" s="13" t="e">
        <f t="shared" si="39"/>
        <v>#NUM!</v>
      </c>
      <c r="CB51" s="20" t="e">
        <f t="shared" si="10"/>
        <v>#NUM!</v>
      </c>
      <c r="CC51" s="59" t="e">
        <f t="shared" si="11"/>
        <v>#NUM!</v>
      </c>
      <c r="CD51" s="59">
        <f ca="1">AVERAGE(OFFSET($CC$3,0,0,'Données projet'!$E$12+1,1))-AVERAGE(OFFSET($H$3,0,0,'Données projet'!$E$12+1,1))</f>
        <v>112.82287576550925</v>
      </c>
      <c r="CE51" s="59">
        <f t="shared" si="40"/>
        <v>317.78570695363294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>
        <f>EXP(-LN(2)/35)*CK50+(1-EXP(-LN(2)/35))/(LN(2)/35)*CG51*CH51*VLOOKUP('Données projet'!$B$12,Paramètres!$A$1:$I$89,3,0)*0.475*44/12</f>
        <v>34.539774701208685</v>
      </c>
      <c r="CL51" s="21">
        <f>EXP(-LN(2)/25)*CL50+(1-EXP(-LN(2)/25))/(LN(2)/25)*Calculateur!CG51*Calculateur!CI51*VLOOKUP('Données projet'!$B$12,Paramètres!$A$1:$I$89,3,0)*0.475*44/12</f>
        <v>5.9056779834811381</v>
      </c>
      <c r="CM51" s="21">
        <f>EXP(-LN(2)/2)*CM50+(1-EXP(-LN(2)/2))/(LN(2)/2)*CG51*CJ51*VLOOKUP('Données projet'!$B$12,Paramètres!$A$1:$I$89,3,0)*0.475*44/12</f>
        <v>1.1188521713749562E-3</v>
      </c>
      <c r="CN51" s="22">
        <f t="shared" si="12"/>
        <v>40.4465715368612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5">
      <c r="A52" s="10">
        <f t="shared" si="31"/>
        <v>49</v>
      </c>
      <c r="B52" s="73">
        <f>'Scénario référence'!$B$16*5+'Scénario référence'!$B$17*0+'Scénario référence'!$B$18*5</f>
        <v>5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1">
        <f t="shared" si="32"/>
        <v>0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2" s="11">
        <f>IF(OR('Scénario référence'!$F$8&gt;0,'Scénario référence'!$F$9&gt;0),('Scénario référence'!$F$8+'Scénario référence'!$F$9)*10,0)</f>
        <v>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18.333333333333332</v>
      </c>
      <c r="H52" s="67">
        <f t="shared" si="1"/>
        <v>183.33333333333334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0</v>
      </c>
      <c r="N52" s="13">
        <f>IF('Données projet'!$A$36&gt;35,N51+M52-V51,IF(A52&lt;'Données projet'!$A$36,$K$205^A52,IF(A52='Données projet'!$A$36,'Données projet'!$B$36,N51+M52-V51)))</f>
        <v>0</v>
      </c>
      <c r="O52" s="13">
        <f>N52*VLOOKUP('Données projet'!$B$9,Paramètres!$A$1:$I$89,3,0)*VLOOKUP('Données projet'!$B$9,Paramètres!$A$1:$I$89,5,0)</f>
        <v>0</v>
      </c>
      <c r="P52" s="13" t="e">
        <f t="shared" si="33"/>
        <v>#NUM!</v>
      </c>
      <c r="Q52" s="20" t="e">
        <f t="shared" si="53"/>
        <v>#NUM!</v>
      </c>
      <c r="R52" s="59" t="e">
        <f t="shared" si="0"/>
        <v>#NUM!</v>
      </c>
      <c r="S52" s="59">
        <f ca="1">AVERAGE(OFFSET($R$3,0,0,'Données projet'!$E$9+1,1))-AVERAGE(OFFSET($H$3,0,0,'Données projet'!$E$9+1,1))</f>
        <v>112.82287576550925</v>
      </c>
      <c r="T52" s="59">
        <f t="shared" si="34"/>
        <v>317.78570695363294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33.862470786500339</v>
      </c>
      <c r="AA52" s="21">
        <f>EXP(-LN(2)/25)*AA51+(1-EXP(-LN(2)/25))/(LN(2)/25)*Calculateur!V52*Calculateur!X52*VLOOKUP('Données projet'!$B$9,Paramètres!$A$1:$I$89,3,0)*0.475*44/12</f>
        <v>5.7441869084567392</v>
      </c>
      <c r="AB52" s="21">
        <f>EXP(-LN(2)/2)*AB51+(1-EXP(-LN(2)/2))/(LN(2)/2)*V52*Y52*VLOOKUP('Données projet'!$B$9,Paramètres!$A$1:$I$89,3,0)*0.475*44/12</f>
        <v>7.911479575245247E-4</v>
      </c>
      <c r="AC52" s="22">
        <f t="shared" si="3"/>
        <v>39.6074488429146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0</v>
      </c>
      <c r="AI52" s="13">
        <f>IF('Données projet'!$A$62&gt;35,AI51+AH52-AQ51,IF(A52&lt;'Données projet'!$A$62,$AF$205^A52,IF(A52='Données projet'!$A$62,'Données projet'!$B$62,AI51+AH52-AQ51)))</f>
        <v>0</v>
      </c>
      <c r="AJ52" s="13">
        <f>AI52*VLOOKUP('Données projet'!$B$10,Paramètres!$A$1:$I$89,3,0)*VLOOKUP('Données projet'!$B$10,Paramètres!$A$1:$I$89,5,0)</f>
        <v>0</v>
      </c>
      <c r="AK52" s="13" t="e">
        <f t="shared" si="35"/>
        <v>#NUM!</v>
      </c>
      <c r="AL52" s="20" t="e">
        <f t="shared" si="4"/>
        <v>#NUM!</v>
      </c>
      <c r="AM52" s="59" t="e">
        <f t="shared" si="5"/>
        <v>#NUM!</v>
      </c>
      <c r="AN52" s="59">
        <f ca="1">AVERAGE(OFFSET($AM$3,0,0,'Données projet'!$E$10+1,1))-AVERAGE(OFFSET($H$3,0,0,'Données projet'!$E$10+1,1))</f>
        <v>112.82287576550925</v>
      </c>
      <c r="AO52" s="59">
        <f t="shared" si="36"/>
        <v>317.78570695363294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33.862470786500339</v>
      </c>
      <c r="AV52" s="21">
        <f>EXP(-LN(2)/25)*AV51+(1-EXP(-LN(2)/25))/(LN(2)/25)*Calculateur!AQ52*Calculateur!AS52*VLOOKUP('Données projet'!$B$10,Paramètres!$A$1:$I$89,3,0)*0.475*44/12</f>
        <v>5.7441869084567392</v>
      </c>
      <c r="AW52" s="21">
        <f>EXP(-LN(2)/2)*AW51+(1-EXP(-LN(2)/2))/(LN(2)/2)*AQ52*AT52*VLOOKUP('Données projet'!$B$10,Paramètres!$A$1:$I$89,3,0)*0.475*44/12</f>
        <v>7.911479575245247E-4</v>
      </c>
      <c r="AX52" s="21">
        <f t="shared" si="6"/>
        <v>39.6074488429146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0</v>
      </c>
      <c r="BD52" s="12">
        <f>IF('Données projet'!$A$88&gt;35,BD51+BC52-BL51,IF(A52&lt;'Données projet'!$A$88,$BA$205^A52,IF(A52='Données projet'!$A$88,'Données projet'!$B$88,BD51+BC52-BL51)))</f>
        <v>0</v>
      </c>
      <c r="BE52" s="13">
        <f>BD52*VLOOKUP('Données projet'!$B$11,Paramètres!$A$1:$I$89,3,0)*VLOOKUP('Données projet'!$B$11,Paramètres!$A$1:$I$89,5,0)</f>
        <v>0</v>
      </c>
      <c r="BF52" s="13" t="e">
        <f t="shared" si="37"/>
        <v>#NUM!</v>
      </c>
      <c r="BG52" s="20" t="e">
        <f t="shared" si="7"/>
        <v>#NUM!</v>
      </c>
      <c r="BH52" s="59" t="e">
        <f t="shared" si="8"/>
        <v>#NUM!</v>
      </c>
      <c r="BI52" s="59">
        <f ca="1">AVERAGE(OFFSET($BH$3,0,0,'Données projet'!$E$11+1,1))-AVERAGE(OFFSET($H$3,0,0,'Données projet'!$E$11+1,1))</f>
        <v>112.82287576550925</v>
      </c>
      <c r="BJ52" s="59">
        <f t="shared" si="38"/>
        <v>317.78570695363294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33.862470786500339</v>
      </c>
      <c r="BQ52" s="21">
        <f>EXP(-LN(2)/25)*BQ51+(1-EXP(-LN(2)/25))/(LN(2)/25)*Calculateur!BL52*Calculateur!BN52*VLOOKUP('Données projet'!$B$11,Paramètres!$A$1:$I$89,3,0)*0.475*44/12</f>
        <v>5.7441869084567392</v>
      </c>
      <c r="BR52" s="21">
        <f>EXP(-LN(2)/2)*BR51+(1-EXP(-LN(2)/2))/(LN(2)/2)*BL52*BO52*VLOOKUP('Données projet'!$B$11,Paramètres!$A$1:$I$89,3,0)*0.475*44/12</f>
        <v>7.911479575245247E-4</v>
      </c>
      <c r="BS52" s="22">
        <f t="shared" si="9"/>
        <v>39.6074488429146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>
        <f>BY52*VLOOKUP('Données projet'!$B$12,Paramètres!$A$1:$I$89,3,0)*VLOOKUP('Données projet'!$B$12,Paramètres!$A$1:$I$89,5,0)</f>
        <v>0</v>
      </c>
      <c r="CA52" s="13" t="e">
        <f t="shared" si="39"/>
        <v>#NUM!</v>
      </c>
      <c r="CB52" s="20" t="e">
        <f t="shared" si="10"/>
        <v>#NUM!</v>
      </c>
      <c r="CC52" s="59" t="e">
        <f t="shared" si="11"/>
        <v>#NUM!</v>
      </c>
      <c r="CD52" s="59">
        <f ca="1">AVERAGE(OFFSET($CC$3,0,0,'Données projet'!$E$12+1,1))-AVERAGE(OFFSET($H$3,0,0,'Données projet'!$E$12+1,1))</f>
        <v>112.82287576550925</v>
      </c>
      <c r="CE52" s="59">
        <f t="shared" si="40"/>
        <v>317.78570695363294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>
        <f>EXP(-LN(2)/35)*CK51+(1-EXP(-LN(2)/35))/(LN(2)/35)*CG52*CH52*VLOOKUP('Données projet'!$B$12,Paramètres!$A$1:$I$89,3,0)*0.475*44/12</f>
        <v>33.862470786500339</v>
      </c>
      <c r="CL52" s="21">
        <f>EXP(-LN(2)/25)*CL51+(1-EXP(-LN(2)/25))/(LN(2)/25)*Calculateur!CG52*Calculateur!CI52*VLOOKUP('Données projet'!$B$12,Paramètres!$A$1:$I$89,3,0)*0.475*44/12</f>
        <v>5.7441869084567392</v>
      </c>
      <c r="CM52" s="21">
        <f>EXP(-LN(2)/2)*CM51+(1-EXP(-LN(2)/2))/(LN(2)/2)*CG52*CJ52*VLOOKUP('Données projet'!$B$12,Paramètres!$A$1:$I$89,3,0)*0.475*44/12</f>
        <v>7.911479575245247E-4</v>
      </c>
      <c r="CN52" s="22">
        <f t="shared" si="12"/>
        <v>39.6074488429146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5">
      <c r="A53" s="10">
        <f t="shared" si="31"/>
        <v>50</v>
      </c>
      <c r="B53" s="73">
        <f>'Scénario référence'!$B$16*5+'Scénario référence'!$B$17*0+'Scénario référence'!$B$18*5</f>
        <v>5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1">
        <f t="shared" si="32"/>
        <v>0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3" s="11">
        <f>IF(OR('Scénario référence'!$F$8&gt;0,'Scénario référence'!$F$9&gt;0),('Scénario référence'!$F$8+'Scénario référence'!$F$9)*10,0)</f>
        <v>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18.333333333333332</v>
      </c>
      <c r="H53" s="67">
        <f t="shared" si="1"/>
        <v>183.33333333333334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0</v>
      </c>
      <c r="N53" s="13">
        <f>IF('Données projet'!$A$36&gt;35,N52+M53-V52,IF(A53&lt;'Données projet'!$A$36,$K$205^A53,IF(A53='Données projet'!$A$36,'Données projet'!$B$36,N52+M53-V52)))</f>
        <v>0</v>
      </c>
      <c r="O53" s="13">
        <f>N53*VLOOKUP('Données projet'!$B$9,Paramètres!$A$1:$I$89,3,0)*VLOOKUP('Données projet'!$B$9,Paramètres!$A$1:$I$89,5,0)</f>
        <v>0</v>
      </c>
      <c r="P53" s="13" t="e">
        <f t="shared" si="33"/>
        <v>#NUM!</v>
      </c>
      <c r="Q53" s="20" t="e">
        <f t="shared" si="53"/>
        <v>#NUM!</v>
      </c>
      <c r="R53" s="59" t="e">
        <f t="shared" si="0"/>
        <v>#NUM!</v>
      </c>
      <c r="S53" s="59">
        <f ca="1">AVERAGE(OFFSET($R$3,0,0,'Données projet'!$E$9+1,1))-AVERAGE(OFFSET($H$3,0,0,'Données projet'!$E$9+1,1))</f>
        <v>112.82287576550925</v>
      </c>
      <c r="T53" s="59">
        <f t="shared" si="34"/>
        <v>317.78570695363294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33.198448388444824</v>
      </c>
      <c r="AA53" s="21">
        <f>EXP(-LN(2)/25)*AA52+(1-EXP(-LN(2)/25))/(LN(2)/25)*Calculateur!V53*Calculateur!X53*VLOOKUP('Données projet'!$B$9,Paramètres!$A$1:$I$89,3,0)*0.475*44/12</f>
        <v>5.5871118153713288</v>
      </c>
      <c r="AB53" s="21">
        <f>EXP(-LN(2)/2)*AB52+(1-EXP(-LN(2)/2))/(LN(2)/2)*V53*Y53*VLOOKUP('Données projet'!$B$9,Paramètres!$A$1:$I$89,3,0)*0.475*44/12</f>
        <v>5.5942608568747808E-4</v>
      </c>
      <c r="AC53" s="22">
        <f t="shared" si="3"/>
        <v>38.78611962990184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 t="e">
        <f>VLOOKUP(A53,'Données projet'!$A$61:$I$81,2,0)</f>
        <v>#N/A</v>
      </c>
      <c r="AG53" s="12" t="e">
        <f>VLOOKUP(A53,'Données projet'!$A$61:$I$81,9,0)</f>
        <v>#N/A</v>
      </c>
      <c r="AH53" s="12">
        <f t="array" ref="AH53">INDEX(AG:AG,MIN(IF(ISNUMBER(AG53:AG249),ROW(AG53:AG249),"")))</f>
        <v>0</v>
      </c>
      <c r="AI53" s="13">
        <f>IF('Données projet'!$A$62&gt;35,AI52+AH53-AQ52,IF(A53&lt;'Données projet'!$A$62,$AF$205^A53,IF(A53='Données projet'!$A$62,'Données projet'!$B$62,AI52+AH53-AQ52)))</f>
        <v>0</v>
      </c>
      <c r="AJ53" s="13">
        <f>AI53*VLOOKUP('Données projet'!$B$10,Paramètres!$A$1:$I$89,3,0)*VLOOKUP('Données projet'!$B$10,Paramètres!$A$1:$I$89,5,0)</f>
        <v>0</v>
      </c>
      <c r="AK53" s="13" t="e">
        <f t="shared" si="35"/>
        <v>#NUM!</v>
      </c>
      <c r="AL53" s="20" t="e">
        <f t="shared" si="4"/>
        <v>#NUM!</v>
      </c>
      <c r="AM53" s="59" t="e">
        <f t="shared" si="5"/>
        <v>#NUM!</v>
      </c>
      <c r="AN53" s="59">
        <f ca="1">AVERAGE(OFFSET($AM$3,0,0,'Données projet'!$E$10+1,1))-AVERAGE(OFFSET($H$3,0,0,'Données projet'!$E$10+1,1))</f>
        <v>112.82287576550925</v>
      </c>
      <c r="AO53" s="59">
        <f t="shared" si="36"/>
        <v>317.78570695363294</v>
      </c>
      <c r="AP53" s="15">
        <f>IF(ISNA(VLOOKUP(A53,'Données projet'!$A$61:$I$81,3,0)),0,VLOOKUP(A53,'Données projet'!$A$61:$I$81,3,0))</f>
        <v>0</v>
      </c>
      <c r="AQ53" s="15">
        <f>IF(ISNA(VLOOKUP(A53,'Données projet'!$A$61:$I$81,4,0)),0,VLOOKUP(A53,'Données projet'!$A$61:$I$81,4,0))</f>
        <v>0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33.198448388444824</v>
      </c>
      <c r="AV53" s="21">
        <f>EXP(-LN(2)/25)*AV52+(1-EXP(-LN(2)/25))/(LN(2)/25)*Calculateur!AQ53*Calculateur!AS53*VLOOKUP('Données projet'!$B$10,Paramètres!$A$1:$I$89,3,0)*0.475*44/12</f>
        <v>5.5871118153713288</v>
      </c>
      <c r="AW53" s="21">
        <f>EXP(-LN(2)/2)*AW52+(1-EXP(-LN(2)/2))/(LN(2)/2)*AQ53*AT53*VLOOKUP('Données projet'!$B$10,Paramètres!$A$1:$I$89,3,0)*0.475*44/12</f>
        <v>5.5942608568747808E-4</v>
      </c>
      <c r="AX53" s="21">
        <f t="shared" si="6"/>
        <v>38.78611962990184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0</v>
      </c>
      <c r="BD53" s="12">
        <f>IF('Données projet'!$A$88&gt;35,BD52+BC53-BL52,IF(A53&lt;'Données projet'!$A$88,$BA$205^A53,IF(A53='Données projet'!$A$88,'Données projet'!$B$88,BD52+BC53-BL52)))</f>
        <v>0</v>
      </c>
      <c r="BE53" s="13">
        <f>BD53*VLOOKUP('Données projet'!$B$11,Paramètres!$A$1:$I$89,3,0)*VLOOKUP('Données projet'!$B$11,Paramètres!$A$1:$I$89,5,0)</f>
        <v>0</v>
      </c>
      <c r="BF53" s="13" t="e">
        <f t="shared" si="37"/>
        <v>#NUM!</v>
      </c>
      <c r="BG53" s="20" t="e">
        <f t="shared" si="7"/>
        <v>#NUM!</v>
      </c>
      <c r="BH53" s="59" t="e">
        <f t="shared" si="8"/>
        <v>#NUM!</v>
      </c>
      <c r="BI53" s="59">
        <f ca="1">AVERAGE(OFFSET($BH$3,0,0,'Données projet'!$E$11+1,1))-AVERAGE(OFFSET($H$3,0,0,'Données projet'!$E$11+1,1))</f>
        <v>112.82287576550925</v>
      </c>
      <c r="BJ53" s="59">
        <f t="shared" si="38"/>
        <v>317.78570695363294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33.198448388444824</v>
      </c>
      <c r="BQ53" s="21">
        <f>EXP(-LN(2)/25)*BQ52+(1-EXP(-LN(2)/25))/(LN(2)/25)*Calculateur!BL53*Calculateur!BN53*VLOOKUP('Données projet'!$B$11,Paramètres!$A$1:$I$89,3,0)*0.475*44/12</f>
        <v>5.5871118153713288</v>
      </c>
      <c r="BR53" s="21">
        <f>EXP(-LN(2)/2)*BR52+(1-EXP(-LN(2)/2))/(LN(2)/2)*BL53*BO53*VLOOKUP('Données projet'!$B$11,Paramètres!$A$1:$I$89,3,0)*0.475*44/12</f>
        <v>5.5942608568747808E-4</v>
      </c>
      <c r="BS53" s="22">
        <f t="shared" si="9"/>
        <v>38.78611962990184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>
        <f>BY53*VLOOKUP('Données projet'!$B$12,Paramètres!$A$1:$I$89,3,0)*VLOOKUP('Données projet'!$B$12,Paramètres!$A$1:$I$89,5,0)</f>
        <v>0</v>
      </c>
      <c r="CA53" s="13" t="e">
        <f t="shared" si="39"/>
        <v>#NUM!</v>
      </c>
      <c r="CB53" s="20" t="e">
        <f t="shared" si="10"/>
        <v>#NUM!</v>
      </c>
      <c r="CC53" s="59" t="e">
        <f t="shared" si="11"/>
        <v>#NUM!</v>
      </c>
      <c r="CD53" s="59">
        <f ca="1">AVERAGE(OFFSET($CC$3,0,0,'Données projet'!$E$12+1,1))-AVERAGE(OFFSET($H$3,0,0,'Données projet'!$E$12+1,1))</f>
        <v>112.82287576550925</v>
      </c>
      <c r="CE53" s="59">
        <f t="shared" si="40"/>
        <v>317.78570695363294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>
        <f>EXP(-LN(2)/35)*CK52+(1-EXP(-LN(2)/35))/(LN(2)/35)*CG53*CH53*VLOOKUP('Données projet'!$B$12,Paramètres!$A$1:$I$89,3,0)*0.475*44/12</f>
        <v>33.198448388444824</v>
      </c>
      <c r="CL53" s="21">
        <f>EXP(-LN(2)/25)*CL52+(1-EXP(-LN(2)/25))/(LN(2)/25)*Calculateur!CG53*Calculateur!CI53*VLOOKUP('Données projet'!$B$12,Paramètres!$A$1:$I$89,3,0)*0.475*44/12</f>
        <v>5.5871118153713288</v>
      </c>
      <c r="CM53" s="21">
        <f>EXP(-LN(2)/2)*CM52+(1-EXP(-LN(2)/2))/(LN(2)/2)*CG53*CJ53*VLOOKUP('Données projet'!$B$12,Paramètres!$A$1:$I$89,3,0)*0.475*44/12</f>
        <v>5.5942608568747808E-4</v>
      </c>
      <c r="CN53" s="22">
        <f t="shared" si="12"/>
        <v>38.78611962990184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5">
      <c r="A54" s="10">
        <f t="shared" si="31"/>
        <v>51</v>
      </c>
      <c r="B54" s="73">
        <f>'Scénario référence'!$B$16*5+'Scénario référence'!$B$17*0+'Scénario référence'!$B$18*5</f>
        <v>5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1">
        <f t="shared" si="32"/>
        <v>0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4" s="11">
        <f>IF(OR('Scénario référence'!$F$8&gt;0,'Scénario référence'!$F$9&gt;0),('Scénario référence'!$F$8+'Scénario référence'!$F$9)*10,0)</f>
        <v>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18.333333333333332</v>
      </c>
      <c r="H54" s="67">
        <f t="shared" si="1"/>
        <v>183.33333333333334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0</v>
      </c>
      <c r="N54" s="13">
        <f>IF('Données projet'!$A$36&gt;35,N53+M54-V53,IF(A54&lt;'Données projet'!$A$36,$K$205^A54,IF(A54='Données projet'!$A$36,'Données projet'!$B$36,N53+M54-V53)))</f>
        <v>0</v>
      </c>
      <c r="O54" s="13">
        <f>N54*VLOOKUP('Données projet'!$B$9,Paramètres!$A$1:$I$89,3,0)*VLOOKUP('Données projet'!$B$9,Paramètres!$A$1:$I$89,5,0)</f>
        <v>0</v>
      </c>
      <c r="P54" s="13" t="e">
        <f t="shared" si="33"/>
        <v>#NUM!</v>
      </c>
      <c r="Q54" s="20" t="e">
        <f t="shared" si="53"/>
        <v>#NUM!</v>
      </c>
      <c r="R54" s="59" t="e">
        <f t="shared" si="0"/>
        <v>#NUM!</v>
      </c>
      <c r="S54" s="59">
        <f ca="1">AVERAGE(OFFSET($R$3,0,0,'Données projet'!$E$9+1,1))-AVERAGE(OFFSET($H$3,0,0,'Données projet'!$E$9+1,1))</f>
        <v>112.82287576550925</v>
      </c>
      <c r="T54" s="59">
        <f t="shared" si="34"/>
        <v>317.78570695363294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32.547447064601506</v>
      </c>
      <c r="AA54" s="21">
        <f>EXP(-LN(2)/25)*AA53+(1-EXP(-LN(2)/25))/(LN(2)/25)*Calculateur!V54*Calculateur!X54*VLOOKUP('Données projet'!$B$9,Paramètres!$A$1:$I$89,3,0)*0.475*44/12</f>
        <v>5.4343319489665589</v>
      </c>
      <c r="AB54" s="21">
        <f>EXP(-LN(2)/2)*AB53+(1-EXP(-LN(2)/2))/(LN(2)/2)*V54*Y54*VLOOKUP('Données projet'!$B$9,Paramètres!$A$1:$I$89,3,0)*0.475*44/12</f>
        <v>3.9557397876226235E-4</v>
      </c>
      <c r="AC54" s="22">
        <f t="shared" si="3"/>
        <v>37.98217458754683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0</v>
      </c>
      <c r="AI54" s="13">
        <f>IF('Données projet'!$A$62&gt;35,AI53+AH54-AQ53,IF(A54&lt;'Données projet'!$A$62,$AF$205^A54,IF(A54='Données projet'!$A$62,'Données projet'!$B$62,AI53+AH54-AQ53)))</f>
        <v>0</v>
      </c>
      <c r="AJ54" s="13">
        <f>AI54*VLOOKUP('Données projet'!$B$10,Paramètres!$A$1:$I$89,3,0)*VLOOKUP('Données projet'!$B$10,Paramètres!$A$1:$I$89,5,0)</f>
        <v>0</v>
      </c>
      <c r="AK54" s="13" t="e">
        <f t="shared" si="35"/>
        <v>#NUM!</v>
      </c>
      <c r="AL54" s="20" t="e">
        <f t="shared" si="4"/>
        <v>#NUM!</v>
      </c>
      <c r="AM54" s="59" t="e">
        <f t="shared" si="5"/>
        <v>#NUM!</v>
      </c>
      <c r="AN54" s="59">
        <f ca="1">AVERAGE(OFFSET($AM$3,0,0,'Données projet'!$E$10+1,1))-AVERAGE(OFFSET($H$3,0,0,'Données projet'!$E$10+1,1))</f>
        <v>112.82287576550925</v>
      </c>
      <c r="AO54" s="59">
        <f t="shared" si="36"/>
        <v>317.78570695363294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32.547447064601506</v>
      </c>
      <c r="AV54" s="21">
        <f>EXP(-LN(2)/25)*AV53+(1-EXP(-LN(2)/25))/(LN(2)/25)*Calculateur!AQ54*Calculateur!AS54*VLOOKUP('Données projet'!$B$10,Paramètres!$A$1:$I$89,3,0)*0.475*44/12</f>
        <v>5.4343319489665589</v>
      </c>
      <c r="AW54" s="21">
        <f>EXP(-LN(2)/2)*AW53+(1-EXP(-LN(2)/2))/(LN(2)/2)*AQ54*AT54*VLOOKUP('Données projet'!$B$10,Paramètres!$A$1:$I$89,3,0)*0.475*44/12</f>
        <v>3.9557397876226235E-4</v>
      </c>
      <c r="AX54" s="21">
        <f t="shared" si="6"/>
        <v>37.98217458754683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0</v>
      </c>
      <c r="BD54" s="12">
        <f>IF('Données projet'!$A$88&gt;35,BD53+BC54-BL53,IF(A54&lt;'Données projet'!$A$88,$BA$205^A54,IF(A54='Données projet'!$A$88,'Données projet'!$B$88,BD53+BC54-BL53)))</f>
        <v>0</v>
      </c>
      <c r="BE54" s="13">
        <f>BD54*VLOOKUP('Données projet'!$B$11,Paramètres!$A$1:$I$89,3,0)*VLOOKUP('Données projet'!$B$11,Paramètres!$A$1:$I$89,5,0)</f>
        <v>0</v>
      </c>
      <c r="BF54" s="13" t="e">
        <f t="shared" si="37"/>
        <v>#NUM!</v>
      </c>
      <c r="BG54" s="20" t="e">
        <f t="shared" si="7"/>
        <v>#NUM!</v>
      </c>
      <c r="BH54" s="59" t="e">
        <f t="shared" si="8"/>
        <v>#NUM!</v>
      </c>
      <c r="BI54" s="59">
        <f ca="1">AVERAGE(OFFSET($BH$3,0,0,'Données projet'!$E$11+1,1))-AVERAGE(OFFSET($H$3,0,0,'Données projet'!$E$11+1,1))</f>
        <v>112.82287576550925</v>
      </c>
      <c r="BJ54" s="59">
        <f t="shared" si="38"/>
        <v>317.78570695363294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32.547447064601506</v>
      </c>
      <c r="BQ54" s="21">
        <f>EXP(-LN(2)/25)*BQ53+(1-EXP(-LN(2)/25))/(LN(2)/25)*Calculateur!BL54*Calculateur!BN54*VLOOKUP('Données projet'!$B$11,Paramètres!$A$1:$I$89,3,0)*0.475*44/12</f>
        <v>5.4343319489665589</v>
      </c>
      <c r="BR54" s="21">
        <f>EXP(-LN(2)/2)*BR53+(1-EXP(-LN(2)/2))/(LN(2)/2)*BL54*BO54*VLOOKUP('Données projet'!$B$11,Paramètres!$A$1:$I$89,3,0)*0.475*44/12</f>
        <v>3.9557397876226235E-4</v>
      </c>
      <c r="BS54" s="22">
        <f t="shared" si="9"/>
        <v>37.98217458754683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>
        <f>BY54*VLOOKUP('Données projet'!$B$12,Paramètres!$A$1:$I$89,3,0)*VLOOKUP('Données projet'!$B$12,Paramètres!$A$1:$I$89,5,0)</f>
        <v>0</v>
      </c>
      <c r="CA54" s="13" t="e">
        <f t="shared" si="39"/>
        <v>#NUM!</v>
      </c>
      <c r="CB54" s="20" t="e">
        <f t="shared" si="10"/>
        <v>#NUM!</v>
      </c>
      <c r="CC54" s="59" t="e">
        <f t="shared" si="11"/>
        <v>#NUM!</v>
      </c>
      <c r="CD54" s="59">
        <f ca="1">AVERAGE(OFFSET($CC$3,0,0,'Données projet'!$E$12+1,1))-AVERAGE(OFFSET($H$3,0,0,'Données projet'!$E$12+1,1))</f>
        <v>112.82287576550925</v>
      </c>
      <c r="CE54" s="59">
        <f t="shared" si="40"/>
        <v>317.78570695363294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>
        <f>EXP(-LN(2)/35)*CK53+(1-EXP(-LN(2)/35))/(LN(2)/35)*CG54*CH54*VLOOKUP('Données projet'!$B$12,Paramètres!$A$1:$I$89,3,0)*0.475*44/12</f>
        <v>32.547447064601506</v>
      </c>
      <c r="CL54" s="21">
        <f>EXP(-LN(2)/25)*CL53+(1-EXP(-LN(2)/25))/(LN(2)/25)*Calculateur!CG54*Calculateur!CI54*VLOOKUP('Données projet'!$B$12,Paramètres!$A$1:$I$89,3,0)*0.475*44/12</f>
        <v>5.4343319489665589</v>
      </c>
      <c r="CM54" s="21">
        <f>EXP(-LN(2)/2)*CM53+(1-EXP(-LN(2)/2))/(LN(2)/2)*CG54*CJ54*VLOOKUP('Données projet'!$B$12,Paramètres!$A$1:$I$89,3,0)*0.475*44/12</f>
        <v>3.9557397876226235E-4</v>
      </c>
      <c r="CN54" s="22">
        <f t="shared" si="12"/>
        <v>37.98217458754683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5">
      <c r="A55" s="10">
        <f t="shared" si="31"/>
        <v>52</v>
      </c>
      <c r="B55" s="73">
        <f>'Scénario référence'!$B$16*5+'Scénario référence'!$B$17*0+'Scénario référence'!$B$18*5</f>
        <v>5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1">
        <f t="shared" si="32"/>
        <v>0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5" s="11">
        <f>IF(OR('Scénario référence'!$F$8&gt;0,'Scénario référence'!$F$9&gt;0),('Scénario référence'!$F$8+'Scénario référence'!$F$9)*10,0)</f>
        <v>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18.333333333333332</v>
      </c>
      <c r="H55" s="67">
        <f t="shared" si="1"/>
        <v>183.33333333333334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0</v>
      </c>
      <c r="N55" s="13">
        <f>IF('Données projet'!$A$36&gt;35,N54+M55-V54,IF(A55&lt;'Données projet'!$A$36,$K$205^A55,IF(A55='Données projet'!$A$36,'Données projet'!$B$36,N54+M55-V54)))</f>
        <v>0</v>
      </c>
      <c r="O55" s="13">
        <f>N55*VLOOKUP('Données projet'!$B$9,Paramètres!$A$1:$I$89,3,0)*VLOOKUP('Données projet'!$B$9,Paramètres!$A$1:$I$89,5,0)</f>
        <v>0</v>
      </c>
      <c r="P55" s="13" t="e">
        <f t="shared" si="33"/>
        <v>#NUM!</v>
      </c>
      <c r="Q55" s="20" t="e">
        <f t="shared" si="53"/>
        <v>#NUM!</v>
      </c>
      <c r="R55" s="59" t="e">
        <f t="shared" si="0"/>
        <v>#NUM!</v>
      </c>
      <c r="S55" s="59">
        <f ca="1">AVERAGE(OFFSET($R$3,0,0,'Données projet'!$E$9+1,1))-AVERAGE(OFFSET($H$3,0,0,'Données projet'!$E$9+1,1))</f>
        <v>112.82287576550925</v>
      </c>
      <c r="T55" s="59">
        <f t="shared" si="34"/>
        <v>317.78570695363294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31.909211479647158</v>
      </c>
      <c r="AA55" s="21">
        <f>EXP(-LN(2)/25)*AA54+(1-EXP(-LN(2)/25))/(LN(2)/25)*Calculateur!V55*Calculateur!X55*VLOOKUP('Données projet'!$B$9,Paramètres!$A$1:$I$89,3,0)*0.475*44/12</f>
        <v>5.2857298560429715</v>
      </c>
      <c r="AB55" s="21">
        <f>EXP(-LN(2)/2)*AB54+(1-EXP(-LN(2)/2))/(LN(2)/2)*V55*Y55*VLOOKUP('Données projet'!$B$9,Paramètres!$A$1:$I$89,3,0)*0.475*44/12</f>
        <v>2.7971304284373904E-4</v>
      </c>
      <c r="AC55" s="22">
        <f t="shared" si="3"/>
        <v>37.195221048732975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0</v>
      </c>
      <c r="AI55" s="13">
        <f>IF('Données projet'!$A$62&gt;35,AI54+AH55-AQ54,IF(A55&lt;'Données projet'!$A$62,$AF$205^A55,IF(A55='Données projet'!$A$62,'Données projet'!$B$62,AI54+AH55-AQ54)))</f>
        <v>0</v>
      </c>
      <c r="AJ55" s="13">
        <f>AI55*VLOOKUP('Données projet'!$B$10,Paramètres!$A$1:$I$89,3,0)*VLOOKUP('Données projet'!$B$10,Paramètres!$A$1:$I$89,5,0)</f>
        <v>0</v>
      </c>
      <c r="AK55" s="13" t="e">
        <f t="shared" si="35"/>
        <v>#NUM!</v>
      </c>
      <c r="AL55" s="20" t="e">
        <f t="shared" si="4"/>
        <v>#NUM!</v>
      </c>
      <c r="AM55" s="59" t="e">
        <f t="shared" si="5"/>
        <v>#NUM!</v>
      </c>
      <c r="AN55" s="59">
        <f ca="1">AVERAGE(OFFSET($AM$3,0,0,'Données projet'!$E$10+1,1))-AVERAGE(OFFSET($H$3,0,0,'Données projet'!$E$10+1,1))</f>
        <v>112.82287576550925</v>
      </c>
      <c r="AO55" s="59">
        <f t="shared" si="36"/>
        <v>317.78570695363294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31.909211479647158</v>
      </c>
      <c r="AV55" s="21">
        <f>EXP(-LN(2)/25)*AV54+(1-EXP(-LN(2)/25))/(LN(2)/25)*Calculateur!AQ55*Calculateur!AS55*VLOOKUP('Données projet'!$B$10,Paramètres!$A$1:$I$89,3,0)*0.475*44/12</f>
        <v>5.2857298560429715</v>
      </c>
      <c r="AW55" s="21">
        <f>EXP(-LN(2)/2)*AW54+(1-EXP(-LN(2)/2))/(LN(2)/2)*AQ55*AT55*VLOOKUP('Données projet'!$B$10,Paramètres!$A$1:$I$89,3,0)*0.475*44/12</f>
        <v>2.7971304284373904E-4</v>
      </c>
      <c r="AX55" s="21">
        <f t="shared" si="6"/>
        <v>37.195221048732975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0</v>
      </c>
      <c r="BD55" s="12">
        <f>IF('Données projet'!$A$88&gt;35,BD54+BC55-BL54,IF(A55&lt;'Données projet'!$A$88,$BA$205^A55,IF(A55='Données projet'!$A$88,'Données projet'!$B$88,BD54+BC55-BL54)))</f>
        <v>0</v>
      </c>
      <c r="BE55" s="13">
        <f>BD55*VLOOKUP('Données projet'!$B$11,Paramètres!$A$1:$I$89,3,0)*VLOOKUP('Données projet'!$B$11,Paramètres!$A$1:$I$89,5,0)</f>
        <v>0</v>
      </c>
      <c r="BF55" s="13" t="e">
        <f t="shared" si="37"/>
        <v>#NUM!</v>
      </c>
      <c r="BG55" s="20" t="e">
        <f t="shared" si="7"/>
        <v>#NUM!</v>
      </c>
      <c r="BH55" s="59" t="e">
        <f t="shared" si="8"/>
        <v>#NUM!</v>
      </c>
      <c r="BI55" s="59">
        <f ca="1">AVERAGE(OFFSET($BH$3,0,0,'Données projet'!$E$11+1,1))-AVERAGE(OFFSET($H$3,0,0,'Données projet'!$E$11+1,1))</f>
        <v>112.82287576550925</v>
      </c>
      <c r="BJ55" s="59">
        <f t="shared" si="38"/>
        <v>317.78570695363294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31.909211479647158</v>
      </c>
      <c r="BQ55" s="21">
        <f>EXP(-LN(2)/25)*BQ54+(1-EXP(-LN(2)/25))/(LN(2)/25)*Calculateur!BL55*Calculateur!BN55*VLOOKUP('Données projet'!$B$11,Paramètres!$A$1:$I$89,3,0)*0.475*44/12</f>
        <v>5.2857298560429715</v>
      </c>
      <c r="BR55" s="21">
        <f>EXP(-LN(2)/2)*BR54+(1-EXP(-LN(2)/2))/(LN(2)/2)*BL55*BO55*VLOOKUP('Données projet'!$B$11,Paramètres!$A$1:$I$89,3,0)*0.475*44/12</f>
        <v>2.7971304284373904E-4</v>
      </c>
      <c r="BS55" s="22">
        <f t="shared" si="9"/>
        <v>37.195221048732975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>
        <f>BY55*VLOOKUP('Données projet'!$B$12,Paramètres!$A$1:$I$89,3,0)*VLOOKUP('Données projet'!$B$12,Paramètres!$A$1:$I$89,5,0)</f>
        <v>0</v>
      </c>
      <c r="CA55" s="13" t="e">
        <f t="shared" si="39"/>
        <v>#NUM!</v>
      </c>
      <c r="CB55" s="20" t="e">
        <f t="shared" si="10"/>
        <v>#NUM!</v>
      </c>
      <c r="CC55" s="59" t="e">
        <f t="shared" si="11"/>
        <v>#NUM!</v>
      </c>
      <c r="CD55" s="59">
        <f ca="1">AVERAGE(OFFSET($CC$3,0,0,'Données projet'!$E$12+1,1))-AVERAGE(OFFSET($H$3,0,0,'Données projet'!$E$12+1,1))</f>
        <v>112.82287576550925</v>
      </c>
      <c r="CE55" s="59">
        <f t="shared" si="40"/>
        <v>317.78570695363294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>
        <f>EXP(-LN(2)/35)*CK54+(1-EXP(-LN(2)/35))/(LN(2)/35)*CG55*CH55*VLOOKUP('Données projet'!$B$12,Paramètres!$A$1:$I$89,3,0)*0.475*44/12</f>
        <v>31.909211479647158</v>
      </c>
      <c r="CL55" s="21">
        <f>EXP(-LN(2)/25)*CL54+(1-EXP(-LN(2)/25))/(LN(2)/25)*Calculateur!CG55*Calculateur!CI55*VLOOKUP('Données projet'!$B$12,Paramètres!$A$1:$I$89,3,0)*0.475*44/12</f>
        <v>5.2857298560429715</v>
      </c>
      <c r="CM55" s="21">
        <f>EXP(-LN(2)/2)*CM54+(1-EXP(-LN(2)/2))/(LN(2)/2)*CG55*CJ55*VLOOKUP('Données projet'!$B$12,Paramètres!$A$1:$I$89,3,0)*0.475*44/12</f>
        <v>2.7971304284373904E-4</v>
      </c>
      <c r="CN55" s="22">
        <f t="shared" si="12"/>
        <v>37.195221048732975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5">
      <c r="A56" s="10">
        <f t="shared" si="31"/>
        <v>53</v>
      </c>
      <c r="B56" s="73">
        <f>'Scénario référence'!$B$16*5+'Scénario référence'!$B$17*0+'Scénario référence'!$B$18*5</f>
        <v>5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1">
        <f t="shared" si="32"/>
        <v>0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6" s="11">
        <f>IF(OR('Scénario référence'!$F$8&gt;0,'Scénario référence'!$F$9&gt;0),('Scénario référence'!$F$8+'Scénario référence'!$F$9)*10,0)</f>
        <v>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18.333333333333332</v>
      </c>
      <c r="H56" s="67">
        <f t="shared" si="1"/>
        <v>183.33333333333334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0</v>
      </c>
      <c r="N56" s="13">
        <f>IF('Données projet'!$A$36&gt;35,N55+M56-V55,IF(A56&lt;'Données projet'!$A$36,$K$205^A56,IF(A56='Données projet'!$A$36,'Données projet'!$B$36,N55+M56-V55)))</f>
        <v>0</v>
      </c>
      <c r="O56" s="13">
        <f>N56*VLOOKUP('Données projet'!$B$9,Paramètres!$A$1:$I$89,3,0)*VLOOKUP('Données projet'!$B$9,Paramètres!$A$1:$I$89,5,0)</f>
        <v>0</v>
      </c>
      <c r="P56" s="13" t="e">
        <f t="shared" si="33"/>
        <v>#NUM!</v>
      </c>
      <c r="Q56" s="20" t="e">
        <f t="shared" si="53"/>
        <v>#NUM!</v>
      </c>
      <c r="R56" s="59" t="e">
        <f t="shared" si="0"/>
        <v>#NUM!</v>
      </c>
      <c r="S56" s="59">
        <f ca="1">AVERAGE(OFFSET($R$3,0,0,'Données projet'!$E$9+1,1))-AVERAGE(OFFSET($H$3,0,0,'Données projet'!$E$9+1,1))</f>
        <v>112.82287576550925</v>
      </c>
      <c r="T56" s="59">
        <f t="shared" si="34"/>
        <v>317.78570695363294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31.283491305228498</v>
      </c>
      <c r="AA56" s="21">
        <f>EXP(-LN(2)/25)*AA55+(1-EXP(-LN(2)/25))/(LN(2)/25)*Calculateur!V56*Calculateur!X56*VLOOKUP('Données projet'!$B$9,Paramètres!$A$1:$I$89,3,0)*0.475*44/12</f>
        <v>5.141191295165024</v>
      </c>
      <c r="AB56" s="21">
        <f>EXP(-LN(2)/2)*AB55+(1-EXP(-LN(2)/2))/(LN(2)/2)*V56*Y56*VLOOKUP('Données projet'!$B$9,Paramètres!$A$1:$I$89,3,0)*0.475*44/12</f>
        <v>1.9778698938113117E-4</v>
      </c>
      <c r="AC56" s="22">
        <f t="shared" si="3"/>
        <v>36.424880387382906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0</v>
      </c>
      <c r="AI56" s="13">
        <f>IF('Données projet'!$A$62&gt;35,AI55+AH56-AQ55,IF(A56&lt;'Données projet'!$A$62,$AF$205^A56,IF(A56='Données projet'!$A$62,'Données projet'!$B$62,AI55+AH56-AQ55)))</f>
        <v>0</v>
      </c>
      <c r="AJ56" s="13">
        <f>AI56*VLOOKUP('Données projet'!$B$10,Paramètres!$A$1:$I$89,3,0)*VLOOKUP('Données projet'!$B$10,Paramètres!$A$1:$I$89,5,0)</f>
        <v>0</v>
      </c>
      <c r="AK56" s="13" t="e">
        <f t="shared" si="35"/>
        <v>#NUM!</v>
      </c>
      <c r="AL56" s="20" t="e">
        <f t="shared" si="4"/>
        <v>#NUM!</v>
      </c>
      <c r="AM56" s="59" t="e">
        <f t="shared" si="5"/>
        <v>#NUM!</v>
      </c>
      <c r="AN56" s="59">
        <f ca="1">AVERAGE(OFFSET($AM$3,0,0,'Données projet'!$E$10+1,1))-AVERAGE(OFFSET($H$3,0,0,'Données projet'!$E$10+1,1))</f>
        <v>112.82287576550925</v>
      </c>
      <c r="AO56" s="59">
        <f t="shared" si="36"/>
        <v>317.78570695363294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31.283491305228498</v>
      </c>
      <c r="AV56" s="21">
        <f>EXP(-LN(2)/25)*AV55+(1-EXP(-LN(2)/25))/(LN(2)/25)*Calculateur!AQ56*Calculateur!AS56*VLOOKUP('Données projet'!$B$10,Paramètres!$A$1:$I$89,3,0)*0.475*44/12</f>
        <v>5.141191295165024</v>
      </c>
      <c r="AW56" s="21">
        <f>EXP(-LN(2)/2)*AW55+(1-EXP(-LN(2)/2))/(LN(2)/2)*AQ56*AT56*VLOOKUP('Données projet'!$B$10,Paramètres!$A$1:$I$89,3,0)*0.475*44/12</f>
        <v>1.9778698938113117E-4</v>
      </c>
      <c r="AX56" s="21">
        <f t="shared" si="6"/>
        <v>36.424880387382906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0</v>
      </c>
      <c r="BD56" s="12">
        <f>IF('Données projet'!$A$88&gt;35,BD55+BC56-BL55,IF(A56&lt;'Données projet'!$A$88,$BA$205^A56,IF(A56='Données projet'!$A$88,'Données projet'!$B$88,BD55+BC56-BL55)))</f>
        <v>0</v>
      </c>
      <c r="BE56" s="13">
        <f>BD56*VLOOKUP('Données projet'!$B$11,Paramètres!$A$1:$I$89,3,0)*VLOOKUP('Données projet'!$B$11,Paramètres!$A$1:$I$89,5,0)</f>
        <v>0</v>
      </c>
      <c r="BF56" s="13" t="e">
        <f t="shared" si="37"/>
        <v>#NUM!</v>
      </c>
      <c r="BG56" s="20" t="e">
        <f t="shared" si="7"/>
        <v>#NUM!</v>
      </c>
      <c r="BH56" s="59" t="e">
        <f t="shared" si="8"/>
        <v>#NUM!</v>
      </c>
      <c r="BI56" s="59">
        <f ca="1">AVERAGE(OFFSET($BH$3,0,0,'Données projet'!$E$11+1,1))-AVERAGE(OFFSET($H$3,0,0,'Données projet'!$E$11+1,1))</f>
        <v>112.82287576550925</v>
      </c>
      <c r="BJ56" s="59">
        <f t="shared" si="38"/>
        <v>317.78570695363294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31.283491305228498</v>
      </c>
      <c r="BQ56" s="21">
        <f>EXP(-LN(2)/25)*BQ55+(1-EXP(-LN(2)/25))/(LN(2)/25)*Calculateur!BL56*Calculateur!BN56*VLOOKUP('Données projet'!$B$11,Paramètres!$A$1:$I$89,3,0)*0.475*44/12</f>
        <v>5.141191295165024</v>
      </c>
      <c r="BR56" s="21">
        <f>EXP(-LN(2)/2)*BR55+(1-EXP(-LN(2)/2))/(LN(2)/2)*BL56*BO56*VLOOKUP('Données projet'!$B$11,Paramètres!$A$1:$I$89,3,0)*0.475*44/12</f>
        <v>1.9778698938113117E-4</v>
      </c>
      <c r="BS56" s="22">
        <f t="shared" si="9"/>
        <v>36.424880387382906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>
        <f>BY56*VLOOKUP('Données projet'!$B$12,Paramètres!$A$1:$I$89,3,0)*VLOOKUP('Données projet'!$B$12,Paramètres!$A$1:$I$89,5,0)</f>
        <v>0</v>
      </c>
      <c r="CA56" s="13" t="e">
        <f t="shared" si="39"/>
        <v>#NUM!</v>
      </c>
      <c r="CB56" s="20" t="e">
        <f t="shared" si="10"/>
        <v>#NUM!</v>
      </c>
      <c r="CC56" s="59" t="e">
        <f t="shared" si="11"/>
        <v>#NUM!</v>
      </c>
      <c r="CD56" s="59">
        <f ca="1">AVERAGE(OFFSET($CC$3,0,0,'Données projet'!$E$12+1,1))-AVERAGE(OFFSET($H$3,0,0,'Données projet'!$E$12+1,1))</f>
        <v>112.82287576550925</v>
      </c>
      <c r="CE56" s="59">
        <f t="shared" si="40"/>
        <v>317.78570695363294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>
        <f>EXP(-LN(2)/35)*CK55+(1-EXP(-LN(2)/35))/(LN(2)/35)*CG56*CH56*VLOOKUP('Données projet'!$B$12,Paramètres!$A$1:$I$89,3,0)*0.475*44/12</f>
        <v>31.283491305228498</v>
      </c>
      <c r="CL56" s="21">
        <f>EXP(-LN(2)/25)*CL55+(1-EXP(-LN(2)/25))/(LN(2)/25)*Calculateur!CG56*Calculateur!CI56*VLOOKUP('Données projet'!$B$12,Paramètres!$A$1:$I$89,3,0)*0.475*44/12</f>
        <v>5.141191295165024</v>
      </c>
      <c r="CM56" s="21">
        <f>EXP(-LN(2)/2)*CM55+(1-EXP(-LN(2)/2))/(LN(2)/2)*CG56*CJ56*VLOOKUP('Données projet'!$B$12,Paramètres!$A$1:$I$89,3,0)*0.475*44/12</f>
        <v>1.9778698938113117E-4</v>
      </c>
      <c r="CN56" s="22">
        <f t="shared" si="12"/>
        <v>36.424880387382906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5">
      <c r="A57" s="10">
        <f t="shared" si="31"/>
        <v>54</v>
      </c>
      <c r="B57" s="73">
        <f>'Scénario référence'!$B$16*5+'Scénario référence'!$B$17*0+'Scénario référence'!$B$18*5</f>
        <v>5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1">
        <f t="shared" si="32"/>
        <v>0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7" s="11">
        <f>IF(OR('Scénario référence'!$F$8&gt;0,'Scénario référence'!$F$9&gt;0),('Scénario référence'!$F$8+'Scénario référence'!$F$9)*10,0)</f>
        <v>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18.333333333333332</v>
      </c>
      <c r="H57" s="67">
        <f t="shared" si="1"/>
        <v>183.33333333333334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0</v>
      </c>
      <c r="N57" s="13">
        <f>IF('Données projet'!$A$36&gt;35,N56+M57-V56,IF(A57&lt;'Données projet'!$A$36,$K$205^A57,IF(A57='Données projet'!$A$36,'Données projet'!$B$36,N56+M57-V56)))</f>
        <v>0</v>
      </c>
      <c r="O57" s="13">
        <f>N57*VLOOKUP('Données projet'!$B$9,Paramètres!$A$1:$I$89,3,0)*VLOOKUP('Données projet'!$B$9,Paramètres!$A$1:$I$89,5,0)</f>
        <v>0</v>
      </c>
      <c r="P57" s="13" t="e">
        <f t="shared" si="33"/>
        <v>#NUM!</v>
      </c>
      <c r="Q57" s="20" t="e">
        <f t="shared" si="53"/>
        <v>#NUM!</v>
      </c>
      <c r="R57" s="59" t="e">
        <f t="shared" si="0"/>
        <v>#NUM!</v>
      </c>
      <c r="S57" s="59">
        <f ca="1">AVERAGE(OFFSET($R$3,0,0,'Données projet'!$E$9+1,1))-AVERAGE(OFFSET($H$3,0,0,'Données projet'!$E$9+1,1))</f>
        <v>112.82287576550925</v>
      </c>
      <c r="T57" s="59">
        <f t="shared" si="34"/>
        <v>317.78570695363294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30.670041121778567</v>
      </c>
      <c r="AA57" s="21">
        <f>EXP(-LN(2)/25)*AA56+(1-EXP(-LN(2)/25))/(LN(2)/25)*Calculateur!V57*Calculateur!X57*VLOOKUP('Données projet'!$B$9,Paramètres!$A$1:$I$89,3,0)*0.475*44/12</f>
        <v>5.0006051488352368</v>
      </c>
      <c r="AB57" s="21">
        <f>EXP(-LN(2)/2)*AB56+(1-EXP(-LN(2)/2))/(LN(2)/2)*V57*Y57*VLOOKUP('Données projet'!$B$9,Paramètres!$A$1:$I$89,3,0)*0.475*44/12</f>
        <v>1.3985652142186952E-4</v>
      </c>
      <c r="AC57" s="22">
        <f t="shared" si="3"/>
        <v>35.670786127135223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0</v>
      </c>
      <c r="AI57" s="13">
        <f>IF('Données projet'!$A$62&gt;35,AI56+AH57-AQ56,IF(A57&lt;'Données projet'!$A$62,$AF$205^A57,IF(A57='Données projet'!$A$62,'Données projet'!$B$62,AI56+AH57-AQ56)))</f>
        <v>0</v>
      </c>
      <c r="AJ57" s="13">
        <f>AI57*VLOOKUP('Données projet'!$B$10,Paramètres!$A$1:$I$89,3,0)*VLOOKUP('Données projet'!$B$10,Paramètres!$A$1:$I$89,5,0)</f>
        <v>0</v>
      </c>
      <c r="AK57" s="13" t="e">
        <f t="shared" si="35"/>
        <v>#NUM!</v>
      </c>
      <c r="AL57" s="20" t="e">
        <f t="shared" si="4"/>
        <v>#NUM!</v>
      </c>
      <c r="AM57" s="59" t="e">
        <f t="shared" si="5"/>
        <v>#NUM!</v>
      </c>
      <c r="AN57" s="59">
        <f ca="1">AVERAGE(OFFSET($AM$3,0,0,'Données projet'!$E$10+1,1))-AVERAGE(OFFSET($H$3,0,0,'Données projet'!$E$10+1,1))</f>
        <v>112.82287576550925</v>
      </c>
      <c r="AO57" s="59">
        <f t="shared" si="36"/>
        <v>317.78570695363294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30.670041121778567</v>
      </c>
      <c r="AV57" s="21">
        <f>EXP(-LN(2)/25)*AV56+(1-EXP(-LN(2)/25))/(LN(2)/25)*Calculateur!AQ57*Calculateur!AS57*VLOOKUP('Données projet'!$B$10,Paramètres!$A$1:$I$89,3,0)*0.475*44/12</f>
        <v>5.0006051488352368</v>
      </c>
      <c r="AW57" s="21">
        <f>EXP(-LN(2)/2)*AW56+(1-EXP(-LN(2)/2))/(LN(2)/2)*AQ57*AT57*VLOOKUP('Données projet'!$B$10,Paramètres!$A$1:$I$89,3,0)*0.475*44/12</f>
        <v>1.3985652142186952E-4</v>
      </c>
      <c r="AX57" s="21">
        <f t="shared" si="6"/>
        <v>35.670786127135223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0</v>
      </c>
      <c r="BD57" s="12">
        <f>IF('Données projet'!$A$88&gt;35,BD56+BC57-BL56,IF(A57&lt;'Données projet'!$A$88,$BA$205^A57,IF(A57='Données projet'!$A$88,'Données projet'!$B$88,BD56+BC57-BL56)))</f>
        <v>0</v>
      </c>
      <c r="BE57" s="13">
        <f>BD57*VLOOKUP('Données projet'!$B$11,Paramètres!$A$1:$I$89,3,0)*VLOOKUP('Données projet'!$B$11,Paramètres!$A$1:$I$89,5,0)</f>
        <v>0</v>
      </c>
      <c r="BF57" s="13" t="e">
        <f t="shared" si="37"/>
        <v>#NUM!</v>
      </c>
      <c r="BG57" s="20" t="e">
        <f t="shared" si="7"/>
        <v>#NUM!</v>
      </c>
      <c r="BH57" s="59" t="e">
        <f t="shared" si="8"/>
        <v>#NUM!</v>
      </c>
      <c r="BI57" s="59">
        <f ca="1">AVERAGE(OFFSET($BH$3,0,0,'Données projet'!$E$11+1,1))-AVERAGE(OFFSET($H$3,0,0,'Données projet'!$E$11+1,1))</f>
        <v>112.82287576550925</v>
      </c>
      <c r="BJ57" s="59">
        <f t="shared" si="38"/>
        <v>317.78570695363294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30.670041121778567</v>
      </c>
      <c r="BQ57" s="21">
        <f>EXP(-LN(2)/25)*BQ56+(1-EXP(-LN(2)/25))/(LN(2)/25)*Calculateur!BL57*Calculateur!BN57*VLOOKUP('Données projet'!$B$11,Paramètres!$A$1:$I$89,3,0)*0.475*44/12</f>
        <v>5.0006051488352368</v>
      </c>
      <c r="BR57" s="21">
        <f>EXP(-LN(2)/2)*BR56+(1-EXP(-LN(2)/2))/(LN(2)/2)*BL57*BO57*VLOOKUP('Données projet'!$B$11,Paramètres!$A$1:$I$89,3,0)*0.475*44/12</f>
        <v>1.3985652142186952E-4</v>
      </c>
      <c r="BS57" s="22">
        <f t="shared" si="9"/>
        <v>35.670786127135223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>
        <f>BY57*VLOOKUP('Données projet'!$B$12,Paramètres!$A$1:$I$89,3,0)*VLOOKUP('Données projet'!$B$12,Paramètres!$A$1:$I$89,5,0)</f>
        <v>0</v>
      </c>
      <c r="CA57" s="13" t="e">
        <f t="shared" si="39"/>
        <v>#NUM!</v>
      </c>
      <c r="CB57" s="20" t="e">
        <f t="shared" si="10"/>
        <v>#NUM!</v>
      </c>
      <c r="CC57" s="59" t="e">
        <f t="shared" si="11"/>
        <v>#NUM!</v>
      </c>
      <c r="CD57" s="59">
        <f ca="1">AVERAGE(OFFSET($CC$3,0,0,'Données projet'!$E$12+1,1))-AVERAGE(OFFSET($H$3,0,0,'Données projet'!$E$12+1,1))</f>
        <v>112.82287576550925</v>
      </c>
      <c r="CE57" s="59">
        <f t="shared" si="40"/>
        <v>317.78570695363294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>
        <f>EXP(-LN(2)/35)*CK56+(1-EXP(-LN(2)/35))/(LN(2)/35)*CG57*CH57*VLOOKUP('Données projet'!$B$12,Paramètres!$A$1:$I$89,3,0)*0.475*44/12</f>
        <v>30.670041121778567</v>
      </c>
      <c r="CL57" s="21">
        <f>EXP(-LN(2)/25)*CL56+(1-EXP(-LN(2)/25))/(LN(2)/25)*Calculateur!CG57*Calculateur!CI57*VLOOKUP('Données projet'!$B$12,Paramètres!$A$1:$I$89,3,0)*0.475*44/12</f>
        <v>5.0006051488352368</v>
      </c>
      <c r="CM57" s="21">
        <f>EXP(-LN(2)/2)*CM56+(1-EXP(-LN(2)/2))/(LN(2)/2)*CG57*CJ57*VLOOKUP('Données projet'!$B$12,Paramètres!$A$1:$I$89,3,0)*0.475*44/12</f>
        <v>1.3985652142186952E-4</v>
      </c>
      <c r="CN57" s="22">
        <f t="shared" si="12"/>
        <v>35.670786127135223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5">
      <c r="A58" s="10">
        <f t="shared" si="31"/>
        <v>55</v>
      </c>
      <c r="B58" s="73">
        <f>'Scénario référence'!$B$16*5+'Scénario référence'!$B$17*0+'Scénario référence'!$B$18*5</f>
        <v>5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1">
        <f t="shared" si="32"/>
        <v>0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8" s="11">
        <f>IF(OR('Scénario référence'!$F$8&gt;0,'Scénario référence'!$F$9&gt;0),('Scénario référence'!$F$8+'Scénario référence'!$F$9)*10,0)</f>
        <v>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18.333333333333332</v>
      </c>
      <c r="H58" s="67">
        <f t="shared" si="1"/>
        <v>183.33333333333334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0</v>
      </c>
      <c r="N58" s="13">
        <f>IF('Données projet'!$A$36&gt;35,N57+M58-V57,IF(A58&lt;'Données projet'!$A$36,$K$205^A58,IF(A58='Données projet'!$A$36,'Données projet'!$B$36,N57+M58-V57)))</f>
        <v>0</v>
      </c>
      <c r="O58" s="13">
        <f>N58*VLOOKUP('Données projet'!$B$9,Paramètres!$A$1:$I$89,3,0)*VLOOKUP('Données projet'!$B$9,Paramètres!$A$1:$I$89,5,0)</f>
        <v>0</v>
      </c>
      <c r="P58" s="13" t="e">
        <f t="shared" si="33"/>
        <v>#NUM!</v>
      </c>
      <c r="Q58" s="20" t="e">
        <f t="shared" si="53"/>
        <v>#NUM!</v>
      </c>
      <c r="R58" s="59" t="e">
        <f t="shared" si="0"/>
        <v>#NUM!</v>
      </c>
      <c r="S58" s="59">
        <f ca="1">AVERAGE(OFFSET($R$3,0,0,'Données projet'!$E$9+1,1))-AVERAGE(OFFSET($H$3,0,0,'Données projet'!$E$9+1,1))</f>
        <v>112.82287576550925</v>
      </c>
      <c r="T58" s="59">
        <f t="shared" si="34"/>
        <v>317.78570695363294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30.068620322258422</v>
      </c>
      <c r="AA58" s="21">
        <f>EXP(-LN(2)/25)*AA57+(1-EXP(-LN(2)/25))/(LN(2)/25)*Calculateur!V58*Calculateur!X58*VLOOKUP('Données projet'!$B$9,Paramètres!$A$1:$I$89,3,0)*0.475*44/12</f>
        <v>4.8638633380699412</v>
      </c>
      <c r="AB58" s="21">
        <f>EXP(-LN(2)/2)*AB57+(1-EXP(-LN(2)/2))/(LN(2)/2)*V58*Y58*VLOOKUP('Données projet'!$B$9,Paramètres!$A$1:$I$89,3,0)*0.475*44/12</f>
        <v>9.8893494690565587E-5</v>
      </c>
      <c r="AC58" s="22">
        <f t="shared" si="3"/>
        <v>34.932582553823053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0</v>
      </c>
      <c r="AI58" s="13">
        <f>IF('Données projet'!$A$62&gt;35,AI57+AH58-AQ57,IF(A58&lt;'Données projet'!$A$62,$AF$205^A58,IF(A58='Données projet'!$A$62,'Données projet'!$B$62,AI57+AH58-AQ57)))</f>
        <v>0</v>
      </c>
      <c r="AJ58" s="13">
        <f>AI58*VLOOKUP('Données projet'!$B$10,Paramètres!$A$1:$I$89,3,0)*VLOOKUP('Données projet'!$B$10,Paramètres!$A$1:$I$89,5,0)</f>
        <v>0</v>
      </c>
      <c r="AK58" s="13" t="e">
        <f t="shared" si="35"/>
        <v>#NUM!</v>
      </c>
      <c r="AL58" s="20" t="e">
        <f t="shared" si="4"/>
        <v>#NUM!</v>
      </c>
      <c r="AM58" s="59" t="e">
        <f t="shared" si="5"/>
        <v>#NUM!</v>
      </c>
      <c r="AN58" s="59">
        <f ca="1">AVERAGE(OFFSET($AM$3,0,0,'Données projet'!$E$10+1,1))-AVERAGE(OFFSET($H$3,0,0,'Données projet'!$E$10+1,1))</f>
        <v>112.82287576550925</v>
      </c>
      <c r="AO58" s="59">
        <f t="shared" si="36"/>
        <v>317.78570695363294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30.068620322258422</v>
      </c>
      <c r="AV58" s="21">
        <f>EXP(-LN(2)/25)*AV57+(1-EXP(-LN(2)/25))/(LN(2)/25)*Calculateur!AQ58*Calculateur!AS58*VLOOKUP('Données projet'!$B$10,Paramètres!$A$1:$I$89,3,0)*0.475*44/12</f>
        <v>4.8638633380699412</v>
      </c>
      <c r="AW58" s="21">
        <f>EXP(-LN(2)/2)*AW57+(1-EXP(-LN(2)/2))/(LN(2)/2)*AQ58*AT58*VLOOKUP('Données projet'!$B$10,Paramètres!$A$1:$I$89,3,0)*0.475*44/12</f>
        <v>9.8893494690565587E-5</v>
      </c>
      <c r="AX58" s="21">
        <f t="shared" si="6"/>
        <v>34.932582553823053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0</v>
      </c>
      <c r="BD58" s="12">
        <f>IF('Données projet'!$A$88&gt;35,BD57+BC58-BL57,IF(A58&lt;'Données projet'!$A$88,$BA$205^A58,IF(A58='Données projet'!$A$88,'Données projet'!$B$88,BD57+BC58-BL57)))</f>
        <v>0</v>
      </c>
      <c r="BE58" s="13">
        <f>BD58*VLOOKUP('Données projet'!$B$11,Paramètres!$A$1:$I$89,3,0)*VLOOKUP('Données projet'!$B$11,Paramètres!$A$1:$I$89,5,0)</f>
        <v>0</v>
      </c>
      <c r="BF58" s="13" t="e">
        <f t="shared" si="37"/>
        <v>#NUM!</v>
      </c>
      <c r="BG58" s="20" t="e">
        <f t="shared" si="7"/>
        <v>#NUM!</v>
      </c>
      <c r="BH58" s="59" t="e">
        <f t="shared" si="8"/>
        <v>#NUM!</v>
      </c>
      <c r="BI58" s="59">
        <f ca="1">AVERAGE(OFFSET($BH$3,0,0,'Données projet'!$E$11+1,1))-AVERAGE(OFFSET($H$3,0,0,'Données projet'!$E$11+1,1))</f>
        <v>112.82287576550925</v>
      </c>
      <c r="BJ58" s="59">
        <f t="shared" si="38"/>
        <v>317.78570695363294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30.068620322258422</v>
      </c>
      <c r="BQ58" s="21">
        <f>EXP(-LN(2)/25)*BQ57+(1-EXP(-LN(2)/25))/(LN(2)/25)*Calculateur!BL58*Calculateur!BN58*VLOOKUP('Données projet'!$B$11,Paramètres!$A$1:$I$89,3,0)*0.475*44/12</f>
        <v>4.8638633380699412</v>
      </c>
      <c r="BR58" s="21">
        <f>EXP(-LN(2)/2)*BR57+(1-EXP(-LN(2)/2))/(LN(2)/2)*BL58*BO58*VLOOKUP('Données projet'!$B$11,Paramètres!$A$1:$I$89,3,0)*0.475*44/12</f>
        <v>9.8893494690565587E-5</v>
      </c>
      <c r="BS58" s="22">
        <f t="shared" si="9"/>
        <v>34.932582553823053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>
        <f>BY58*VLOOKUP('Données projet'!$B$12,Paramètres!$A$1:$I$89,3,0)*VLOOKUP('Données projet'!$B$12,Paramètres!$A$1:$I$89,5,0)</f>
        <v>0</v>
      </c>
      <c r="CA58" s="13" t="e">
        <f t="shared" si="39"/>
        <v>#NUM!</v>
      </c>
      <c r="CB58" s="20" t="e">
        <f t="shared" si="10"/>
        <v>#NUM!</v>
      </c>
      <c r="CC58" s="59" t="e">
        <f t="shared" si="11"/>
        <v>#NUM!</v>
      </c>
      <c r="CD58" s="59">
        <f ca="1">AVERAGE(OFFSET($CC$3,0,0,'Données projet'!$E$12+1,1))-AVERAGE(OFFSET($H$3,0,0,'Données projet'!$E$12+1,1))</f>
        <v>112.82287576550925</v>
      </c>
      <c r="CE58" s="59">
        <f t="shared" si="40"/>
        <v>317.78570695363294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>
        <f>EXP(-LN(2)/35)*CK57+(1-EXP(-LN(2)/35))/(LN(2)/35)*CG58*CH58*VLOOKUP('Données projet'!$B$12,Paramètres!$A$1:$I$89,3,0)*0.475*44/12</f>
        <v>30.068620322258422</v>
      </c>
      <c r="CL58" s="21">
        <f>EXP(-LN(2)/25)*CL57+(1-EXP(-LN(2)/25))/(LN(2)/25)*Calculateur!CG58*Calculateur!CI58*VLOOKUP('Données projet'!$B$12,Paramètres!$A$1:$I$89,3,0)*0.475*44/12</f>
        <v>4.8638633380699412</v>
      </c>
      <c r="CM58" s="21">
        <f>EXP(-LN(2)/2)*CM57+(1-EXP(-LN(2)/2))/(LN(2)/2)*CG58*CJ58*VLOOKUP('Données projet'!$B$12,Paramètres!$A$1:$I$89,3,0)*0.475*44/12</f>
        <v>9.8893494690565587E-5</v>
      </c>
      <c r="CN58" s="22">
        <f t="shared" si="12"/>
        <v>34.932582553823053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5">
      <c r="A59" s="10">
        <f t="shared" si="31"/>
        <v>56</v>
      </c>
      <c r="B59" s="73">
        <f>'Scénario référence'!$B$16*5+'Scénario référence'!$B$17*0+'Scénario référence'!$B$18*5</f>
        <v>5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1">
        <f t="shared" si="32"/>
        <v>0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59" s="11">
        <f>IF(OR('Scénario référence'!$F$8&gt;0,'Scénario référence'!$F$9&gt;0),('Scénario référence'!$F$8+'Scénario référence'!$F$9)*10,0)</f>
        <v>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18.333333333333332</v>
      </c>
      <c r="H59" s="67">
        <f t="shared" si="1"/>
        <v>183.33333333333334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0</v>
      </c>
      <c r="N59" s="13">
        <f>IF('Données projet'!$A$36&gt;35,N58+M59-V58,IF(A59&lt;'Données projet'!$A$36,$K$205^A59,IF(A59='Données projet'!$A$36,'Données projet'!$B$36,N58+M59-V58)))</f>
        <v>0</v>
      </c>
      <c r="O59" s="13">
        <f>N59*VLOOKUP('Données projet'!$B$9,Paramètres!$A$1:$I$89,3,0)*VLOOKUP('Données projet'!$B$9,Paramètres!$A$1:$I$89,5,0)</f>
        <v>0</v>
      </c>
      <c r="P59" s="13" t="e">
        <f t="shared" si="33"/>
        <v>#NUM!</v>
      </c>
      <c r="Q59" s="20" t="e">
        <f t="shared" si="53"/>
        <v>#NUM!</v>
      </c>
      <c r="R59" s="59" t="e">
        <f t="shared" si="0"/>
        <v>#NUM!</v>
      </c>
      <c r="S59" s="59">
        <f ca="1">AVERAGE(OFFSET($R$3,0,0,'Données projet'!$E$9+1,1))-AVERAGE(OFFSET($H$3,0,0,'Données projet'!$E$9+1,1))</f>
        <v>112.82287576550925</v>
      </c>
      <c r="T59" s="59">
        <f t="shared" si="34"/>
        <v>317.78570695363294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29.478993017786401</v>
      </c>
      <c r="AA59" s="21">
        <f>EXP(-LN(2)/25)*AA58+(1-EXP(-LN(2)/25))/(LN(2)/25)*Calculateur!V59*Calculateur!X59*VLOOKUP('Données projet'!$B$9,Paramètres!$A$1:$I$89,3,0)*0.475*44/12</f>
        <v>4.7308607393109625</v>
      </c>
      <c r="AB59" s="21">
        <f>EXP(-LN(2)/2)*AB58+(1-EXP(-LN(2)/2))/(LN(2)/2)*V59*Y59*VLOOKUP('Données projet'!$B$9,Paramètres!$A$1:$I$89,3,0)*0.475*44/12</f>
        <v>6.9928260710934759E-5</v>
      </c>
      <c r="AC59" s="22">
        <f t="shared" si="3"/>
        <v>34.209923685358078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0</v>
      </c>
      <c r="AI59" s="13">
        <f>IF('Données projet'!$A$62&gt;35,AI58+AH59-AQ58,IF(A59&lt;'Données projet'!$A$62,$AF$205^A59,IF(A59='Données projet'!$A$62,'Données projet'!$B$62,AI58+AH59-AQ58)))</f>
        <v>0</v>
      </c>
      <c r="AJ59" s="13">
        <f>AI59*VLOOKUP('Données projet'!$B$10,Paramètres!$A$1:$I$89,3,0)*VLOOKUP('Données projet'!$B$10,Paramètres!$A$1:$I$89,5,0)</f>
        <v>0</v>
      </c>
      <c r="AK59" s="13" t="e">
        <f t="shared" si="35"/>
        <v>#NUM!</v>
      </c>
      <c r="AL59" s="20" t="e">
        <f t="shared" si="4"/>
        <v>#NUM!</v>
      </c>
      <c r="AM59" s="59" t="e">
        <f t="shared" si="5"/>
        <v>#NUM!</v>
      </c>
      <c r="AN59" s="59">
        <f ca="1">AVERAGE(OFFSET($AM$3,0,0,'Données projet'!$E$10+1,1))-AVERAGE(OFFSET($H$3,0,0,'Données projet'!$E$10+1,1))</f>
        <v>112.82287576550925</v>
      </c>
      <c r="AO59" s="59">
        <f t="shared" si="36"/>
        <v>317.78570695363294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29.478993017786401</v>
      </c>
      <c r="AV59" s="21">
        <f>EXP(-LN(2)/25)*AV58+(1-EXP(-LN(2)/25))/(LN(2)/25)*Calculateur!AQ59*Calculateur!AS59*VLOOKUP('Données projet'!$B$10,Paramètres!$A$1:$I$89,3,0)*0.475*44/12</f>
        <v>4.7308607393109625</v>
      </c>
      <c r="AW59" s="21">
        <f>EXP(-LN(2)/2)*AW58+(1-EXP(-LN(2)/2))/(LN(2)/2)*AQ59*AT59*VLOOKUP('Données projet'!$B$10,Paramètres!$A$1:$I$89,3,0)*0.475*44/12</f>
        <v>6.9928260710934759E-5</v>
      </c>
      <c r="AX59" s="21">
        <f t="shared" si="6"/>
        <v>34.209923685358078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0</v>
      </c>
      <c r="BD59" s="12">
        <f>IF('Données projet'!$A$88&gt;35,BD58+BC59-BL58,IF(A59&lt;'Données projet'!$A$88,$BA$205^A59,IF(A59='Données projet'!$A$88,'Données projet'!$B$88,BD58+BC59-BL58)))</f>
        <v>0</v>
      </c>
      <c r="BE59" s="13">
        <f>BD59*VLOOKUP('Données projet'!$B$11,Paramètres!$A$1:$I$89,3,0)*VLOOKUP('Données projet'!$B$11,Paramètres!$A$1:$I$89,5,0)</f>
        <v>0</v>
      </c>
      <c r="BF59" s="13" t="e">
        <f t="shared" si="37"/>
        <v>#NUM!</v>
      </c>
      <c r="BG59" s="20" t="e">
        <f t="shared" si="7"/>
        <v>#NUM!</v>
      </c>
      <c r="BH59" s="59" t="e">
        <f t="shared" si="8"/>
        <v>#NUM!</v>
      </c>
      <c r="BI59" s="59">
        <f ca="1">AVERAGE(OFFSET($BH$3,0,0,'Données projet'!$E$11+1,1))-AVERAGE(OFFSET($H$3,0,0,'Données projet'!$E$11+1,1))</f>
        <v>112.82287576550925</v>
      </c>
      <c r="BJ59" s="59">
        <f t="shared" si="38"/>
        <v>317.78570695363294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29.478993017786401</v>
      </c>
      <c r="BQ59" s="21">
        <f>EXP(-LN(2)/25)*BQ58+(1-EXP(-LN(2)/25))/(LN(2)/25)*Calculateur!BL59*Calculateur!BN59*VLOOKUP('Données projet'!$B$11,Paramètres!$A$1:$I$89,3,0)*0.475*44/12</f>
        <v>4.7308607393109625</v>
      </c>
      <c r="BR59" s="21">
        <f>EXP(-LN(2)/2)*BR58+(1-EXP(-LN(2)/2))/(LN(2)/2)*BL59*BO59*VLOOKUP('Données projet'!$B$11,Paramètres!$A$1:$I$89,3,0)*0.475*44/12</f>
        <v>6.9928260710934759E-5</v>
      </c>
      <c r="BS59" s="22">
        <f t="shared" si="9"/>
        <v>34.209923685358078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>
        <f>BY59*VLOOKUP('Données projet'!$B$12,Paramètres!$A$1:$I$89,3,0)*VLOOKUP('Données projet'!$B$12,Paramètres!$A$1:$I$89,5,0)</f>
        <v>0</v>
      </c>
      <c r="CA59" s="13" t="e">
        <f t="shared" si="39"/>
        <v>#NUM!</v>
      </c>
      <c r="CB59" s="20" t="e">
        <f t="shared" si="10"/>
        <v>#NUM!</v>
      </c>
      <c r="CC59" s="59" t="e">
        <f t="shared" si="11"/>
        <v>#NUM!</v>
      </c>
      <c r="CD59" s="59">
        <f ca="1">AVERAGE(OFFSET($CC$3,0,0,'Données projet'!$E$12+1,1))-AVERAGE(OFFSET($H$3,0,0,'Données projet'!$E$12+1,1))</f>
        <v>112.82287576550925</v>
      </c>
      <c r="CE59" s="59">
        <f t="shared" si="40"/>
        <v>317.78570695363294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>
        <f>EXP(-LN(2)/35)*CK58+(1-EXP(-LN(2)/35))/(LN(2)/35)*CG59*CH59*VLOOKUP('Données projet'!$B$12,Paramètres!$A$1:$I$89,3,0)*0.475*44/12</f>
        <v>29.478993017786401</v>
      </c>
      <c r="CL59" s="21">
        <f>EXP(-LN(2)/25)*CL58+(1-EXP(-LN(2)/25))/(LN(2)/25)*Calculateur!CG59*Calculateur!CI59*VLOOKUP('Données projet'!$B$12,Paramètres!$A$1:$I$89,3,0)*0.475*44/12</f>
        <v>4.7308607393109625</v>
      </c>
      <c r="CM59" s="21">
        <f>EXP(-LN(2)/2)*CM58+(1-EXP(-LN(2)/2))/(LN(2)/2)*CG59*CJ59*VLOOKUP('Données projet'!$B$12,Paramètres!$A$1:$I$89,3,0)*0.475*44/12</f>
        <v>6.9928260710934759E-5</v>
      </c>
      <c r="CN59" s="22">
        <f t="shared" si="12"/>
        <v>34.209923685358078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5">
      <c r="A60" s="10">
        <f t="shared" si="31"/>
        <v>57</v>
      </c>
      <c r="B60" s="73">
        <f>'Scénario référence'!$B$16*5+'Scénario référence'!$B$17*0+'Scénario référence'!$B$18*5</f>
        <v>5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1">
        <f t="shared" si="32"/>
        <v>0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0" s="11">
        <f>IF(OR('Scénario référence'!$F$8&gt;0,'Scénario référence'!$F$9&gt;0),('Scénario référence'!$F$8+'Scénario référence'!$F$9)*10,0)</f>
        <v>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18.333333333333332</v>
      </c>
      <c r="H60" s="67">
        <f t="shared" si="1"/>
        <v>183.33333333333334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0</v>
      </c>
      <c r="N60" s="13">
        <f>IF('Données projet'!$A$36&gt;35,N59+M60-V59,IF(A60&lt;'Données projet'!$A$36,$K$205^A60,IF(A60='Données projet'!$A$36,'Données projet'!$B$36,N59+M60-V59)))</f>
        <v>0</v>
      </c>
      <c r="O60" s="13">
        <f>N60*VLOOKUP('Données projet'!$B$9,Paramètres!$A$1:$I$89,3,0)*VLOOKUP('Données projet'!$B$9,Paramètres!$A$1:$I$89,5,0)</f>
        <v>0</v>
      </c>
      <c r="P60" s="13" t="e">
        <f t="shared" si="33"/>
        <v>#NUM!</v>
      </c>
      <c r="Q60" s="20" t="e">
        <f t="shared" si="53"/>
        <v>#NUM!</v>
      </c>
      <c r="R60" s="59" t="e">
        <f t="shared" si="0"/>
        <v>#NUM!</v>
      </c>
      <c r="S60" s="59">
        <f ca="1">AVERAGE(OFFSET($R$3,0,0,'Données projet'!$E$9+1,1))-AVERAGE(OFFSET($H$3,0,0,'Données projet'!$E$9+1,1))</f>
        <v>112.82287576550925</v>
      </c>
      <c r="T60" s="59">
        <f t="shared" si="34"/>
        <v>317.78570695363294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28.900927945117932</v>
      </c>
      <c r="AA60" s="21">
        <f>EXP(-LN(2)/25)*AA59+(1-EXP(-LN(2)/25))/(LN(2)/25)*Calculateur!V60*Calculateur!X60*VLOOKUP('Données projet'!$B$9,Paramètres!$A$1:$I$89,3,0)*0.475*44/12</f>
        <v>4.6014951036093503</v>
      </c>
      <c r="AB60" s="21">
        <f>EXP(-LN(2)/2)*AB59+(1-EXP(-LN(2)/2))/(LN(2)/2)*V60*Y60*VLOOKUP('Données projet'!$B$9,Paramètres!$A$1:$I$89,3,0)*0.475*44/12</f>
        <v>4.9446747345282794E-5</v>
      </c>
      <c r="AC60" s="22">
        <f t="shared" si="3"/>
        <v>33.502472495474628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0</v>
      </c>
      <c r="AI60" s="13">
        <f>IF('Données projet'!$A$62&gt;35,AI59+AH60-AQ59,IF(A60&lt;'Données projet'!$A$62,$AF$205^A60,IF(A60='Données projet'!$A$62,'Données projet'!$B$62,AI59+AH60-AQ59)))</f>
        <v>0</v>
      </c>
      <c r="AJ60" s="13">
        <f>AI60*VLOOKUP('Données projet'!$B$10,Paramètres!$A$1:$I$89,3,0)*VLOOKUP('Données projet'!$B$10,Paramètres!$A$1:$I$89,5,0)</f>
        <v>0</v>
      </c>
      <c r="AK60" s="13" t="e">
        <f t="shared" si="35"/>
        <v>#NUM!</v>
      </c>
      <c r="AL60" s="20" t="e">
        <f t="shared" si="4"/>
        <v>#NUM!</v>
      </c>
      <c r="AM60" s="59" t="e">
        <f t="shared" si="5"/>
        <v>#NUM!</v>
      </c>
      <c r="AN60" s="59">
        <f ca="1">AVERAGE(OFFSET($AM$3,0,0,'Données projet'!$E$10+1,1))-AVERAGE(OFFSET($H$3,0,0,'Données projet'!$E$10+1,1))</f>
        <v>112.82287576550925</v>
      </c>
      <c r="AO60" s="59">
        <f t="shared" si="36"/>
        <v>317.78570695363294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28.900927945117932</v>
      </c>
      <c r="AV60" s="21">
        <f>EXP(-LN(2)/25)*AV59+(1-EXP(-LN(2)/25))/(LN(2)/25)*Calculateur!AQ60*Calculateur!AS60*VLOOKUP('Données projet'!$B$10,Paramètres!$A$1:$I$89,3,0)*0.475*44/12</f>
        <v>4.6014951036093503</v>
      </c>
      <c r="AW60" s="21">
        <f>EXP(-LN(2)/2)*AW59+(1-EXP(-LN(2)/2))/(LN(2)/2)*AQ60*AT60*VLOOKUP('Données projet'!$B$10,Paramètres!$A$1:$I$89,3,0)*0.475*44/12</f>
        <v>4.9446747345282794E-5</v>
      </c>
      <c r="AX60" s="21">
        <f t="shared" si="6"/>
        <v>33.502472495474628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0</v>
      </c>
      <c r="BD60" s="12">
        <f>IF('Données projet'!$A$88&gt;35,BD59+BC60-BL59,IF(A60&lt;'Données projet'!$A$88,$BA$205^A60,IF(A60='Données projet'!$A$88,'Données projet'!$B$88,BD59+BC60-BL59)))</f>
        <v>0</v>
      </c>
      <c r="BE60" s="13">
        <f>BD60*VLOOKUP('Données projet'!$B$11,Paramètres!$A$1:$I$89,3,0)*VLOOKUP('Données projet'!$B$11,Paramètres!$A$1:$I$89,5,0)</f>
        <v>0</v>
      </c>
      <c r="BF60" s="13" t="e">
        <f t="shared" si="37"/>
        <v>#NUM!</v>
      </c>
      <c r="BG60" s="20" t="e">
        <f t="shared" si="7"/>
        <v>#NUM!</v>
      </c>
      <c r="BH60" s="59" t="e">
        <f t="shared" si="8"/>
        <v>#NUM!</v>
      </c>
      <c r="BI60" s="59">
        <f ca="1">AVERAGE(OFFSET($BH$3,0,0,'Données projet'!$E$11+1,1))-AVERAGE(OFFSET($H$3,0,0,'Données projet'!$E$11+1,1))</f>
        <v>112.82287576550925</v>
      </c>
      <c r="BJ60" s="59">
        <f t="shared" si="38"/>
        <v>317.78570695363294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28.900927945117932</v>
      </c>
      <c r="BQ60" s="21">
        <f>EXP(-LN(2)/25)*BQ59+(1-EXP(-LN(2)/25))/(LN(2)/25)*Calculateur!BL60*Calculateur!BN60*VLOOKUP('Données projet'!$B$11,Paramètres!$A$1:$I$89,3,0)*0.475*44/12</f>
        <v>4.6014951036093503</v>
      </c>
      <c r="BR60" s="21">
        <f>EXP(-LN(2)/2)*BR59+(1-EXP(-LN(2)/2))/(LN(2)/2)*BL60*BO60*VLOOKUP('Données projet'!$B$11,Paramètres!$A$1:$I$89,3,0)*0.475*44/12</f>
        <v>4.9446747345282794E-5</v>
      </c>
      <c r="BS60" s="22">
        <f t="shared" si="9"/>
        <v>33.502472495474628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>
        <f>BY60*VLOOKUP('Données projet'!$B$12,Paramètres!$A$1:$I$89,3,0)*VLOOKUP('Données projet'!$B$12,Paramètres!$A$1:$I$89,5,0)</f>
        <v>0</v>
      </c>
      <c r="CA60" s="13" t="e">
        <f t="shared" si="39"/>
        <v>#NUM!</v>
      </c>
      <c r="CB60" s="20" t="e">
        <f t="shared" si="10"/>
        <v>#NUM!</v>
      </c>
      <c r="CC60" s="59" t="e">
        <f t="shared" si="11"/>
        <v>#NUM!</v>
      </c>
      <c r="CD60" s="59">
        <f ca="1">AVERAGE(OFFSET($CC$3,0,0,'Données projet'!$E$12+1,1))-AVERAGE(OFFSET($H$3,0,0,'Données projet'!$E$12+1,1))</f>
        <v>112.82287576550925</v>
      </c>
      <c r="CE60" s="59">
        <f t="shared" si="40"/>
        <v>317.78570695363294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>
        <f>EXP(-LN(2)/35)*CK59+(1-EXP(-LN(2)/35))/(LN(2)/35)*CG60*CH60*VLOOKUP('Données projet'!$B$12,Paramètres!$A$1:$I$89,3,0)*0.475*44/12</f>
        <v>28.900927945117932</v>
      </c>
      <c r="CL60" s="21">
        <f>EXP(-LN(2)/25)*CL59+(1-EXP(-LN(2)/25))/(LN(2)/25)*Calculateur!CG60*Calculateur!CI60*VLOOKUP('Données projet'!$B$12,Paramètres!$A$1:$I$89,3,0)*0.475*44/12</f>
        <v>4.6014951036093503</v>
      </c>
      <c r="CM60" s="21">
        <f>EXP(-LN(2)/2)*CM59+(1-EXP(-LN(2)/2))/(LN(2)/2)*CG60*CJ60*VLOOKUP('Données projet'!$B$12,Paramètres!$A$1:$I$89,3,0)*0.475*44/12</f>
        <v>4.9446747345282794E-5</v>
      </c>
      <c r="CN60" s="22">
        <f t="shared" si="12"/>
        <v>33.502472495474628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5">
      <c r="A61" s="10">
        <f t="shared" si="31"/>
        <v>58</v>
      </c>
      <c r="B61" s="73">
        <f>'Scénario référence'!$B$16*5+'Scénario référence'!$B$17*0+'Scénario référence'!$B$18*5</f>
        <v>5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1">
        <f t="shared" si="32"/>
        <v>0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1" s="11">
        <f>IF(OR('Scénario référence'!$F$8&gt;0,'Scénario référence'!$F$9&gt;0),('Scénario référence'!$F$8+'Scénario référence'!$F$9)*10,0)</f>
        <v>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18.333333333333332</v>
      </c>
      <c r="H61" s="67">
        <f t="shared" si="1"/>
        <v>183.33333333333334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0</v>
      </c>
      <c r="N61" s="13">
        <f>IF('Données projet'!$A$36&gt;35,N60+M61-V60,IF(A61&lt;'Données projet'!$A$36,$K$205^A61,IF(A61='Données projet'!$A$36,'Données projet'!$B$36,N60+M61-V60)))</f>
        <v>0</v>
      </c>
      <c r="O61" s="13">
        <f>N61*VLOOKUP('Données projet'!$B$9,Paramètres!$A$1:$I$89,3,0)*VLOOKUP('Données projet'!$B$9,Paramètres!$A$1:$I$89,5,0)</f>
        <v>0</v>
      </c>
      <c r="P61" s="13" t="e">
        <f t="shared" si="33"/>
        <v>#NUM!</v>
      </c>
      <c r="Q61" s="20" t="e">
        <f t="shared" si="53"/>
        <v>#NUM!</v>
      </c>
      <c r="R61" s="59" t="e">
        <f t="shared" si="0"/>
        <v>#NUM!</v>
      </c>
      <c r="S61" s="59">
        <f ca="1">AVERAGE(OFFSET($R$3,0,0,'Données projet'!$E$9+1,1))-AVERAGE(OFFSET($H$3,0,0,'Données projet'!$E$9+1,1))</f>
        <v>112.82287576550925</v>
      </c>
      <c r="T61" s="59">
        <f t="shared" si="34"/>
        <v>317.78570695363294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28.334198375939611</v>
      </c>
      <c r="AA61" s="21">
        <f>EXP(-LN(2)/25)*AA60+(1-EXP(-LN(2)/25))/(LN(2)/25)*Calculateur!V61*Calculateur!X61*VLOOKUP('Données projet'!$B$9,Paramètres!$A$1:$I$89,3,0)*0.475*44/12</f>
        <v>4.4756669780190421</v>
      </c>
      <c r="AB61" s="21">
        <f>EXP(-LN(2)/2)*AB60+(1-EXP(-LN(2)/2))/(LN(2)/2)*V61*Y61*VLOOKUP('Données projet'!$B$9,Paramètres!$A$1:$I$89,3,0)*0.475*44/12</f>
        <v>3.496413035546738E-5</v>
      </c>
      <c r="AC61" s="22">
        <f t="shared" si="3"/>
        <v>32.809900318089014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0</v>
      </c>
      <c r="AI61" s="13">
        <f>IF('Données projet'!$A$62&gt;35,AI60+AH61-AQ60,IF(A61&lt;'Données projet'!$A$62,$AF$205^A61,IF(A61='Données projet'!$A$62,'Données projet'!$B$62,AI60+AH61-AQ60)))</f>
        <v>0</v>
      </c>
      <c r="AJ61" s="13">
        <f>AI61*VLOOKUP('Données projet'!$B$10,Paramètres!$A$1:$I$89,3,0)*VLOOKUP('Données projet'!$B$10,Paramètres!$A$1:$I$89,5,0)</f>
        <v>0</v>
      </c>
      <c r="AK61" s="13" t="e">
        <f t="shared" si="35"/>
        <v>#NUM!</v>
      </c>
      <c r="AL61" s="20" t="e">
        <f t="shared" si="4"/>
        <v>#NUM!</v>
      </c>
      <c r="AM61" s="59" t="e">
        <f t="shared" si="5"/>
        <v>#NUM!</v>
      </c>
      <c r="AN61" s="59">
        <f ca="1">AVERAGE(OFFSET($AM$3,0,0,'Données projet'!$E$10+1,1))-AVERAGE(OFFSET($H$3,0,0,'Données projet'!$E$10+1,1))</f>
        <v>112.82287576550925</v>
      </c>
      <c r="AO61" s="59">
        <f t="shared" si="36"/>
        <v>317.78570695363294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28.334198375939611</v>
      </c>
      <c r="AV61" s="21">
        <f>EXP(-LN(2)/25)*AV60+(1-EXP(-LN(2)/25))/(LN(2)/25)*Calculateur!AQ61*Calculateur!AS61*VLOOKUP('Données projet'!$B$10,Paramètres!$A$1:$I$89,3,0)*0.475*44/12</f>
        <v>4.4756669780190421</v>
      </c>
      <c r="AW61" s="21">
        <f>EXP(-LN(2)/2)*AW60+(1-EXP(-LN(2)/2))/(LN(2)/2)*AQ61*AT61*VLOOKUP('Données projet'!$B$10,Paramètres!$A$1:$I$89,3,0)*0.475*44/12</f>
        <v>3.496413035546738E-5</v>
      </c>
      <c r="AX61" s="21">
        <f t="shared" si="6"/>
        <v>32.809900318089014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0</v>
      </c>
      <c r="BD61" s="12">
        <f>IF('Données projet'!$A$88&gt;35,BD60+BC61-BL60,IF(A61&lt;'Données projet'!$A$88,$BA$205^A61,IF(A61='Données projet'!$A$88,'Données projet'!$B$88,BD60+BC61-BL60)))</f>
        <v>0</v>
      </c>
      <c r="BE61" s="13">
        <f>BD61*VLOOKUP('Données projet'!$B$11,Paramètres!$A$1:$I$89,3,0)*VLOOKUP('Données projet'!$B$11,Paramètres!$A$1:$I$89,5,0)</f>
        <v>0</v>
      </c>
      <c r="BF61" s="13" t="e">
        <f t="shared" si="37"/>
        <v>#NUM!</v>
      </c>
      <c r="BG61" s="20" t="e">
        <f t="shared" si="7"/>
        <v>#NUM!</v>
      </c>
      <c r="BH61" s="59" t="e">
        <f t="shared" si="8"/>
        <v>#NUM!</v>
      </c>
      <c r="BI61" s="59">
        <f ca="1">AVERAGE(OFFSET($BH$3,0,0,'Données projet'!$E$11+1,1))-AVERAGE(OFFSET($H$3,0,0,'Données projet'!$E$11+1,1))</f>
        <v>112.82287576550925</v>
      </c>
      <c r="BJ61" s="59">
        <f t="shared" si="38"/>
        <v>317.78570695363294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28.334198375939611</v>
      </c>
      <c r="BQ61" s="21">
        <f>EXP(-LN(2)/25)*BQ60+(1-EXP(-LN(2)/25))/(LN(2)/25)*Calculateur!BL61*Calculateur!BN61*VLOOKUP('Données projet'!$B$11,Paramètres!$A$1:$I$89,3,0)*0.475*44/12</f>
        <v>4.4756669780190421</v>
      </c>
      <c r="BR61" s="21">
        <f>EXP(-LN(2)/2)*BR60+(1-EXP(-LN(2)/2))/(LN(2)/2)*BL61*BO61*VLOOKUP('Données projet'!$B$11,Paramètres!$A$1:$I$89,3,0)*0.475*44/12</f>
        <v>3.496413035546738E-5</v>
      </c>
      <c r="BS61" s="22">
        <f t="shared" si="9"/>
        <v>32.809900318089014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>
        <f>BY61*VLOOKUP('Données projet'!$B$12,Paramètres!$A$1:$I$89,3,0)*VLOOKUP('Données projet'!$B$12,Paramètres!$A$1:$I$89,5,0)</f>
        <v>0</v>
      </c>
      <c r="CA61" s="13" t="e">
        <f t="shared" si="39"/>
        <v>#NUM!</v>
      </c>
      <c r="CB61" s="20" t="e">
        <f t="shared" si="10"/>
        <v>#NUM!</v>
      </c>
      <c r="CC61" s="59" t="e">
        <f t="shared" si="11"/>
        <v>#NUM!</v>
      </c>
      <c r="CD61" s="59">
        <f ca="1">AVERAGE(OFFSET($CC$3,0,0,'Données projet'!$E$12+1,1))-AVERAGE(OFFSET($H$3,0,0,'Données projet'!$E$12+1,1))</f>
        <v>112.82287576550925</v>
      </c>
      <c r="CE61" s="59">
        <f t="shared" si="40"/>
        <v>317.78570695363294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>
        <f>EXP(-LN(2)/35)*CK60+(1-EXP(-LN(2)/35))/(LN(2)/35)*CG61*CH61*VLOOKUP('Données projet'!$B$12,Paramètres!$A$1:$I$89,3,0)*0.475*44/12</f>
        <v>28.334198375939611</v>
      </c>
      <c r="CL61" s="21">
        <f>EXP(-LN(2)/25)*CL60+(1-EXP(-LN(2)/25))/(LN(2)/25)*Calculateur!CG61*Calculateur!CI61*VLOOKUP('Données projet'!$B$12,Paramètres!$A$1:$I$89,3,0)*0.475*44/12</f>
        <v>4.4756669780190421</v>
      </c>
      <c r="CM61" s="21">
        <f>EXP(-LN(2)/2)*CM60+(1-EXP(-LN(2)/2))/(LN(2)/2)*CG61*CJ61*VLOOKUP('Données projet'!$B$12,Paramètres!$A$1:$I$89,3,0)*0.475*44/12</f>
        <v>3.496413035546738E-5</v>
      </c>
      <c r="CN61" s="22">
        <f t="shared" si="12"/>
        <v>32.809900318089014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5">
      <c r="A62" s="10">
        <f t="shared" si="31"/>
        <v>59</v>
      </c>
      <c r="B62" s="73">
        <f>'Scénario référence'!$B$16*5+'Scénario référence'!$B$17*0+'Scénario référence'!$B$18*5</f>
        <v>5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1">
        <f t="shared" si="32"/>
        <v>0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2" s="11">
        <f>IF(OR('Scénario référence'!$F$8&gt;0,'Scénario référence'!$F$9&gt;0),('Scénario référence'!$F$8+'Scénario référence'!$F$9)*10,0)</f>
        <v>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18.333333333333332</v>
      </c>
      <c r="H62" s="67">
        <f t="shared" si="1"/>
        <v>183.33333333333334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0</v>
      </c>
      <c r="N62" s="13">
        <f>IF('Données projet'!$A$36&gt;35,N61+M62-V61,IF(A62&lt;'Données projet'!$A$36,$K$205^A62,IF(A62='Données projet'!$A$36,'Données projet'!$B$36,N61+M62-V61)))</f>
        <v>0</v>
      </c>
      <c r="O62" s="13">
        <f>N62*VLOOKUP('Données projet'!$B$9,Paramètres!$A$1:$I$89,3,0)*VLOOKUP('Données projet'!$B$9,Paramètres!$A$1:$I$89,5,0)</f>
        <v>0</v>
      </c>
      <c r="P62" s="13" t="e">
        <f t="shared" si="33"/>
        <v>#NUM!</v>
      </c>
      <c r="Q62" s="20" t="e">
        <f t="shared" si="53"/>
        <v>#NUM!</v>
      </c>
      <c r="R62" s="59" t="e">
        <f t="shared" si="0"/>
        <v>#NUM!</v>
      </c>
      <c r="S62" s="59">
        <f ca="1">AVERAGE(OFFSET($R$3,0,0,'Données projet'!$E$9+1,1))-AVERAGE(OFFSET($H$3,0,0,'Données projet'!$E$9+1,1))</f>
        <v>112.82287576550925</v>
      </c>
      <c r="T62" s="59">
        <f t="shared" si="34"/>
        <v>317.78570695363294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27.778582027941972</v>
      </c>
      <c r="AA62" s="21">
        <f>EXP(-LN(2)/25)*AA61+(1-EXP(-LN(2)/25))/(LN(2)/25)*Calculateur!V62*Calculateur!X62*VLOOKUP('Données projet'!$B$9,Paramètres!$A$1:$I$89,3,0)*0.475*44/12</f>
        <v>4.3532796291400144</v>
      </c>
      <c r="AB62" s="21">
        <f>EXP(-LN(2)/2)*AB61+(1-EXP(-LN(2)/2))/(LN(2)/2)*V62*Y62*VLOOKUP('Données projet'!$B$9,Paramètres!$A$1:$I$89,3,0)*0.475*44/12</f>
        <v>2.4723373672641397E-5</v>
      </c>
      <c r="AC62" s="22">
        <f t="shared" si="3"/>
        <v>32.131886380455654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0</v>
      </c>
      <c r="AI62" s="13">
        <f>IF('Données projet'!$A$62&gt;35,AI61+AH62-AQ61,IF(A62&lt;'Données projet'!$A$62,$AF$205^A62,IF(A62='Données projet'!$A$62,'Données projet'!$B$62,AI61+AH62-AQ61)))</f>
        <v>0</v>
      </c>
      <c r="AJ62" s="13">
        <f>AI62*VLOOKUP('Données projet'!$B$10,Paramètres!$A$1:$I$89,3,0)*VLOOKUP('Données projet'!$B$10,Paramètres!$A$1:$I$89,5,0)</f>
        <v>0</v>
      </c>
      <c r="AK62" s="13" t="e">
        <f t="shared" si="35"/>
        <v>#NUM!</v>
      </c>
      <c r="AL62" s="20" t="e">
        <f t="shared" si="4"/>
        <v>#NUM!</v>
      </c>
      <c r="AM62" s="59" t="e">
        <f t="shared" si="5"/>
        <v>#NUM!</v>
      </c>
      <c r="AN62" s="59">
        <f ca="1">AVERAGE(OFFSET($AM$3,0,0,'Données projet'!$E$10+1,1))-AVERAGE(OFFSET($H$3,0,0,'Données projet'!$E$10+1,1))</f>
        <v>112.82287576550925</v>
      </c>
      <c r="AO62" s="59">
        <f t="shared" si="36"/>
        <v>317.78570695363294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27.778582027941972</v>
      </c>
      <c r="AV62" s="21">
        <f>EXP(-LN(2)/25)*AV61+(1-EXP(-LN(2)/25))/(LN(2)/25)*Calculateur!AQ62*Calculateur!AS62*VLOOKUP('Données projet'!$B$10,Paramètres!$A$1:$I$89,3,0)*0.475*44/12</f>
        <v>4.3532796291400144</v>
      </c>
      <c r="AW62" s="21">
        <f>EXP(-LN(2)/2)*AW61+(1-EXP(-LN(2)/2))/(LN(2)/2)*AQ62*AT62*VLOOKUP('Données projet'!$B$10,Paramètres!$A$1:$I$89,3,0)*0.475*44/12</f>
        <v>2.4723373672641397E-5</v>
      </c>
      <c r="AX62" s="21">
        <f t="shared" si="6"/>
        <v>32.131886380455654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0</v>
      </c>
      <c r="BD62" s="12">
        <f>IF('Données projet'!$A$88&gt;35,BD61+BC62-BL61,IF(A62&lt;'Données projet'!$A$88,$BA$205^A62,IF(A62='Données projet'!$A$88,'Données projet'!$B$88,BD61+BC62-BL61)))</f>
        <v>0</v>
      </c>
      <c r="BE62" s="13">
        <f>BD62*VLOOKUP('Données projet'!$B$11,Paramètres!$A$1:$I$89,3,0)*VLOOKUP('Données projet'!$B$11,Paramètres!$A$1:$I$89,5,0)</f>
        <v>0</v>
      </c>
      <c r="BF62" s="13" t="e">
        <f t="shared" si="37"/>
        <v>#NUM!</v>
      </c>
      <c r="BG62" s="20" t="e">
        <f t="shared" si="7"/>
        <v>#NUM!</v>
      </c>
      <c r="BH62" s="59" t="e">
        <f t="shared" si="8"/>
        <v>#NUM!</v>
      </c>
      <c r="BI62" s="59">
        <f ca="1">AVERAGE(OFFSET($BH$3,0,0,'Données projet'!$E$11+1,1))-AVERAGE(OFFSET($H$3,0,0,'Données projet'!$E$11+1,1))</f>
        <v>112.82287576550925</v>
      </c>
      <c r="BJ62" s="59">
        <f t="shared" si="38"/>
        <v>317.78570695363294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27.778582027941972</v>
      </c>
      <c r="BQ62" s="21">
        <f>EXP(-LN(2)/25)*BQ61+(1-EXP(-LN(2)/25))/(LN(2)/25)*Calculateur!BL62*Calculateur!BN62*VLOOKUP('Données projet'!$B$11,Paramètres!$A$1:$I$89,3,0)*0.475*44/12</f>
        <v>4.3532796291400144</v>
      </c>
      <c r="BR62" s="21">
        <f>EXP(-LN(2)/2)*BR61+(1-EXP(-LN(2)/2))/(LN(2)/2)*BL62*BO62*VLOOKUP('Données projet'!$B$11,Paramètres!$A$1:$I$89,3,0)*0.475*44/12</f>
        <v>2.4723373672641397E-5</v>
      </c>
      <c r="BS62" s="22">
        <f t="shared" si="9"/>
        <v>32.131886380455654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>
        <f>BY62*VLOOKUP('Données projet'!$B$12,Paramètres!$A$1:$I$89,3,0)*VLOOKUP('Données projet'!$B$12,Paramètres!$A$1:$I$89,5,0)</f>
        <v>0</v>
      </c>
      <c r="CA62" s="13" t="e">
        <f t="shared" si="39"/>
        <v>#NUM!</v>
      </c>
      <c r="CB62" s="20" t="e">
        <f t="shared" si="10"/>
        <v>#NUM!</v>
      </c>
      <c r="CC62" s="59" t="e">
        <f t="shared" si="11"/>
        <v>#NUM!</v>
      </c>
      <c r="CD62" s="59">
        <f ca="1">AVERAGE(OFFSET($CC$3,0,0,'Données projet'!$E$12+1,1))-AVERAGE(OFFSET($H$3,0,0,'Données projet'!$E$12+1,1))</f>
        <v>112.82287576550925</v>
      </c>
      <c r="CE62" s="59">
        <f t="shared" si="40"/>
        <v>317.78570695363294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>
        <f>EXP(-LN(2)/35)*CK61+(1-EXP(-LN(2)/35))/(LN(2)/35)*CG62*CH62*VLOOKUP('Données projet'!$B$12,Paramètres!$A$1:$I$89,3,0)*0.475*44/12</f>
        <v>27.778582027941972</v>
      </c>
      <c r="CL62" s="21">
        <f>EXP(-LN(2)/25)*CL61+(1-EXP(-LN(2)/25))/(LN(2)/25)*Calculateur!CG62*Calculateur!CI62*VLOOKUP('Données projet'!$B$12,Paramètres!$A$1:$I$89,3,0)*0.475*44/12</f>
        <v>4.3532796291400144</v>
      </c>
      <c r="CM62" s="21">
        <f>EXP(-LN(2)/2)*CM61+(1-EXP(-LN(2)/2))/(LN(2)/2)*CG62*CJ62*VLOOKUP('Données projet'!$B$12,Paramètres!$A$1:$I$89,3,0)*0.475*44/12</f>
        <v>2.4723373672641397E-5</v>
      </c>
      <c r="CN62" s="22">
        <f t="shared" si="12"/>
        <v>32.131886380455654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5">
      <c r="A63" s="10">
        <f t="shared" si="31"/>
        <v>60</v>
      </c>
      <c r="B63" s="73">
        <f>'Scénario référence'!$B$16*5+'Scénario référence'!$B$17*0+'Scénario référence'!$B$18*5</f>
        <v>5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1">
        <f t="shared" si="32"/>
        <v>0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3" s="11">
        <f>IF(OR('Scénario référence'!$F$8&gt;0,'Scénario référence'!$F$9&gt;0),('Scénario référence'!$F$8+'Scénario référence'!$F$9)*10,0)</f>
        <v>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18.333333333333332</v>
      </c>
      <c r="H63" s="67">
        <f t="shared" si="1"/>
        <v>183.33333333333334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0</v>
      </c>
      <c r="N63" s="13">
        <f>IF('Données projet'!$A$36&gt;35,N62+M63-V62,IF(A63&lt;'Données projet'!$A$36,$K$205^A63,IF(A63='Données projet'!$A$36,'Données projet'!$B$36,N62+M63-V62)))</f>
        <v>0</v>
      </c>
      <c r="O63" s="13">
        <f>N63*VLOOKUP('Données projet'!$B$9,Paramètres!$A$1:$I$89,3,0)*VLOOKUP('Données projet'!$B$9,Paramètres!$A$1:$I$89,5,0)</f>
        <v>0</v>
      </c>
      <c r="P63" s="13" t="e">
        <f t="shared" si="33"/>
        <v>#NUM!</v>
      </c>
      <c r="Q63" s="20" t="e">
        <f t="shared" si="53"/>
        <v>#NUM!</v>
      </c>
      <c r="R63" s="59" t="e">
        <f t="shared" si="0"/>
        <v>#NUM!</v>
      </c>
      <c r="S63" s="59">
        <f ca="1">AVERAGE(OFFSET($R$3,0,0,'Données projet'!$E$9+1,1))-AVERAGE(OFFSET($H$3,0,0,'Données projet'!$E$9+1,1))</f>
        <v>112.82287576550925</v>
      </c>
      <c r="T63" s="59">
        <f t="shared" si="34"/>
        <v>317.78570695363294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27.233860977636059</v>
      </c>
      <c r="AA63" s="21">
        <f>EXP(-LN(2)/25)*AA62+(1-EXP(-LN(2)/25))/(LN(2)/25)*Calculateur!V63*Calculateur!X63*VLOOKUP('Données projet'!$B$9,Paramètres!$A$1:$I$89,3,0)*0.475*44/12</f>
        <v>4.2342389687521544</v>
      </c>
      <c r="AB63" s="21">
        <f>EXP(-LN(2)/2)*AB62+(1-EXP(-LN(2)/2))/(LN(2)/2)*V63*Y63*VLOOKUP('Données projet'!$B$9,Paramètres!$A$1:$I$89,3,0)*0.475*44/12</f>
        <v>1.748206517773369E-5</v>
      </c>
      <c r="AC63" s="22">
        <f t="shared" si="3"/>
        <v>31.468117428453393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0</v>
      </c>
      <c r="AI63" s="13">
        <f>IF('Données projet'!$A$62&gt;35,AI62+AH63-AQ62,IF(A63&lt;'Données projet'!$A$62,$AF$205^A63,IF(A63='Données projet'!$A$62,'Données projet'!$B$62,AI62+AH63-AQ62)))</f>
        <v>0</v>
      </c>
      <c r="AJ63" s="13">
        <f>AI63*VLOOKUP('Données projet'!$B$10,Paramètres!$A$1:$I$89,3,0)*VLOOKUP('Données projet'!$B$10,Paramètres!$A$1:$I$89,5,0)</f>
        <v>0</v>
      </c>
      <c r="AK63" s="13" t="e">
        <f t="shared" si="35"/>
        <v>#NUM!</v>
      </c>
      <c r="AL63" s="20" t="e">
        <f t="shared" si="4"/>
        <v>#NUM!</v>
      </c>
      <c r="AM63" s="59" t="e">
        <f t="shared" si="5"/>
        <v>#NUM!</v>
      </c>
      <c r="AN63" s="59">
        <f ca="1">AVERAGE(OFFSET($AM$3,0,0,'Données projet'!$E$10+1,1))-AVERAGE(OFFSET($H$3,0,0,'Données projet'!$E$10+1,1))</f>
        <v>112.82287576550925</v>
      </c>
      <c r="AO63" s="59">
        <f t="shared" si="36"/>
        <v>317.78570695363294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27.233860977636059</v>
      </c>
      <c r="AV63" s="21">
        <f>EXP(-LN(2)/25)*AV62+(1-EXP(-LN(2)/25))/(LN(2)/25)*Calculateur!AQ63*Calculateur!AS63*VLOOKUP('Données projet'!$B$10,Paramètres!$A$1:$I$89,3,0)*0.475*44/12</f>
        <v>4.2342389687521544</v>
      </c>
      <c r="AW63" s="21">
        <f>EXP(-LN(2)/2)*AW62+(1-EXP(-LN(2)/2))/(LN(2)/2)*AQ63*AT63*VLOOKUP('Données projet'!$B$10,Paramètres!$A$1:$I$89,3,0)*0.475*44/12</f>
        <v>1.748206517773369E-5</v>
      </c>
      <c r="AX63" s="21">
        <f t="shared" si="6"/>
        <v>31.468117428453393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0</v>
      </c>
      <c r="BD63" s="12">
        <f>IF('Données projet'!$A$88&gt;35,BD62+BC63-BL62,IF(A63&lt;'Données projet'!$A$88,$BA$205^A63,IF(A63='Données projet'!$A$88,'Données projet'!$B$88,BD62+BC63-BL62)))</f>
        <v>0</v>
      </c>
      <c r="BE63" s="13">
        <f>BD63*VLOOKUP('Données projet'!$B$11,Paramètres!$A$1:$I$89,3,0)*VLOOKUP('Données projet'!$B$11,Paramètres!$A$1:$I$89,5,0)</f>
        <v>0</v>
      </c>
      <c r="BF63" s="13" t="e">
        <f t="shared" si="37"/>
        <v>#NUM!</v>
      </c>
      <c r="BG63" s="20" t="e">
        <f t="shared" si="7"/>
        <v>#NUM!</v>
      </c>
      <c r="BH63" s="59" t="e">
        <f t="shared" si="8"/>
        <v>#NUM!</v>
      </c>
      <c r="BI63" s="59">
        <f ca="1">AVERAGE(OFFSET($BH$3,0,0,'Données projet'!$E$11+1,1))-AVERAGE(OFFSET($H$3,0,0,'Données projet'!$E$11+1,1))</f>
        <v>112.82287576550925</v>
      </c>
      <c r="BJ63" s="59">
        <f t="shared" si="38"/>
        <v>317.78570695363294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27.233860977636059</v>
      </c>
      <c r="BQ63" s="21">
        <f>EXP(-LN(2)/25)*BQ62+(1-EXP(-LN(2)/25))/(LN(2)/25)*Calculateur!BL63*Calculateur!BN63*VLOOKUP('Données projet'!$B$11,Paramètres!$A$1:$I$89,3,0)*0.475*44/12</f>
        <v>4.2342389687521544</v>
      </c>
      <c r="BR63" s="21">
        <f>EXP(-LN(2)/2)*BR62+(1-EXP(-LN(2)/2))/(LN(2)/2)*BL63*BO63*VLOOKUP('Données projet'!$B$11,Paramètres!$A$1:$I$89,3,0)*0.475*44/12</f>
        <v>1.748206517773369E-5</v>
      </c>
      <c r="BS63" s="22">
        <f t="shared" si="9"/>
        <v>31.468117428453393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>
        <f>BY63*VLOOKUP('Données projet'!$B$12,Paramètres!$A$1:$I$89,3,0)*VLOOKUP('Données projet'!$B$12,Paramètres!$A$1:$I$89,5,0)</f>
        <v>0</v>
      </c>
      <c r="CA63" s="13" t="e">
        <f t="shared" si="39"/>
        <v>#NUM!</v>
      </c>
      <c r="CB63" s="20" t="e">
        <f t="shared" si="10"/>
        <v>#NUM!</v>
      </c>
      <c r="CC63" s="59" t="e">
        <f t="shared" si="11"/>
        <v>#NUM!</v>
      </c>
      <c r="CD63" s="59">
        <f ca="1">AVERAGE(OFFSET($CC$3,0,0,'Données projet'!$E$12+1,1))-AVERAGE(OFFSET($H$3,0,0,'Données projet'!$E$12+1,1))</f>
        <v>112.82287576550925</v>
      </c>
      <c r="CE63" s="59">
        <f t="shared" si="40"/>
        <v>317.78570695363294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>
        <f>EXP(-LN(2)/35)*CK62+(1-EXP(-LN(2)/35))/(LN(2)/35)*CG63*CH63*VLOOKUP('Données projet'!$B$12,Paramètres!$A$1:$I$89,3,0)*0.475*44/12</f>
        <v>27.233860977636059</v>
      </c>
      <c r="CL63" s="21">
        <f>EXP(-LN(2)/25)*CL62+(1-EXP(-LN(2)/25))/(LN(2)/25)*Calculateur!CG63*Calculateur!CI63*VLOOKUP('Données projet'!$B$12,Paramètres!$A$1:$I$89,3,0)*0.475*44/12</f>
        <v>4.2342389687521544</v>
      </c>
      <c r="CM63" s="21">
        <f>EXP(-LN(2)/2)*CM62+(1-EXP(-LN(2)/2))/(LN(2)/2)*CG63*CJ63*VLOOKUP('Données projet'!$B$12,Paramètres!$A$1:$I$89,3,0)*0.475*44/12</f>
        <v>1.748206517773369E-5</v>
      </c>
      <c r="CN63" s="22">
        <f t="shared" si="12"/>
        <v>31.468117428453393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5">
      <c r="A64" s="10">
        <f t="shared" si="31"/>
        <v>61</v>
      </c>
      <c r="B64" s="73">
        <f>'Scénario référence'!$B$16*5+'Scénario référence'!$B$17*0+'Scénario référence'!$B$18*5</f>
        <v>5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1">
        <f t="shared" si="32"/>
        <v>0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4" s="11">
        <f>IF(OR('Scénario référence'!$F$8&gt;0,'Scénario référence'!$F$9&gt;0),('Scénario référence'!$F$8+'Scénario référence'!$F$9)*10,0)</f>
        <v>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18.333333333333332</v>
      </c>
      <c r="H64" s="67">
        <f t="shared" si="1"/>
        <v>183.33333333333334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0</v>
      </c>
      <c r="N64" s="13">
        <f>IF('Données projet'!$A$36&gt;35,N63+M64-V63,IF(A64&lt;'Données projet'!$A$36,$K$205^A64,IF(A64='Données projet'!$A$36,'Données projet'!$B$36,N63+M64-V63)))</f>
        <v>0</v>
      </c>
      <c r="O64" s="13">
        <f>N64*VLOOKUP('Données projet'!$B$9,Paramètres!$A$1:$I$89,3,0)*VLOOKUP('Données projet'!$B$9,Paramètres!$A$1:$I$89,5,0)</f>
        <v>0</v>
      </c>
      <c r="P64" s="13" t="e">
        <f t="shared" si="33"/>
        <v>#NUM!</v>
      </c>
      <c r="Q64" s="20" t="e">
        <f t="shared" si="53"/>
        <v>#NUM!</v>
      </c>
      <c r="R64" s="59" t="e">
        <f t="shared" si="0"/>
        <v>#NUM!</v>
      </c>
      <c r="S64" s="59">
        <f ca="1">AVERAGE(OFFSET($R$3,0,0,'Données projet'!$E$9+1,1))-AVERAGE(OFFSET($H$3,0,0,'Données projet'!$E$9+1,1))</f>
        <v>112.82287576550925</v>
      </c>
      <c r="T64" s="59">
        <f t="shared" si="34"/>
        <v>317.78570695363294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26.699821574879611</v>
      </c>
      <c r="AA64" s="21">
        <f>EXP(-LN(2)/25)*AA63+(1-EXP(-LN(2)/25))/(LN(2)/25)*Calculateur!V64*Calculateur!X64*VLOOKUP('Données projet'!$B$9,Paramètres!$A$1:$I$89,3,0)*0.475*44/12</f>
        <v>4.1184534814826765</v>
      </c>
      <c r="AB64" s="21">
        <f>EXP(-LN(2)/2)*AB63+(1-EXP(-LN(2)/2))/(LN(2)/2)*V64*Y64*VLOOKUP('Données projet'!$B$9,Paramètres!$A$1:$I$89,3,0)*0.475*44/12</f>
        <v>1.2361686836320698E-5</v>
      </c>
      <c r="AC64" s="22">
        <f t="shared" si="3"/>
        <v>30.818287418049124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0</v>
      </c>
      <c r="AI64" s="13">
        <f>IF('Données projet'!$A$62&gt;35,AI63+AH64-AQ63,IF(A64&lt;'Données projet'!$A$62,$AF$205^A64,IF(A64='Données projet'!$A$62,'Données projet'!$B$62,AI63+AH64-AQ63)))</f>
        <v>0</v>
      </c>
      <c r="AJ64" s="13">
        <f>AI64*VLOOKUP('Données projet'!$B$10,Paramètres!$A$1:$I$89,3,0)*VLOOKUP('Données projet'!$B$10,Paramètres!$A$1:$I$89,5,0)</f>
        <v>0</v>
      </c>
      <c r="AK64" s="13" t="e">
        <f t="shared" si="35"/>
        <v>#NUM!</v>
      </c>
      <c r="AL64" s="20" t="e">
        <f t="shared" si="4"/>
        <v>#NUM!</v>
      </c>
      <c r="AM64" s="59" t="e">
        <f t="shared" si="5"/>
        <v>#NUM!</v>
      </c>
      <c r="AN64" s="59">
        <f ca="1">AVERAGE(OFFSET($AM$3,0,0,'Données projet'!$E$10+1,1))-AVERAGE(OFFSET($H$3,0,0,'Données projet'!$E$10+1,1))</f>
        <v>112.82287576550925</v>
      </c>
      <c r="AO64" s="59">
        <f t="shared" si="36"/>
        <v>317.78570695363294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26.699821574879611</v>
      </c>
      <c r="AV64" s="21">
        <f>EXP(-LN(2)/25)*AV63+(1-EXP(-LN(2)/25))/(LN(2)/25)*Calculateur!AQ64*Calculateur!AS64*VLOOKUP('Données projet'!$B$10,Paramètres!$A$1:$I$89,3,0)*0.475*44/12</f>
        <v>4.1184534814826765</v>
      </c>
      <c r="AW64" s="21">
        <f>EXP(-LN(2)/2)*AW63+(1-EXP(-LN(2)/2))/(LN(2)/2)*AQ64*AT64*VLOOKUP('Données projet'!$B$10,Paramètres!$A$1:$I$89,3,0)*0.475*44/12</f>
        <v>1.2361686836320698E-5</v>
      </c>
      <c r="AX64" s="21">
        <f t="shared" si="6"/>
        <v>30.818287418049124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0</v>
      </c>
      <c r="BD64" s="12">
        <f>IF('Données projet'!$A$88&gt;35,BD63+BC64-BL63,IF(A64&lt;'Données projet'!$A$88,$BA$205^A64,IF(A64='Données projet'!$A$88,'Données projet'!$B$88,BD63+BC64-BL63)))</f>
        <v>0</v>
      </c>
      <c r="BE64" s="13">
        <f>BD64*VLOOKUP('Données projet'!$B$11,Paramètres!$A$1:$I$89,3,0)*VLOOKUP('Données projet'!$B$11,Paramètres!$A$1:$I$89,5,0)</f>
        <v>0</v>
      </c>
      <c r="BF64" s="13" t="e">
        <f t="shared" si="37"/>
        <v>#NUM!</v>
      </c>
      <c r="BG64" s="20" t="e">
        <f t="shared" si="7"/>
        <v>#NUM!</v>
      </c>
      <c r="BH64" s="59" t="e">
        <f t="shared" si="8"/>
        <v>#NUM!</v>
      </c>
      <c r="BI64" s="59">
        <f ca="1">AVERAGE(OFFSET($BH$3,0,0,'Données projet'!$E$11+1,1))-AVERAGE(OFFSET($H$3,0,0,'Données projet'!$E$11+1,1))</f>
        <v>112.82287576550925</v>
      </c>
      <c r="BJ64" s="59">
        <f t="shared" si="38"/>
        <v>317.78570695363294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26.699821574879611</v>
      </c>
      <c r="BQ64" s="21">
        <f>EXP(-LN(2)/25)*BQ63+(1-EXP(-LN(2)/25))/(LN(2)/25)*Calculateur!BL64*Calculateur!BN64*VLOOKUP('Données projet'!$B$11,Paramètres!$A$1:$I$89,3,0)*0.475*44/12</f>
        <v>4.1184534814826765</v>
      </c>
      <c r="BR64" s="21">
        <f>EXP(-LN(2)/2)*BR63+(1-EXP(-LN(2)/2))/(LN(2)/2)*BL64*BO64*VLOOKUP('Données projet'!$B$11,Paramètres!$A$1:$I$89,3,0)*0.475*44/12</f>
        <v>1.2361686836320698E-5</v>
      </c>
      <c r="BS64" s="22">
        <f t="shared" si="9"/>
        <v>30.818287418049124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>
        <f>BY64*VLOOKUP('Données projet'!$B$12,Paramètres!$A$1:$I$89,3,0)*VLOOKUP('Données projet'!$B$12,Paramètres!$A$1:$I$89,5,0)</f>
        <v>0</v>
      </c>
      <c r="CA64" s="13" t="e">
        <f t="shared" si="39"/>
        <v>#NUM!</v>
      </c>
      <c r="CB64" s="20" t="e">
        <f t="shared" si="10"/>
        <v>#NUM!</v>
      </c>
      <c r="CC64" s="59" t="e">
        <f t="shared" si="11"/>
        <v>#NUM!</v>
      </c>
      <c r="CD64" s="59">
        <f ca="1">AVERAGE(OFFSET($CC$3,0,0,'Données projet'!$E$12+1,1))-AVERAGE(OFFSET($H$3,0,0,'Données projet'!$E$12+1,1))</f>
        <v>112.82287576550925</v>
      </c>
      <c r="CE64" s="59">
        <f t="shared" si="40"/>
        <v>317.78570695363294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>
        <f>EXP(-LN(2)/35)*CK63+(1-EXP(-LN(2)/35))/(LN(2)/35)*CG64*CH64*VLOOKUP('Données projet'!$B$12,Paramètres!$A$1:$I$89,3,0)*0.475*44/12</f>
        <v>26.699821574879611</v>
      </c>
      <c r="CL64" s="21">
        <f>EXP(-LN(2)/25)*CL63+(1-EXP(-LN(2)/25))/(LN(2)/25)*Calculateur!CG64*Calculateur!CI64*VLOOKUP('Données projet'!$B$12,Paramètres!$A$1:$I$89,3,0)*0.475*44/12</f>
        <v>4.1184534814826765</v>
      </c>
      <c r="CM64" s="21">
        <f>EXP(-LN(2)/2)*CM63+(1-EXP(-LN(2)/2))/(LN(2)/2)*CG64*CJ64*VLOOKUP('Données projet'!$B$12,Paramètres!$A$1:$I$89,3,0)*0.475*44/12</f>
        <v>1.2361686836320698E-5</v>
      </c>
      <c r="CN64" s="22">
        <f t="shared" si="12"/>
        <v>30.818287418049124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5">
      <c r="A65" s="10">
        <f t="shared" si="31"/>
        <v>62</v>
      </c>
      <c r="B65" s="73">
        <f>'Scénario référence'!$B$16*5+'Scénario référence'!$B$17*0+'Scénario référence'!$B$18*5</f>
        <v>5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1">
        <f t="shared" si="32"/>
        <v>0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5" s="11">
        <f>IF(OR('Scénario référence'!$F$8&gt;0,'Scénario référence'!$F$9&gt;0),('Scénario référence'!$F$8+'Scénario référence'!$F$9)*10,0)</f>
        <v>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18.333333333333332</v>
      </c>
      <c r="H65" s="67">
        <f t="shared" si="1"/>
        <v>183.33333333333334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0</v>
      </c>
      <c r="N65" s="13">
        <f>IF('Données projet'!$A$36&gt;35,N64+M65-V64,IF(A65&lt;'Données projet'!$A$36,$K$205^A65,IF(A65='Données projet'!$A$36,'Données projet'!$B$36,N64+M65-V64)))</f>
        <v>0</v>
      </c>
      <c r="O65" s="13">
        <f>N65*VLOOKUP('Données projet'!$B$9,Paramètres!$A$1:$I$89,3,0)*VLOOKUP('Données projet'!$B$9,Paramètres!$A$1:$I$89,5,0)</f>
        <v>0</v>
      </c>
      <c r="P65" s="13" t="e">
        <f t="shared" si="33"/>
        <v>#NUM!</v>
      </c>
      <c r="Q65" s="20" t="e">
        <f t="shared" si="53"/>
        <v>#NUM!</v>
      </c>
      <c r="R65" s="59" t="e">
        <f t="shared" si="0"/>
        <v>#NUM!</v>
      </c>
      <c r="S65" s="59">
        <f ca="1">AVERAGE(OFFSET($R$3,0,0,'Données projet'!$E$9+1,1))-AVERAGE(OFFSET($H$3,0,0,'Données projet'!$E$9+1,1))</f>
        <v>112.82287576550925</v>
      </c>
      <c r="T65" s="59">
        <f t="shared" si="34"/>
        <v>317.78570695363294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26.176254359079344</v>
      </c>
      <c r="AA65" s="21">
        <f>EXP(-LN(2)/25)*AA64+(1-EXP(-LN(2)/25))/(LN(2)/25)*Calculateur!V65*Calculateur!X65*VLOOKUP('Données projet'!$B$9,Paramètres!$A$1:$I$89,3,0)*0.475*44/12</f>
        <v>4.0058341544514766</v>
      </c>
      <c r="AB65" s="21">
        <f>EXP(-LN(2)/2)*AB64+(1-EXP(-LN(2)/2))/(LN(2)/2)*V65*Y65*VLOOKUP('Données projet'!$B$9,Paramètres!$A$1:$I$89,3,0)*0.475*44/12</f>
        <v>8.7410325888668449E-6</v>
      </c>
      <c r="AC65" s="22">
        <f t="shared" si="3"/>
        <v>30.182097254563409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0</v>
      </c>
      <c r="AI65" s="13">
        <f>IF('Données projet'!$A$62&gt;35,AI64+AH65-AQ64,IF(A65&lt;'Données projet'!$A$62,$AF$205^A65,IF(A65='Données projet'!$A$62,'Données projet'!$B$62,AI64+AH65-AQ64)))</f>
        <v>0</v>
      </c>
      <c r="AJ65" s="13">
        <f>AI65*VLOOKUP('Données projet'!$B$10,Paramètres!$A$1:$I$89,3,0)*VLOOKUP('Données projet'!$B$10,Paramètres!$A$1:$I$89,5,0)</f>
        <v>0</v>
      </c>
      <c r="AK65" s="13" t="e">
        <f t="shared" si="35"/>
        <v>#NUM!</v>
      </c>
      <c r="AL65" s="20" t="e">
        <f t="shared" si="4"/>
        <v>#NUM!</v>
      </c>
      <c r="AM65" s="59" t="e">
        <f t="shared" si="5"/>
        <v>#NUM!</v>
      </c>
      <c r="AN65" s="59">
        <f ca="1">AVERAGE(OFFSET($AM$3,0,0,'Données projet'!$E$10+1,1))-AVERAGE(OFFSET($H$3,0,0,'Données projet'!$E$10+1,1))</f>
        <v>112.82287576550925</v>
      </c>
      <c r="AO65" s="59">
        <f t="shared" si="36"/>
        <v>317.78570695363294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26.176254359079344</v>
      </c>
      <c r="AV65" s="21">
        <f>EXP(-LN(2)/25)*AV64+(1-EXP(-LN(2)/25))/(LN(2)/25)*Calculateur!AQ65*Calculateur!AS65*VLOOKUP('Données projet'!$B$10,Paramètres!$A$1:$I$89,3,0)*0.475*44/12</f>
        <v>4.0058341544514766</v>
      </c>
      <c r="AW65" s="21">
        <f>EXP(-LN(2)/2)*AW64+(1-EXP(-LN(2)/2))/(LN(2)/2)*AQ65*AT65*VLOOKUP('Données projet'!$B$10,Paramètres!$A$1:$I$89,3,0)*0.475*44/12</f>
        <v>8.7410325888668449E-6</v>
      </c>
      <c r="AX65" s="21">
        <f t="shared" si="6"/>
        <v>30.182097254563409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0</v>
      </c>
      <c r="BD65" s="12">
        <f>IF('Données projet'!$A$88&gt;35,BD64+BC65-BL64,IF(A65&lt;'Données projet'!$A$88,$BA$205^A65,IF(A65='Données projet'!$A$88,'Données projet'!$B$88,BD64+BC65-BL64)))</f>
        <v>0</v>
      </c>
      <c r="BE65" s="13">
        <f>BD65*VLOOKUP('Données projet'!$B$11,Paramètres!$A$1:$I$89,3,0)*VLOOKUP('Données projet'!$B$11,Paramètres!$A$1:$I$89,5,0)</f>
        <v>0</v>
      </c>
      <c r="BF65" s="13" t="e">
        <f t="shared" si="37"/>
        <v>#NUM!</v>
      </c>
      <c r="BG65" s="20" t="e">
        <f t="shared" si="7"/>
        <v>#NUM!</v>
      </c>
      <c r="BH65" s="59" t="e">
        <f t="shared" si="8"/>
        <v>#NUM!</v>
      </c>
      <c r="BI65" s="59">
        <f ca="1">AVERAGE(OFFSET($BH$3,0,0,'Données projet'!$E$11+1,1))-AVERAGE(OFFSET($H$3,0,0,'Données projet'!$E$11+1,1))</f>
        <v>112.82287576550925</v>
      </c>
      <c r="BJ65" s="59">
        <f t="shared" si="38"/>
        <v>317.78570695363294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26.176254359079344</v>
      </c>
      <c r="BQ65" s="21">
        <f>EXP(-LN(2)/25)*BQ64+(1-EXP(-LN(2)/25))/(LN(2)/25)*Calculateur!BL65*Calculateur!BN65*VLOOKUP('Données projet'!$B$11,Paramètres!$A$1:$I$89,3,0)*0.475*44/12</f>
        <v>4.0058341544514766</v>
      </c>
      <c r="BR65" s="21">
        <f>EXP(-LN(2)/2)*BR64+(1-EXP(-LN(2)/2))/(LN(2)/2)*BL65*BO65*VLOOKUP('Données projet'!$B$11,Paramètres!$A$1:$I$89,3,0)*0.475*44/12</f>
        <v>8.7410325888668449E-6</v>
      </c>
      <c r="BS65" s="22">
        <f t="shared" si="9"/>
        <v>30.182097254563409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>
        <f>BY65*VLOOKUP('Données projet'!$B$12,Paramètres!$A$1:$I$89,3,0)*VLOOKUP('Données projet'!$B$12,Paramètres!$A$1:$I$89,5,0)</f>
        <v>0</v>
      </c>
      <c r="CA65" s="13" t="e">
        <f t="shared" si="39"/>
        <v>#NUM!</v>
      </c>
      <c r="CB65" s="20" t="e">
        <f t="shared" si="10"/>
        <v>#NUM!</v>
      </c>
      <c r="CC65" s="59" t="e">
        <f t="shared" si="11"/>
        <v>#NUM!</v>
      </c>
      <c r="CD65" s="59">
        <f ca="1">AVERAGE(OFFSET($CC$3,0,0,'Données projet'!$E$12+1,1))-AVERAGE(OFFSET($H$3,0,0,'Données projet'!$E$12+1,1))</f>
        <v>112.82287576550925</v>
      </c>
      <c r="CE65" s="59">
        <f t="shared" si="40"/>
        <v>317.78570695363294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>
        <f>EXP(-LN(2)/35)*CK64+(1-EXP(-LN(2)/35))/(LN(2)/35)*CG65*CH65*VLOOKUP('Données projet'!$B$12,Paramètres!$A$1:$I$89,3,0)*0.475*44/12</f>
        <v>26.176254359079344</v>
      </c>
      <c r="CL65" s="21">
        <f>EXP(-LN(2)/25)*CL64+(1-EXP(-LN(2)/25))/(LN(2)/25)*Calculateur!CG65*Calculateur!CI65*VLOOKUP('Données projet'!$B$12,Paramètres!$A$1:$I$89,3,0)*0.475*44/12</f>
        <v>4.0058341544514766</v>
      </c>
      <c r="CM65" s="21">
        <f>EXP(-LN(2)/2)*CM64+(1-EXP(-LN(2)/2))/(LN(2)/2)*CG65*CJ65*VLOOKUP('Données projet'!$B$12,Paramètres!$A$1:$I$89,3,0)*0.475*44/12</f>
        <v>8.7410325888668449E-6</v>
      </c>
      <c r="CN65" s="22">
        <f t="shared" si="12"/>
        <v>30.182097254563409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5">
      <c r="A66" s="10">
        <f t="shared" si="31"/>
        <v>63</v>
      </c>
      <c r="B66" s="73">
        <f>'Scénario référence'!$B$16*5+'Scénario référence'!$B$17*0+'Scénario référence'!$B$18*5</f>
        <v>5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1">
        <f t="shared" si="32"/>
        <v>0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6" s="11">
        <f>IF(OR('Scénario référence'!$F$8&gt;0,'Scénario référence'!$F$9&gt;0),('Scénario référence'!$F$8+'Scénario référence'!$F$9)*10,0)</f>
        <v>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18.333333333333332</v>
      </c>
      <c r="H66" s="67">
        <f t="shared" si="1"/>
        <v>183.33333333333334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0</v>
      </c>
      <c r="N66" s="13">
        <f>IF('Données projet'!$A$36&gt;35,N65+M66-V65,IF(A66&lt;'Données projet'!$A$36,$K$205^A66,IF(A66='Données projet'!$A$36,'Données projet'!$B$36,N65+M66-V65)))</f>
        <v>0</v>
      </c>
      <c r="O66" s="13">
        <f>N66*VLOOKUP('Données projet'!$B$9,Paramètres!$A$1:$I$89,3,0)*VLOOKUP('Données projet'!$B$9,Paramètres!$A$1:$I$89,5,0)</f>
        <v>0</v>
      </c>
      <c r="P66" s="13" t="e">
        <f t="shared" si="33"/>
        <v>#NUM!</v>
      </c>
      <c r="Q66" s="20" t="e">
        <f t="shared" si="53"/>
        <v>#NUM!</v>
      </c>
      <c r="R66" s="59" t="e">
        <f t="shared" si="0"/>
        <v>#NUM!</v>
      </c>
      <c r="S66" s="59">
        <f ca="1">AVERAGE(OFFSET($R$3,0,0,'Données projet'!$E$9+1,1))-AVERAGE(OFFSET($H$3,0,0,'Données projet'!$E$9+1,1))</f>
        <v>112.82287576550925</v>
      </c>
      <c r="T66" s="59">
        <f t="shared" si="34"/>
        <v>317.78570695363294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25.662953977036452</v>
      </c>
      <c r="AA66" s="21">
        <f>EXP(-LN(2)/25)*AA65+(1-EXP(-LN(2)/25))/(LN(2)/25)*Calculateur!V66*Calculateur!X66*VLOOKUP('Données projet'!$B$9,Paramètres!$A$1:$I$89,3,0)*0.475*44/12</f>
        <v>3.8962944088403382</v>
      </c>
      <c r="AB66" s="21">
        <f>EXP(-LN(2)/2)*AB65+(1-EXP(-LN(2)/2))/(LN(2)/2)*V66*Y66*VLOOKUP('Données projet'!$B$9,Paramètres!$A$1:$I$89,3,0)*0.475*44/12</f>
        <v>6.1808434181603492E-6</v>
      </c>
      <c r="AC66" s="22">
        <f t="shared" si="3"/>
        <v>29.559254566720206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0</v>
      </c>
      <c r="AI66" s="13">
        <f>IF('Données projet'!$A$62&gt;35,AI65+AH66-AQ65,IF(A66&lt;'Données projet'!$A$62,$AF$205^A66,IF(A66='Données projet'!$A$62,'Données projet'!$B$62,AI65+AH66-AQ65)))</f>
        <v>0</v>
      </c>
      <c r="AJ66" s="13">
        <f>AI66*VLOOKUP('Données projet'!$B$10,Paramètres!$A$1:$I$89,3,0)*VLOOKUP('Données projet'!$B$10,Paramètres!$A$1:$I$89,5,0)</f>
        <v>0</v>
      </c>
      <c r="AK66" s="13" t="e">
        <f t="shared" si="35"/>
        <v>#NUM!</v>
      </c>
      <c r="AL66" s="20" t="e">
        <f t="shared" si="4"/>
        <v>#NUM!</v>
      </c>
      <c r="AM66" s="59" t="e">
        <f t="shared" si="5"/>
        <v>#NUM!</v>
      </c>
      <c r="AN66" s="59">
        <f ca="1">AVERAGE(OFFSET($AM$3,0,0,'Données projet'!$E$10+1,1))-AVERAGE(OFFSET($H$3,0,0,'Données projet'!$E$10+1,1))</f>
        <v>112.82287576550925</v>
      </c>
      <c r="AO66" s="59">
        <f t="shared" si="36"/>
        <v>317.78570695363294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25.662953977036452</v>
      </c>
      <c r="AV66" s="21">
        <f>EXP(-LN(2)/25)*AV65+(1-EXP(-LN(2)/25))/(LN(2)/25)*Calculateur!AQ66*Calculateur!AS66*VLOOKUP('Données projet'!$B$10,Paramètres!$A$1:$I$89,3,0)*0.475*44/12</f>
        <v>3.8962944088403382</v>
      </c>
      <c r="AW66" s="21">
        <f>EXP(-LN(2)/2)*AW65+(1-EXP(-LN(2)/2))/(LN(2)/2)*AQ66*AT66*VLOOKUP('Données projet'!$B$10,Paramètres!$A$1:$I$89,3,0)*0.475*44/12</f>
        <v>6.1808434181603492E-6</v>
      </c>
      <c r="AX66" s="21">
        <f t="shared" si="6"/>
        <v>29.559254566720206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0</v>
      </c>
      <c r="BD66" s="12">
        <f>IF('Données projet'!$A$88&gt;35,BD65+BC66-BL65,IF(A66&lt;'Données projet'!$A$88,$BA$205^A66,IF(A66='Données projet'!$A$88,'Données projet'!$B$88,BD65+BC66-BL65)))</f>
        <v>0</v>
      </c>
      <c r="BE66" s="13">
        <f>BD66*VLOOKUP('Données projet'!$B$11,Paramètres!$A$1:$I$89,3,0)*VLOOKUP('Données projet'!$B$11,Paramètres!$A$1:$I$89,5,0)</f>
        <v>0</v>
      </c>
      <c r="BF66" s="13" t="e">
        <f t="shared" si="37"/>
        <v>#NUM!</v>
      </c>
      <c r="BG66" s="20" t="e">
        <f t="shared" si="7"/>
        <v>#NUM!</v>
      </c>
      <c r="BH66" s="59" t="e">
        <f t="shared" si="8"/>
        <v>#NUM!</v>
      </c>
      <c r="BI66" s="59">
        <f ca="1">AVERAGE(OFFSET($BH$3,0,0,'Données projet'!$E$11+1,1))-AVERAGE(OFFSET($H$3,0,0,'Données projet'!$E$11+1,1))</f>
        <v>112.82287576550925</v>
      </c>
      <c r="BJ66" s="59">
        <f t="shared" si="38"/>
        <v>317.78570695363294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25.662953977036452</v>
      </c>
      <c r="BQ66" s="21">
        <f>EXP(-LN(2)/25)*BQ65+(1-EXP(-LN(2)/25))/(LN(2)/25)*Calculateur!BL66*Calculateur!BN66*VLOOKUP('Données projet'!$B$11,Paramètres!$A$1:$I$89,3,0)*0.475*44/12</f>
        <v>3.8962944088403382</v>
      </c>
      <c r="BR66" s="21">
        <f>EXP(-LN(2)/2)*BR65+(1-EXP(-LN(2)/2))/(LN(2)/2)*BL66*BO66*VLOOKUP('Données projet'!$B$11,Paramètres!$A$1:$I$89,3,0)*0.475*44/12</f>
        <v>6.1808434181603492E-6</v>
      </c>
      <c r="BS66" s="22">
        <f t="shared" si="9"/>
        <v>29.559254566720206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>
        <f>BY66*VLOOKUP('Données projet'!$B$12,Paramètres!$A$1:$I$89,3,0)*VLOOKUP('Données projet'!$B$12,Paramètres!$A$1:$I$89,5,0)</f>
        <v>0</v>
      </c>
      <c r="CA66" s="13" t="e">
        <f t="shared" si="39"/>
        <v>#NUM!</v>
      </c>
      <c r="CB66" s="20" t="e">
        <f t="shared" si="10"/>
        <v>#NUM!</v>
      </c>
      <c r="CC66" s="59" t="e">
        <f t="shared" si="11"/>
        <v>#NUM!</v>
      </c>
      <c r="CD66" s="59">
        <f ca="1">AVERAGE(OFFSET($CC$3,0,0,'Données projet'!$E$12+1,1))-AVERAGE(OFFSET($H$3,0,0,'Données projet'!$E$12+1,1))</f>
        <v>112.82287576550925</v>
      </c>
      <c r="CE66" s="59">
        <f t="shared" si="40"/>
        <v>317.78570695363294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>
        <f>EXP(-LN(2)/35)*CK65+(1-EXP(-LN(2)/35))/(LN(2)/35)*CG66*CH66*VLOOKUP('Données projet'!$B$12,Paramètres!$A$1:$I$89,3,0)*0.475*44/12</f>
        <v>25.662953977036452</v>
      </c>
      <c r="CL66" s="21">
        <f>EXP(-LN(2)/25)*CL65+(1-EXP(-LN(2)/25))/(LN(2)/25)*Calculateur!CG66*Calculateur!CI66*VLOOKUP('Données projet'!$B$12,Paramètres!$A$1:$I$89,3,0)*0.475*44/12</f>
        <v>3.8962944088403382</v>
      </c>
      <c r="CM66" s="21">
        <f>EXP(-LN(2)/2)*CM65+(1-EXP(-LN(2)/2))/(LN(2)/2)*CG66*CJ66*VLOOKUP('Données projet'!$B$12,Paramètres!$A$1:$I$89,3,0)*0.475*44/12</f>
        <v>6.1808434181603492E-6</v>
      </c>
      <c r="CN66" s="22">
        <f t="shared" si="12"/>
        <v>29.559254566720206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5">
      <c r="A67" s="10">
        <f t="shared" si="31"/>
        <v>64</v>
      </c>
      <c r="B67" s="73">
        <f>'Scénario référence'!$B$16*5+'Scénario référence'!$B$17*0+'Scénario référence'!$B$18*5</f>
        <v>5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1">
        <f t="shared" si="32"/>
        <v>0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7" s="11">
        <f>IF(OR('Scénario référence'!$F$8&gt;0,'Scénario référence'!$F$9&gt;0),('Scénario référence'!$F$8+'Scénario référence'!$F$9)*10,0)</f>
        <v>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18.333333333333332</v>
      </c>
      <c r="H67" s="67">
        <f t="shared" si="1"/>
        <v>183.33333333333334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0</v>
      </c>
      <c r="N67" s="13">
        <f>IF('Données projet'!$A$36&gt;35,N66+M67-V66,IF(A67&lt;'Données projet'!$A$36,$K$205^A67,IF(A67='Données projet'!$A$36,'Données projet'!$B$36,N66+M67-V66)))</f>
        <v>0</v>
      </c>
      <c r="O67" s="13">
        <f>N67*VLOOKUP('Données projet'!$B$9,Paramètres!$A$1:$I$89,3,0)*VLOOKUP('Données projet'!$B$9,Paramètres!$A$1:$I$89,5,0)</f>
        <v>0</v>
      </c>
      <c r="P67" s="13" t="e">
        <f t="shared" si="33"/>
        <v>#NUM!</v>
      </c>
      <c r="Q67" s="20" t="e">
        <f t="shared" ref="Q67:Q98" si="54">(O67+P67)*0.475*44/12</f>
        <v>#NUM!</v>
      </c>
      <c r="R67" s="59" t="e">
        <f t="shared" ref="R67:R130" si="55">Q67+(I67+J67)*44/12</f>
        <v>#NUM!</v>
      </c>
      <c r="S67" s="59">
        <f ca="1">AVERAGE(OFFSET($R$3,0,0,'Données projet'!$E$9+1,1))-AVERAGE(OFFSET($H$3,0,0,'Données projet'!$E$9+1,1))</f>
        <v>112.82287576550925</v>
      </c>
      <c r="T67" s="59">
        <f t="shared" si="34"/>
        <v>317.78570695363294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25.159719102403102</v>
      </c>
      <c r="AA67" s="21">
        <f>EXP(-LN(2)/25)*AA66+(1-EXP(-LN(2)/25))/(LN(2)/25)*Calculateur!V67*Calculateur!X67*VLOOKUP('Données projet'!$B$9,Paramètres!$A$1:$I$89,3,0)*0.475*44/12</f>
        <v>3.7897500333333811</v>
      </c>
      <c r="AB67" s="21">
        <f>EXP(-LN(2)/2)*AB66+(1-EXP(-LN(2)/2))/(LN(2)/2)*V67*Y67*VLOOKUP('Données projet'!$B$9,Paramètres!$A$1:$I$89,3,0)*0.475*44/12</f>
        <v>4.3705162944334225E-6</v>
      </c>
      <c r="AC67" s="22">
        <f t="shared" si="3"/>
        <v>28.949473506252776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0</v>
      </c>
      <c r="AI67" s="13">
        <f>IF('Données projet'!$A$62&gt;35,AI66+AH67-AQ66,IF(A67&lt;'Données projet'!$A$62,$AF$205^A67,IF(A67='Données projet'!$A$62,'Données projet'!$B$62,AI66+AH67-AQ66)))</f>
        <v>0</v>
      </c>
      <c r="AJ67" s="13">
        <f>AI67*VLOOKUP('Données projet'!$B$10,Paramètres!$A$1:$I$89,3,0)*VLOOKUP('Données projet'!$B$10,Paramètres!$A$1:$I$89,5,0)</f>
        <v>0</v>
      </c>
      <c r="AK67" s="13" t="e">
        <f t="shared" si="35"/>
        <v>#NUM!</v>
      </c>
      <c r="AL67" s="20" t="e">
        <f t="shared" si="4"/>
        <v>#NUM!</v>
      </c>
      <c r="AM67" s="59" t="e">
        <f t="shared" si="5"/>
        <v>#NUM!</v>
      </c>
      <c r="AN67" s="59">
        <f ca="1">AVERAGE(OFFSET($AM$3,0,0,'Données projet'!$E$10+1,1))-AVERAGE(OFFSET($H$3,0,0,'Données projet'!$E$10+1,1))</f>
        <v>112.82287576550925</v>
      </c>
      <c r="AO67" s="59">
        <f t="shared" si="36"/>
        <v>317.78570695363294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25.159719102403102</v>
      </c>
      <c r="AV67" s="21">
        <f>EXP(-LN(2)/25)*AV66+(1-EXP(-LN(2)/25))/(LN(2)/25)*Calculateur!AQ67*Calculateur!AS67*VLOOKUP('Données projet'!$B$10,Paramètres!$A$1:$I$89,3,0)*0.475*44/12</f>
        <v>3.7897500333333811</v>
      </c>
      <c r="AW67" s="21">
        <f>EXP(-LN(2)/2)*AW66+(1-EXP(-LN(2)/2))/(LN(2)/2)*AQ67*AT67*VLOOKUP('Données projet'!$B$10,Paramètres!$A$1:$I$89,3,0)*0.475*44/12</f>
        <v>4.3705162944334225E-6</v>
      </c>
      <c r="AX67" s="21">
        <f t="shared" si="6"/>
        <v>28.949473506252776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0</v>
      </c>
      <c r="BD67" s="12">
        <f>IF('Données projet'!$A$88&gt;35,BD66+BC67-BL66,IF(A67&lt;'Données projet'!$A$88,$BA$205^A67,IF(A67='Données projet'!$A$88,'Données projet'!$B$88,BD66+BC67-BL66)))</f>
        <v>0</v>
      </c>
      <c r="BE67" s="13">
        <f>BD67*VLOOKUP('Données projet'!$B$11,Paramètres!$A$1:$I$89,3,0)*VLOOKUP('Données projet'!$B$11,Paramètres!$A$1:$I$89,5,0)</f>
        <v>0</v>
      </c>
      <c r="BF67" s="13" t="e">
        <f t="shared" si="37"/>
        <v>#NUM!</v>
      </c>
      <c r="BG67" s="20" t="e">
        <f t="shared" si="7"/>
        <v>#NUM!</v>
      </c>
      <c r="BH67" s="59" t="e">
        <f t="shared" si="8"/>
        <v>#NUM!</v>
      </c>
      <c r="BI67" s="59">
        <f ca="1">AVERAGE(OFFSET($BH$3,0,0,'Données projet'!$E$11+1,1))-AVERAGE(OFFSET($H$3,0,0,'Données projet'!$E$11+1,1))</f>
        <v>112.82287576550925</v>
      </c>
      <c r="BJ67" s="59">
        <f t="shared" si="38"/>
        <v>317.78570695363294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25.159719102403102</v>
      </c>
      <c r="BQ67" s="21">
        <f>EXP(-LN(2)/25)*BQ66+(1-EXP(-LN(2)/25))/(LN(2)/25)*Calculateur!BL67*Calculateur!BN67*VLOOKUP('Données projet'!$B$11,Paramètres!$A$1:$I$89,3,0)*0.475*44/12</f>
        <v>3.7897500333333811</v>
      </c>
      <c r="BR67" s="21">
        <f>EXP(-LN(2)/2)*BR66+(1-EXP(-LN(2)/2))/(LN(2)/2)*BL67*BO67*VLOOKUP('Données projet'!$B$11,Paramètres!$A$1:$I$89,3,0)*0.475*44/12</f>
        <v>4.3705162944334225E-6</v>
      </c>
      <c r="BS67" s="22">
        <f t="shared" si="9"/>
        <v>28.949473506252776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>
        <f>BY67*VLOOKUP('Données projet'!$B$12,Paramètres!$A$1:$I$89,3,0)*VLOOKUP('Données projet'!$B$12,Paramètres!$A$1:$I$89,5,0)</f>
        <v>0</v>
      </c>
      <c r="CA67" s="13" t="e">
        <f t="shared" si="39"/>
        <v>#NUM!</v>
      </c>
      <c r="CB67" s="20" t="e">
        <f t="shared" si="10"/>
        <v>#NUM!</v>
      </c>
      <c r="CC67" s="59" t="e">
        <f t="shared" si="11"/>
        <v>#NUM!</v>
      </c>
      <c r="CD67" s="59">
        <f ca="1">AVERAGE(OFFSET($CC$3,0,0,'Données projet'!$E$12+1,1))-AVERAGE(OFFSET($H$3,0,0,'Données projet'!$E$12+1,1))</f>
        <v>112.82287576550925</v>
      </c>
      <c r="CE67" s="59">
        <f t="shared" si="40"/>
        <v>317.78570695363294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>
        <f>EXP(-LN(2)/35)*CK66+(1-EXP(-LN(2)/35))/(LN(2)/35)*CG67*CH67*VLOOKUP('Données projet'!$B$12,Paramètres!$A$1:$I$89,3,0)*0.475*44/12</f>
        <v>25.159719102403102</v>
      </c>
      <c r="CL67" s="21">
        <f>EXP(-LN(2)/25)*CL66+(1-EXP(-LN(2)/25))/(LN(2)/25)*Calculateur!CG67*Calculateur!CI67*VLOOKUP('Données projet'!$B$12,Paramètres!$A$1:$I$89,3,0)*0.475*44/12</f>
        <v>3.7897500333333811</v>
      </c>
      <c r="CM67" s="21">
        <f>EXP(-LN(2)/2)*CM66+(1-EXP(-LN(2)/2))/(LN(2)/2)*CG67*CJ67*VLOOKUP('Données projet'!$B$12,Paramètres!$A$1:$I$89,3,0)*0.475*44/12</f>
        <v>4.3705162944334225E-6</v>
      </c>
      <c r="CN67" s="22">
        <f t="shared" si="12"/>
        <v>28.949473506252776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5">
      <c r="A68" s="10">
        <f t="shared" si="31"/>
        <v>65</v>
      </c>
      <c r="B68" s="73">
        <f>'Scénario référence'!$B$16*5+'Scénario référence'!$B$17*0+'Scénario référence'!$B$18*5</f>
        <v>5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1">
        <f t="shared" si="32"/>
        <v>0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8" s="11">
        <f>IF(OR('Scénario référence'!$F$8&gt;0,'Scénario référence'!$F$9&gt;0),('Scénario référence'!$F$8+'Scénario référence'!$F$9)*10,0)</f>
        <v>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18.333333333333332</v>
      </c>
      <c r="H68" s="67">
        <f t="shared" ref="H68:H131" si="56">(B68+E68+F68)*44/12+(C68+D68)*0.475*44/12</f>
        <v>183.33333333333334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0</v>
      </c>
      <c r="N68" s="13">
        <f>IF('Données projet'!$A$36&gt;35,N67+M68-V67,IF(A68&lt;'Données projet'!$A$36,$K$205^A68,IF(A68='Données projet'!$A$36,'Données projet'!$B$36,N67+M68-V67)))</f>
        <v>0</v>
      </c>
      <c r="O68" s="13">
        <f>N68*VLOOKUP('Données projet'!$B$9,Paramètres!$A$1:$I$89,3,0)*VLOOKUP('Données projet'!$B$9,Paramètres!$A$1:$I$89,5,0)</f>
        <v>0</v>
      </c>
      <c r="P68" s="13" t="e">
        <f t="shared" si="33"/>
        <v>#NUM!</v>
      </c>
      <c r="Q68" s="20" t="e">
        <f t="shared" si="54"/>
        <v>#NUM!</v>
      </c>
      <c r="R68" s="59" t="e">
        <f t="shared" si="55"/>
        <v>#NUM!</v>
      </c>
      <c r="S68" s="59">
        <f ca="1">AVERAGE(OFFSET($R$3,0,0,'Données projet'!$E$9+1,1))-AVERAGE(OFFSET($H$3,0,0,'Données projet'!$E$9+1,1))</f>
        <v>112.82287576550925</v>
      </c>
      <c r="T68" s="59">
        <f t="shared" si="34"/>
        <v>317.78570695363294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24.666352356718345</v>
      </c>
      <c r="AA68" s="21">
        <f>EXP(-LN(2)/25)*AA67+(1-EXP(-LN(2)/25))/(LN(2)/25)*Calculateur!V68*Calculateur!X68*VLOOKUP('Données projet'!$B$9,Paramètres!$A$1:$I$89,3,0)*0.475*44/12</f>
        <v>3.6861191193775871</v>
      </c>
      <c r="AB68" s="21">
        <f>EXP(-LN(2)/2)*AB67+(1-EXP(-LN(2)/2))/(LN(2)/2)*V68*Y68*VLOOKUP('Données projet'!$B$9,Paramètres!$A$1:$I$89,3,0)*0.475*44/12</f>
        <v>3.0904217090801746E-6</v>
      </c>
      <c r="AC68" s="22">
        <f t="shared" ref="AC68:AC131" si="57">SUM(Z68:AB68)</f>
        <v>28.352474566517643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0</v>
      </c>
      <c r="AI68" s="13">
        <f>IF('Données projet'!$A$62&gt;35,AI67+AH68-AQ67,IF(A68&lt;'Données projet'!$A$62,$AF$205^A68,IF(A68='Données projet'!$A$62,'Données projet'!$B$62,AI67+AH68-AQ67)))</f>
        <v>0</v>
      </c>
      <c r="AJ68" s="13">
        <f>AI68*VLOOKUP('Données projet'!$B$10,Paramètres!$A$1:$I$89,3,0)*VLOOKUP('Données projet'!$B$10,Paramètres!$A$1:$I$89,5,0)</f>
        <v>0</v>
      </c>
      <c r="AK68" s="13" t="e">
        <f t="shared" si="35"/>
        <v>#NUM!</v>
      </c>
      <c r="AL68" s="20" t="e">
        <f t="shared" ref="AL68:AL131" si="58">(AJ68+AK68)*0.475*44/12</f>
        <v>#NUM!</v>
      </c>
      <c r="AM68" s="59" t="e">
        <f t="shared" ref="AM68:AM131" si="59">AL68+(AD68+AE68)*44/12</f>
        <v>#NUM!</v>
      </c>
      <c r="AN68" s="59">
        <f ca="1">AVERAGE(OFFSET($AM$3,0,0,'Données projet'!$E$10+1,1))-AVERAGE(OFFSET($H$3,0,0,'Données projet'!$E$10+1,1))</f>
        <v>112.82287576550925</v>
      </c>
      <c r="AO68" s="59">
        <f t="shared" si="36"/>
        <v>317.78570695363294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24.666352356718345</v>
      </c>
      <c r="AV68" s="21">
        <f>EXP(-LN(2)/25)*AV67+(1-EXP(-LN(2)/25))/(LN(2)/25)*Calculateur!AQ68*Calculateur!AS68*VLOOKUP('Données projet'!$B$10,Paramètres!$A$1:$I$89,3,0)*0.475*44/12</f>
        <v>3.6861191193775871</v>
      </c>
      <c r="AW68" s="21">
        <f>EXP(-LN(2)/2)*AW67+(1-EXP(-LN(2)/2))/(LN(2)/2)*AQ68*AT68*VLOOKUP('Données projet'!$B$10,Paramètres!$A$1:$I$89,3,0)*0.475*44/12</f>
        <v>3.0904217090801746E-6</v>
      </c>
      <c r="AX68" s="21">
        <f t="shared" ref="AX68:AX131" si="60">SUM(AU68:AW68)</f>
        <v>28.352474566517643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0</v>
      </c>
      <c r="BD68" s="12">
        <f>IF('Données projet'!$A$88&gt;35,BD67+BC68-BL67,IF(A68&lt;'Données projet'!$A$88,$BA$205^A68,IF(A68='Données projet'!$A$88,'Données projet'!$B$88,BD67+BC68-BL67)))</f>
        <v>0</v>
      </c>
      <c r="BE68" s="13">
        <f>BD68*VLOOKUP('Données projet'!$B$11,Paramètres!$A$1:$I$89,3,0)*VLOOKUP('Données projet'!$B$11,Paramètres!$A$1:$I$89,5,0)</f>
        <v>0</v>
      </c>
      <c r="BF68" s="13" t="e">
        <f t="shared" si="37"/>
        <v>#NUM!</v>
      </c>
      <c r="BG68" s="20" t="e">
        <f t="shared" ref="BG68:BG131" si="61">(BE68+BF68)*0.475*44/12</f>
        <v>#NUM!</v>
      </c>
      <c r="BH68" s="59" t="e">
        <f t="shared" ref="BH68:BH131" si="62">BG68+(AY68+AZ68)*44/12</f>
        <v>#NUM!</v>
      </c>
      <c r="BI68" s="59">
        <f ca="1">AVERAGE(OFFSET($BH$3,0,0,'Données projet'!$E$11+1,1))-AVERAGE(OFFSET($H$3,0,0,'Données projet'!$E$11+1,1))</f>
        <v>112.82287576550925</v>
      </c>
      <c r="BJ68" s="59">
        <f t="shared" si="38"/>
        <v>317.78570695363294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24.666352356718345</v>
      </c>
      <c r="BQ68" s="21">
        <f>EXP(-LN(2)/25)*BQ67+(1-EXP(-LN(2)/25))/(LN(2)/25)*Calculateur!BL68*Calculateur!BN68*VLOOKUP('Données projet'!$B$11,Paramètres!$A$1:$I$89,3,0)*0.475*44/12</f>
        <v>3.6861191193775871</v>
      </c>
      <c r="BR68" s="21">
        <f>EXP(-LN(2)/2)*BR67+(1-EXP(-LN(2)/2))/(LN(2)/2)*BL68*BO68*VLOOKUP('Données projet'!$B$11,Paramètres!$A$1:$I$89,3,0)*0.475*44/12</f>
        <v>3.0904217090801746E-6</v>
      </c>
      <c r="BS68" s="22">
        <f t="shared" ref="BS68:BS131" si="63">SUM(BP68:BR68)</f>
        <v>28.352474566517643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>
        <f>BY68*VLOOKUP('Données projet'!$B$12,Paramètres!$A$1:$I$89,3,0)*VLOOKUP('Données projet'!$B$12,Paramètres!$A$1:$I$89,5,0)</f>
        <v>0</v>
      </c>
      <c r="CA68" s="13" t="e">
        <f t="shared" si="39"/>
        <v>#NUM!</v>
      </c>
      <c r="CB68" s="20" t="e">
        <f t="shared" ref="CB68:CB131" si="64">(BZ68+CA68)*0.475*44/12</f>
        <v>#NUM!</v>
      </c>
      <c r="CC68" s="59" t="e">
        <f t="shared" ref="CC68:CC131" si="65">CB68+(BT68+BU68)*44/12</f>
        <v>#NUM!</v>
      </c>
      <c r="CD68" s="59">
        <f ca="1">AVERAGE(OFFSET($CC$3,0,0,'Données projet'!$E$12+1,1))-AVERAGE(OFFSET($H$3,0,0,'Données projet'!$E$12+1,1))</f>
        <v>112.82287576550925</v>
      </c>
      <c r="CE68" s="59">
        <f t="shared" si="40"/>
        <v>317.78570695363294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>
        <f>EXP(-LN(2)/35)*CK67+(1-EXP(-LN(2)/35))/(LN(2)/35)*CG68*CH68*VLOOKUP('Données projet'!$B$12,Paramètres!$A$1:$I$89,3,0)*0.475*44/12</f>
        <v>24.666352356718345</v>
      </c>
      <c r="CL68" s="21">
        <f>EXP(-LN(2)/25)*CL67+(1-EXP(-LN(2)/25))/(LN(2)/25)*Calculateur!CG68*Calculateur!CI68*VLOOKUP('Données projet'!$B$12,Paramètres!$A$1:$I$89,3,0)*0.475*44/12</f>
        <v>3.6861191193775871</v>
      </c>
      <c r="CM68" s="21">
        <f>EXP(-LN(2)/2)*CM67+(1-EXP(-LN(2)/2))/(LN(2)/2)*CG68*CJ68*VLOOKUP('Données projet'!$B$12,Paramètres!$A$1:$I$89,3,0)*0.475*44/12</f>
        <v>3.0904217090801746E-6</v>
      </c>
      <c r="CN68" s="22">
        <f t="shared" ref="CN68:CN131" si="66">SUM(CK68:CM68)</f>
        <v>28.352474566517643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5">
      <c r="A69" s="10">
        <f t="shared" ref="A69:A132" si="85">A68+1</f>
        <v>66</v>
      </c>
      <c r="B69" s="73">
        <f>'Scénario référence'!$B$16*5+'Scénario référence'!$B$17*0+'Scénario référence'!$B$18*5</f>
        <v>5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1">
        <f t="shared" ref="D69:D132" si="86">IFERROR(EXP(-1.0587+0.8836*LN(C69)+0.284),0)</f>
        <v>0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69" s="11">
        <f>IF(OR('Scénario référence'!$F$8&gt;0,'Scénario référence'!$F$9&gt;0),('Scénario référence'!$F$8+'Scénario référence'!$F$9)*10,0)</f>
        <v>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18.333333333333332</v>
      </c>
      <c r="H69" s="67">
        <f t="shared" si="56"/>
        <v>183.33333333333334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0</v>
      </c>
      <c r="O69" s="13">
        <f>N69*VLOOKUP('Données projet'!$B$9,Paramètres!$A$1:$I$89,3,0)*VLOOKUP('Données projet'!$B$9,Paramètres!$A$1:$I$89,5,0)</f>
        <v>0</v>
      </c>
      <c r="P69" s="13" t="e">
        <f t="shared" ref="P69:P132" si="87">EXP(-1.0587+0.8836*LN(O69)+0.284)</f>
        <v>#NUM!</v>
      </c>
      <c r="Q69" s="20" t="e">
        <f t="shared" si="54"/>
        <v>#NUM!</v>
      </c>
      <c r="R69" s="59" t="e">
        <f t="shared" si="55"/>
        <v>#NUM!</v>
      </c>
      <c r="S69" s="59">
        <f ca="1">AVERAGE(OFFSET($R$3,0,0,'Données projet'!$E$9+1,1))-AVERAGE(OFFSET($H$3,0,0,'Données projet'!$E$9+1,1))</f>
        <v>112.82287576550925</v>
      </c>
      <c r="T69" s="59">
        <f t="shared" ref="T69:T132" si="88">$T$3</f>
        <v>317.78570695363294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24.182660231992468</v>
      </c>
      <c r="AA69" s="21">
        <f>EXP(-LN(2)/25)*AA68+(1-EXP(-LN(2)/25))/(LN(2)/25)*Calculateur!V69*Calculateur!X69*VLOOKUP('Données projet'!$B$9,Paramètres!$A$1:$I$89,3,0)*0.475*44/12</f>
        <v>3.5853219982136273</v>
      </c>
      <c r="AB69" s="21">
        <f>EXP(-LN(2)/2)*AB68+(1-EXP(-LN(2)/2))/(LN(2)/2)*V69*Y69*VLOOKUP('Données projet'!$B$9,Paramètres!$A$1:$I$89,3,0)*0.475*44/12</f>
        <v>2.1852581472167112E-6</v>
      </c>
      <c r="AC69" s="22">
        <f t="shared" si="57"/>
        <v>27.767984415464241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0</v>
      </c>
      <c r="AI69" s="13">
        <f>IF('Données projet'!$A$62&gt;35,AI68+AH69-AQ68,IF(A69&lt;'Données projet'!$A$62,$AF$205^A69,IF(A69='Données projet'!$A$62,'Données projet'!$B$62,AI68+AH69-AQ68)))</f>
        <v>0</v>
      </c>
      <c r="AJ69" s="13">
        <f>AI69*VLOOKUP('Données projet'!$B$10,Paramètres!$A$1:$I$89,3,0)*VLOOKUP('Données projet'!$B$10,Paramètres!$A$1:$I$89,5,0)</f>
        <v>0</v>
      </c>
      <c r="AK69" s="13" t="e">
        <f t="shared" ref="AK69:AK132" si="89">EXP(-1.0587+0.8836*LN(AJ69)+0.284)</f>
        <v>#NUM!</v>
      </c>
      <c r="AL69" s="20" t="e">
        <f t="shared" si="58"/>
        <v>#NUM!</v>
      </c>
      <c r="AM69" s="59" t="e">
        <f t="shared" si="59"/>
        <v>#NUM!</v>
      </c>
      <c r="AN69" s="59">
        <f ca="1">AVERAGE(OFFSET($AM$3,0,0,'Données projet'!$E$10+1,1))-AVERAGE(OFFSET($H$3,0,0,'Données projet'!$E$10+1,1))</f>
        <v>112.82287576550925</v>
      </c>
      <c r="AO69" s="59">
        <f t="shared" ref="AO69:AO132" si="90">$AO$3</f>
        <v>317.78570695363294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24.182660231992468</v>
      </c>
      <c r="AV69" s="21">
        <f>EXP(-LN(2)/25)*AV68+(1-EXP(-LN(2)/25))/(LN(2)/25)*Calculateur!AQ69*Calculateur!AS69*VLOOKUP('Données projet'!$B$10,Paramètres!$A$1:$I$89,3,0)*0.475*44/12</f>
        <v>3.5853219982136273</v>
      </c>
      <c r="AW69" s="21">
        <f>EXP(-LN(2)/2)*AW68+(1-EXP(-LN(2)/2))/(LN(2)/2)*AQ69*AT69*VLOOKUP('Données projet'!$B$10,Paramètres!$A$1:$I$89,3,0)*0.475*44/12</f>
        <v>2.1852581472167112E-6</v>
      </c>
      <c r="AX69" s="21">
        <f t="shared" si="60"/>
        <v>27.767984415464241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0</v>
      </c>
      <c r="BD69" s="12">
        <f>IF('Données projet'!$A$88&gt;35,BD68+BC69-BL68,IF(A69&lt;'Données projet'!$A$88,$BA$205^A69,IF(A69='Données projet'!$A$88,'Données projet'!$B$88,BD68+BC69-BL68)))</f>
        <v>0</v>
      </c>
      <c r="BE69" s="13">
        <f>BD69*VLOOKUP('Données projet'!$B$11,Paramètres!$A$1:$I$89,3,0)*VLOOKUP('Données projet'!$B$11,Paramètres!$A$1:$I$89,5,0)</f>
        <v>0</v>
      </c>
      <c r="BF69" s="13" t="e">
        <f t="shared" ref="BF69:BF132" si="91">EXP(-1.0587+0.8836*LN(BE69)+0.284)</f>
        <v>#NUM!</v>
      </c>
      <c r="BG69" s="20" t="e">
        <f t="shared" si="61"/>
        <v>#NUM!</v>
      </c>
      <c r="BH69" s="59" t="e">
        <f t="shared" si="62"/>
        <v>#NUM!</v>
      </c>
      <c r="BI69" s="59">
        <f ca="1">AVERAGE(OFFSET($BH$3,0,0,'Données projet'!$E$11+1,1))-AVERAGE(OFFSET($H$3,0,0,'Données projet'!$E$11+1,1))</f>
        <v>112.82287576550925</v>
      </c>
      <c r="BJ69" s="59">
        <f t="shared" ref="BJ69:BJ132" si="92">$BJ$3</f>
        <v>317.78570695363294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24.182660231992468</v>
      </c>
      <c r="BQ69" s="21">
        <f>EXP(-LN(2)/25)*BQ68+(1-EXP(-LN(2)/25))/(LN(2)/25)*Calculateur!BL69*Calculateur!BN69*VLOOKUP('Données projet'!$B$11,Paramètres!$A$1:$I$89,3,0)*0.475*44/12</f>
        <v>3.5853219982136273</v>
      </c>
      <c r="BR69" s="21">
        <f>EXP(-LN(2)/2)*BR68+(1-EXP(-LN(2)/2))/(LN(2)/2)*BL69*BO69*VLOOKUP('Données projet'!$B$11,Paramètres!$A$1:$I$89,3,0)*0.475*44/12</f>
        <v>2.1852581472167112E-6</v>
      </c>
      <c r="BS69" s="22">
        <f t="shared" si="63"/>
        <v>27.767984415464241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>
        <f>BY69*VLOOKUP('Données projet'!$B$12,Paramètres!$A$1:$I$89,3,0)*VLOOKUP('Données projet'!$B$12,Paramètres!$A$1:$I$89,5,0)</f>
        <v>0</v>
      </c>
      <c r="CA69" s="13" t="e">
        <f t="shared" ref="CA69:CA132" si="93">EXP(-1.0587+0.8836*LN(BZ69)+0.284)</f>
        <v>#NUM!</v>
      </c>
      <c r="CB69" s="20" t="e">
        <f t="shared" si="64"/>
        <v>#NUM!</v>
      </c>
      <c r="CC69" s="59" t="e">
        <f t="shared" si="65"/>
        <v>#NUM!</v>
      </c>
      <c r="CD69" s="59">
        <f ca="1">AVERAGE(OFFSET($CC$3,0,0,'Données projet'!$E$12+1,1))-AVERAGE(OFFSET($H$3,0,0,'Données projet'!$E$12+1,1))</f>
        <v>112.82287576550925</v>
      </c>
      <c r="CE69" s="59">
        <f t="shared" ref="CE69:CE132" si="94">$CE$3</f>
        <v>317.78570695363294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>
        <f>EXP(-LN(2)/35)*CK68+(1-EXP(-LN(2)/35))/(LN(2)/35)*CG69*CH69*VLOOKUP('Données projet'!$B$12,Paramètres!$A$1:$I$89,3,0)*0.475*44/12</f>
        <v>24.182660231992468</v>
      </c>
      <c r="CL69" s="21">
        <f>EXP(-LN(2)/25)*CL68+(1-EXP(-LN(2)/25))/(LN(2)/25)*Calculateur!CG69*Calculateur!CI69*VLOOKUP('Données projet'!$B$12,Paramètres!$A$1:$I$89,3,0)*0.475*44/12</f>
        <v>3.5853219982136273</v>
      </c>
      <c r="CM69" s="21">
        <f>EXP(-LN(2)/2)*CM68+(1-EXP(-LN(2)/2))/(LN(2)/2)*CG69*CJ69*VLOOKUP('Données projet'!$B$12,Paramètres!$A$1:$I$89,3,0)*0.475*44/12</f>
        <v>2.1852581472167112E-6</v>
      </c>
      <c r="CN69" s="22">
        <f t="shared" si="66"/>
        <v>27.767984415464241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5">
      <c r="A70" s="10">
        <f t="shared" si="85"/>
        <v>67</v>
      </c>
      <c r="B70" s="73">
        <f>'Scénario référence'!$B$16*5+'Scénario référence'!$B$17*0+'Scénario référence'!$B$18*5</f>
        <v>5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1">
        <f t="shared" si="86"/>
        <v>0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0" s="11">
        <f>IF(OR('Scénario référence'!$F$8&gt;0,'Scénario référence'!$F$9&gt;0),('Scénario référence'!$F$8+'Scénario référence'!$F$9)*10,0)</f>
        <v>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18.333333333333332</v>
      </c>
      <c r="H70" s="67">
        <f t="shared" si="56"/>
        <v>183.33333333333334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0</v>
      </c>
      <c r="O70" s="13">
        <f>N70*VLOOKUP('Données projet'!$B$9,Paramètres!$A$1:$I$89,3,0)*VLOOKUP('Données projet'!$B$9,Paramètres!$A$1:$I$89,5,0)</f>
        <v>0</v>
      </c>
      <c r="P70" s="13" t="e">
        <f t="shared" si="87"/>
        <v>#NUM!</v>
      </c>
      <c r="Q70" s="20" t="e">
        <f t="shared" si="54"/>
        <v>#NUM!</v>
      </c>
      <c r="R70" s="59" t="e">
        <f t="shared" si="55"/>
        <v>#NUM!</v>
      </c>
      <c r="S70" s="59">
        <f ca="1">AVERAGE(OFFSET($R$3,0,0,'Données projet'!$E$9+1,1))-AVERAGE(OFFSET($H$3,0,0,'Données projet'!$E$9+1,1))</f>
        <v>112.82287576550925</v>
      </c>
      <c r="T70" s="59">
        <f t="shared" si="88"/>
        <v>317.78570695363294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23.7084530148094</v>
      </c>
      <c r="AA70" s="21">
        <f>EXP(-LN(2)/25)*AA69+(1-EXP(-LN(2)/25))/(LN(2)/25)*Calculateur!V70*Calculateur!X70*VLOOKUP('Données projet'!$B$9,Paramètres!$A$1:$I$89,3,0)*0.475*44/12</f>
        <v>3.4872811796285861</v>
      </c>
      <c r="AB70" s="21">
        <f>EXP(-LN(2)/2)*AB69+(1-EXP(-LN(2)/2))/(LN(2)/2)*V70*Y70*VLOOKUP('Données projet'!$B$9,Paramètres!$A$1:$I$89,3,0)*0.475*44/12</f>
        <v>1.5452108545400873E-6</v>
      </c>
      <c r="AC70" s="22">
        <f t="shared" si="57"/>
        <v>27.195735739648839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0</v>
      </c>
      <c r="AI70" s="13">
        <f>IF('Données projet'!$A$62&gt;35,AI69+AH70-AQ69,IF(A70&lt;'Données projet'!$A$62,$AF$205^A70,IF(A70='Données projet'!$A$62,'Données projet'!$B$62,AI69+AH70-AQ69)))</f>
        <v>0</v>
      </c>
      <c r="AJ70" s="13">
        <f>AI70*VLOOKUP('Données projet'!$B$10,Paramètres!$A$1:$I$89,3,0)*VLOOKUP('Données projet'!$B$10,Paramètres!$A$1:$I$89,5,0)</f>
        <v>0</v>
      </c>
      <c r="AK70" s="13" t="e">
        <f t="shared" si="89"/>
        <v>#NUM!</v>
      </c>
      <c r="AL70" s="20" t="e">
        <f t="shared" si="58"/>
        <v>#NUM!</v>
      </c>
      <c r="AM70" s="59" t="e">
        <f t="shared" si="59"/>
        <v>#NUM!</v>
      </c>
      <c r="AN70" s="59">
        <f ca="1">AVERAGE(OFFSET($AM$3,0,0,'Données projet'!$E$10+1,1))-AVERAGE(OFFSET($H$3,0,0,'Données projet'!$E$10+1,1))</f>
        <v>112.82287576550925</v>
      </c>
      <c r="AO70" s="59">
        <f t="shared" si="90"/>
        <v>317.78570695363294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23.7084530148094</v>
      </c>
      <c r="AV70" s="21">
        <f>EXP(-LN(2)/25)*AV69+(1-EXP(-LN(2)/25))/(LN(2)/25)*Calculateur!AQ70*Calculateur!AS70*VLOOKUP('Données projet'!$B$10,Paramètres!$A$1:$I$89,3,0)*0.475*44/12</f>
        <v>3.4872811796285861</v>
      </c>
      <c r="AW70" s="21">
        <f>EXP(-LN(2)/2)*AW69+(1-EXP(-LN(2)/2))/(LN(2)/2)*AQ70*AT70*VLOOKUP('Données projet'!$B$10,Paramètres!$A$1:$I$89,3,0)*0.475*44/12</f>
        <v>1.5452108545400873E-6</v>
      </c>
      <c r="AX70" s="21">
        <f t="shared" si="60"/>
        <v>27.195735739648839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0</v>
      </c>
      <c r="BD70" s="12">
        <f>IF('Données projet'!$A$88&gt;35,BD69+BC70-BL69,IF(A70&lt;'Données projet'!$A$88,$BA$205^A70,IF(A70='Données projet'!$A$88,'Données projet'!$B$88,BD69+BC70-BL69)))</f>
        <v>0</v>
      </c>
      <c r="BE70" s="13">
        <f>BD70*VLOOKUP('Données projet'!$B$11,Paramètres!$A$1:$I$89,3,0)*VLOOKUP('Données projet'!$B$11,Paramètres!$A$1:$I$89,5,0)</f>
        <v>0</v>
      </c>
      <c r="BF70" s="13" t="e">
        <f t="shared" si="91"/>
        <v>#NUM!</v>
      </c>
      <c r="BG70" s="20" t="e">
        <f t="shared" si="61"/>
        <v>#NUM!</v>
      </c>
      <c r="BH70" s="59" t="e">
        <f t="shared" si="62"/>
        <v>#NUM!</v>
      </c>
      <c r="BI70" s="59">
        <f ca="1">AVERAGE(OFFSET($BH$3,0,0,'Données projet'!$E$11+1,1))-AVERAGE(OFFSET($H$3,0,0,'Données projet'!$E$11+1,1))</f>
        <v>112.82287576550925</v>
      </c>
      <c r="BJ70" s="59">
        <f t="shared" si="92"/>
        <v>317.78570695363294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23.7084530148094</v>
      </c>
      <c r="BQ70" s="21">
        <f>EXP(-LN(2)/25)*BQ69+(1-EXP(-LN(2)/25))/(LN(2)/25)*Calculateur!BL70*Calculateur!BN70*VLOOKUP('Données projet'!$B$11,Paramètres!$A$1:$I$89,3,0)*0.475*44/12</f>
        <v>3.4872811796285861</v>
      </c>
      <c r="BR70" s="21">
        <f>EXP(-LN(2)/2)*BR69+(1-EXP(-LN(2)/2))/(LN(2)/2)*BL70*BO70*VLOOKUP('Données projet'!$B$11,Paramètres!$A$1:$I$89,3,0)*0.475*44/12</f>
        <v>1.5452108545400873E-6</v>
      </c>
      <c r="BS70" s="22">
        <f t="shared" si="63"/>
        <v>27.195735739648839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>
        <f>BY70*VLOOKUP('Données projet'!$B$12,Paramètres!$A$1:$I$89,3,0)*VLOOKUP('Données projet'!$B$12,Paramètres!$A$1:$I$89,5,0)</f>
        <v>0</v>
      </c>
      <c r="CA70" s="13" t="e">
        <f t="shared" si="93"/>
        <v>#NUM!</v>
      </c>
      <c r="CB70" s="20" t="e">
        <f t="shared" si="64"/>
        <v>#NUM!</v>
      </c>
      <c r="CC70" s="59" t="e">
        <f t="shared" si="65"/>
        <v>#NUM!</v>
      </c>
      <c r="CD70" s="59">
        <f ca="1">AVERAGE(OFFSET($CC$3,0,0,'Données projet'!$E$12+1,1))-AVERAGE(OFFSET($H$3,0,0,'Données projet'!$E$12+1,1))</f>
        <v>112.82287576550925</v>
      </c>
      <c r="CE70" s="59">
        <f t="shared" si="94"/>
        <v>317.78570695363294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>
        <f>EXP(-LN(2)/35)*CK69+(1-EXP(-LN(2)/35))/(LN(2)/35)*CG70*CH70*VLOOKUP('Données projet'!$B$12,Paramètres!$A$1:$I$89,3,0)*0.475*44/12</f>
        <v>23.7084530148094</v>
      </c>
      <c r="CL70" s="21">
        <f>EXP(-LN(2)/25)*CL69+(1-EXP(-LN(2)/25))/(LN(2)/25)*Calculateur!CG70*Calculateur!CI70*VLOOKUP('Données projet'!$B$12,Paramètres!$A$1:$I$89,3,0)*0.475*44/12</f>
        <v>3.4872811796285861</v>
      </c>
      <c r="CM70" s="21">
        <f>EXP(-LN(2)/2)*CM69+(1-EXP(-LN(2)/2))/(LN(2)/2)*CG70*CJ70*VLOOKUP('Données projet'!$B$12,Paramètres!$A$1:$I$89,3,0)*0.475*44/12</f>
        <v>1.5452108545400873E-6</v>
      </c>
      <c r="CN70" s="22">
        <f t="shared" si="66"/>
        <v>27.195735739648839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5">
      <c r="A71" s="10">
        <f t="shared" si="85"/>
        <v>68</v>
      </c>
      <c r="B71" s="73">
        <f>'Scénario référence'!$B$16*5+'Scénario référence'!$B$17*0+'Scénario référence'!$B$18*5</f>
        <v>5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1">
        <f t="shared" si="86"/>
        <v>0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1" s="11">
        <f>IF(OR('Scénario référence'!$F$8&gt;0,'Scénario référence'!$F$9&gt;0),('Scénario référence'!$F$8+'Scénario référence'!$F$9)*10,0)</f>
        <v>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18.333333333333332</v>
      </c>
      <c r="H71" s="67">
        <f t="shared" si="56"/>
        <v>183.33333333333334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0</v>
      </c>
      <c r="O71" s="13">
        <f>N71*VLOOKUP('Données projet'!$B$9,Paramètres!$A$1:$I$89,3,0)*VLOOKUP('Données projet'!$B$9,Paramètres!$A$1:$I$89,5,0)</f>
        <v>0</v>
      </c>
      <c r="P71" s="13" t="e">
        <f t="shared" si="87"/>
        <v>#NUM!</v>
      </c>
      <c r="Q71" s="20" t="e">
        <f t="shared" si="54"/>
        <v>#NUM!</v>
      </c>
      <c r="R71" s="59" t="e">
        <f t="shared" si="55"/>
        <v>#NUM!</v>
      </c>
      <c r="S71" s="59">
        <f ca="1">AVERAGE(OFFSET($R$3,0,0,'Données projet'!$E$9+1,1))-AVERAGE(OFFSET($H$3,0,0,'Données projet'!$E$9+1,1))</f>
        <v>112.82287576550925</v>
      </c>
      <c r="T71" s="59">
        <f t="shared" si="88"/>
        <v>317.78570695363294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23.243544711917448</v>
      </c>
      <c r="AA71" s="21">
        <f>EXP(-LN(2)/25)*AA70+(1-EXP(-LN(2)/25))/(LN(2)/25)*Calculateur!V71*Calculateur!X71*VLOOKUP('Données projet'!$B$9,Paramètres!$A$1:$I$89,3,0)*0.475*44/12</f>
        <v>3.3919212923834956</v>
      </c>
      <c r="AB71" s="21">
        <f>EXP(-LN(2)/2)*AB70+(1-EXP(-LN(2)/2))/(LN(2)/2)*V71*Y71*VLOOKUP('Données projet'!$B$9,Paramètres!$A$1:$I$89,3,0)*0.475*44/12</f>
        <v>1.0926290736083556E-6</v>
      </c>
      <c r="AC71" s="22">
        <f t="shared" si="57"/>
        <v>26.635467096930018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0</v>
      </c>
      <c r="AI71" s="13">
        <f>IF('Données projet'!$A$62&gt;35,AI70+AH71-AQ70,IF(A71&lt;'Données projet'!$A$62,$AF$205^A71,IF(A71='Données projet'!$A$62,'Données projet'!$B$62,AI70+AH71-AQ70)))</f>
        <v>0</v>
      </c>
      <c r="AJ71" s="13">
        <f>AI71*VLOOKUP('Données projet'!$B$10,Paramètres!$A$1:$I$89,3,0)*VLOOKUP('Données projet'!$B$10,Paramètres!$A$1:$I$89,5,0)</f>
        <v>0</v>
      </c>
      <c r="AK71" s="13" t="e">
        <f t="shared" si="89"/>
        <v>#NUM!</v>
      </c>
      <c r="AL71" s="20" t="e">
        <f t="shared" si="58"/>
        <v>#NUM!</v>
      </c>
      <c r="AM71" s="59" t="e">
        <f t="shared" si="59"/>
        <v>#NUM!</v>
      </c>
      <c r="AN71" s="59">
        <f ca="1">AVERAGE(OFFSET($AM$3,0,0,'Données projet'!$E$10+1,1))-AVERAGE(OFFSET($H$3,0,0,'Données projet'!$E$10+1,1))</f>
        <v>112.82287576550925</v>
      </c>
      <c r="AO71" s="59">
        <f t="shared" si="90"/>
        <v>317.78570695363294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23.243544711917448</v>
      </c>
      <c r="AV71" s="21">
        <f>EXP(-LN(2)/25)*AV70+(1-EXP(-LN(2)/25))/(LN(2)/25)*Calculateur!AQ71*Calculateur!AS71*VLOOKUP('Données projet'!$B$10,Paramètres!$A$1:$I$89,3,0)*0.475*44/12</f>
        <v>3.3919212923834956</v>
      </c>
      <c r="AW71" s="21">
        <f>EXP(-LN(2)/2)*AW70+(1-EXP(-LN(2)/2))/(LN(2)/2)*AQ71*AT71*VLOOKUP('Données projet'!$B$10,Paramètres!$A$1:$I$89,3,0)*0.475*44/12</f>
        <v>1.0926290736083556E-6</v>
      </c>
      <c r="AX71" s="21">
        <f t="shared" si="60"/>
        <v>26.635467096930018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0</v>
      </c>
      <c r="BD71" s="12">
        <f>IF('Données projet'!$A$88&gt;35,BD70+BC71-BL70,IF(A71&lt;'Données projet'!$A$88,$BA$205^A71,IF(A71='Données projet'!$A$88,'Données projet'!$B$88,BD70+BC71-BL70)))</f>
        <v>0</v>
      </c>
      <c r="BE71" s="13">
        <f>BD71*VLOOKUP('Données projet'!$B$11,Paramètres!$A$1:$I$89,3,0)*VLOOKUP('Données projet'!$B$11,Paramètres!$A$1:$I$89,5,0)</f>
        <v>0</v>
      </c>
      <c r="BF71" s="13" t="e">
        <f t="shared" si="91"/>
        <v>#NUM!</v>
      </c>
      <c r="BG71" s="20" t="e">
        <f t="shared" si="61"/>
        <v>#NUM!</v>
      </c>
      <c r="BH71" s="59" t="e">
        <f t="shared" si="62"/>
        <v>#NUM!</v>
      </c>
      <c r="BI71" s="59">
        <f ca="1">AVERAGE(OFFSET($BH$3,0,0,'Données projet'!$E$11+1,1))-AVERAGE(OFFSET($H$3,0,0,'Données projet'!$E$11+1,1))</f>
        <v>112.82287576550925</v>
      </c>
      <c r="BJ71" s="59">
        <f t="shared" si="92"/>
        <v>317.78570695363294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23.243544711917448</v>
      </c>
      <c r="BQ71" s="21">
        <f>EXP(-LN(2)/25)*BQ70+(1-EXP(-LN(2)/25))/(LN(2)/25)*Calculateur!BL71*Calculateur!BN71*VLOOKUP('Données projet'!$B$11,Paramètres!$A$1:$I$89,3,0)*0.475*44/12</f>
        <v>3.3919212923834956</v>
      </c>
      <c r="BR71" s="21">
        <f>EXP(-LN(2)/2)*BR70+(1-EXP(-LN(2)/2))/(LN(2)/2)*BL71*BO71*VLOOKUP('Données projet'!$B$11,Paramètres!$A$1:$I$89,3,0)*0.475*44/12</f>
        <v>1.0926290736083556E-6</v>
      </c>
      <c r="BS71" s="22">
        <f t="shared" si="63"/>
        <v>26.635467096930018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>
        <f>BY71*VLOOKUP('Données projet'!$B$12,Paramètres!$A$1:$I$89,3,0)*VLOOKUP('Données projet'!$B$12,Paramètres!$A$1:$I$89,5,0)</f>
        <v>0</v>
      </c>
      <c r="CA71" s="13" t="e">
        <f t="shared" si="93"/>
        <v>#NUM!</v>
      </c>
      <c r="CB71" s="20" t="e">
        <f t="shared" si="64"/>
        <v>#NUM!</v>
      </c>
      <c r="CC71" s="59" t="e">
        <f t="shared" si="65"/>
        <v>#NUM!</v>
      </c>
      <c r="CD71" s="59">
        <f ca="1">AVERAGE(OFFSET($CC$3,0,0,'Données projet'!$E$12+1,1))-AVERAGE(OFFSET($H$3,0,0,'Données projet'!$E$12+1,1))</f>
        <v>112.82287576550925</v>
      </c>
      <c r="CE71" s="59">
        <f t="shared" si="94"/>
        <v>317.78570695363294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>
        <f>EXP(-LN(2)/35)*CK70+(1-EXP(-LN(2)/35))/(LN(2)/35)*CG71*CH71*VLOOKUP('Données projet'!$B$12,Paramètres!$A$1:$I$89,3,0)*0.475*44/12</f>
        <v>23.243544711917448</v>
      </c>
      <c r="CL71" s="21">
        <f>EXP(-LN(2)/25)*CL70+(1-EXP(-LN(2)/25))/(LN(2)/25)*Calculateur!CG71*Calculateur!CI71*VLOOKUP('Données projet'!$B$12,Paramètres!$A$1:$I$89,3,0)*0.475*44/12</f>
        <v>3.3919212923834956</v>
      </c>
      <c r="CM71" s="21">
        <f>EXP(-LN(2)/2)*CM70+(1-EXP(-LN(2)/2))/(LN(2)/2)*CG71*CJ71*VLOOKUP('Données projet'!$B$12,Paramètres!$A$1:$I$89,3,0)*0.475*44/12</f>
        <v>1.0926290736083556E-6</v>
      </c>
      <c r="CN71" s="22">
        <f t="shared" si="66"/>
        <v>26.635467096930018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5">
      <c r="A72" s="10">
        <f t="shared" si="85"/>
        <v>69</v>
      </c>
      <c r="B72" s="73">
        <f>'Scénario référence'!$B$16*5+'Scénario référence'!$B$17*0+'Scénario référence'!$B$18*5</f>
        <v>5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1">
        <f t="shared" si="86"/>
        <v>0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2" s="11">
        <f>IF(OR('Scénario référence'!$F$8&gt;0,'Scénario référence'!$F$9&gt;0),('Scénario référence'!$F$8+'Scénario référence'!$F$9)*10,0)</f>
        <v>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18.333333333333332</v>
      </c>
      <c r="H72" s="67">
        <f t="shared" si="56"/>
        <v>183.33333333333334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0</v>
      </c>
      <c r="O72" s="13">
        <f>N72*VLOOKUP('Données projet'!$B$9,Paramètres!$A$1:$I$89,3,0)*VLOOKUP('Données projet'!$B$9,Paramètres!$A$1:$I$89,5,0)</f>
        <v>0</v>
      </c>
      <c r="P72" s="13" t="e">
        <f t="shared" si="87"/>
        <v>#NUM!</v>
      </c>
      <c r="Q72" s="20" t="e">
        <f t="shared" si="54"/>
        <v>#NUM!</v>
      </c>
      <c r="R72" s="59" t="e">
        <f t="shared" si="55"/>
        <v>#NUM!</v>
      </c>
      <c r="S72" s="59">
        <f ca="1">AVERAGE(OFFSET($R$3,0,0,'Données projet'!$E$9+1,1))-AVERAGE(OFFSET($H$3,0,0,'Données projet'!$E$9+1,1))</f>
        <v>112.82287576550925</v>
      </c>
      <c r="T72" s="59">
        <f t="shared" si="88"/>
        <v>317.78570695363294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22.787752977279141</v>
      </c>
      <c r="AA72" s="21">
        <f>EXP(-LN(2)/25)*AA71+(1-EXP(-LN(2)/25))/(LN(2)/25)*Calculateur!V72*Calculateur!X72*VLOOKUP('Données projet'!$B$9,Paramètres!$A$1:$I$89,3,0)*0.475*44/12</f>
        <v>3.2991690262698805</v>
      </c>
      <c r="AB72" s="21">
        <f>EXP(-LN(2)/2)*AB71+(1-EXP(-LN(2)/2))/(LN(2)/2)*V72*Y72*VLOOKUP('Données projet'!$B$9,Paramètres!$A$1:$I$89,3,0)*0.475*44/12</f>
        <v>7.7260542727004365E-7</v>
      </c>
      <c r="AC72" s="22">
        <f t="shared" si="57"/>
        <v>26.086922776154449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0</v>
      </c>
      <c r="AI72" s="13">
        <f>IF('Données projet'!$A$62&gt;35,AI71+AH72-AQ71,IF(A72&lt;'Données projet'!$A$62,$AF$205^A72,IF(A72='Données projet'!$A$62,'Données projet'!$B$62,AI71+AH72-AQ71)))</f>
        <v>0</v>
      </c>
      <c r="AJ72" s="13">
        <f>AI72*VLOOKUP('Données projet'!$B$10,Paramètres!$A$1:$I$89,3,0)*VLOOKUP('Données projet'!$B$10,Paramètres!$A$1:$I$89,5,0)</f>
        <v>0</v>
      </c>
      <c r="AK72" s="13" t="e">
        <f t="shared" si="89"/>
        <v>#NUM!</v>
      </c>
      <c r="AL72" s="20" t="e">
        <f t="shared" si="58"/>
        <v>#NUM!</v>
      </c>
      <c r="AM72" s="59" t="e">
        <f t="shared" si="59"/>
        <v>#NUM!</v>
      </c>
      <c r="AN72" s="59">
        <f ca="1">AVERAGE(OFFSET($AM$3,0,0,'Données projet'!$E$10+1,1))-AVERAGE(OFFSET($H$3,0,0,'Données projet'!$E$10+1,1))</f>
        <v>112.82287576550925</v>
      </c>
      <c r="AO72" s="59">
        <f t="shared" si="90"/>
        <v>317.78570695363294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22.787752977279141</v>
      </c>
      <c r="AV72" s="21">
        <f>EXP(-LN(2)/25)*AV71+(1-EXP(-LN(2)/25))/(LN(2)/25)*Calculateur!AQ72*Calculateur!AS72*VLOOKUP('Données projet'!$B$10,Paramètres!$A$1:$I$89,3,0)*0.475*44/12</f>
        <v>3.2991690262698805</v>
      </c>
      <c r="AW72" s="21">
        <f>EXP(-LN(2)/2)*AW71+(1-EXP(-LN(2)/2))/(LN(2)/2)*AQ72*AT72*VLOOKUP('Données projet'!$B$10,Paramètres!$A$1:$I$89,3,0)*0.475*44/12</f>
        <v>7.7260542727004365E-7</v>
      </c>
      <c r="AX72" s="21">
        <f t="shared" si="60"/>
        <v>26.086922776154449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0</v>
      </c>
      <c r="BD72" s="12">
        <f>IF('Données projet'!$A$88&gt;35,BD71+BC72-BL71,IF(A72&lt;'Données projet'!$A$88,$BA$205^A72,IF(A72='Données projet'!$A$88,'Données projet'!$B$88,BD71+BC72-BL71)))</f>
        <v>0</v>
      </c>
      <c r="BE72" s="13">
        <f>BD72*VLOOKUP('Données projet'!$B$11,Paramètres!$A$1:$I$89,3,0)*VLOOKUP('Données projet'!$B$11,Paramètres!$A$1:$I$89,5,0)</f>
        <v>0</v>
      </c>
      <c r="BF72" s="13" t="e">
        <f t="shared" si="91"/>
        <v>#NUM!</v>
      </c>
      <c r="BG72" s="20" t="e">
        <f t="shared" si="61"/>
        <v>#NUM!</v>
      </c>
      <c r="BH72" s="59" t="e">
        <f t="shared" si="62"/>
        <v>#NUM!</v>
      </c>
      <c r="BI72" s="59">
        <f ca="1">AVERAGE(OFFSET($BH$3,0,0,'Données projet'!$E$11+1,1))-AVERAGE(OFFSET($H$3,0,0,'Données projet'!$E$11+1,1))</f>
        <v>112.82287576550925</v>
      </c>
      <c r="BJ72" s="59">
        <f t="shared" si="92"/>
        <v>317.78570695363294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22.787752977279141</v>
      </c>
      <c r="BQ72" s="21">
        <f>EXP(-LN(2)/25)*BQ71+(1-EXP(-LN(2)/25))/(LN(2)/25)*Calculateur!BL72*Calculateur!BN72*VLOOKUP('Données projet'!$B$11,Paramètres!$A$1:$I$89,3,0)*0.475*44/12</f>
        <v>3.2991690262698805</v>
      </c>
      <c r="BR72" s="21">
        <f>EXP(-LN(2)/2)*BR71+(1-EXP(-LN(2)/2))/(LN(2)/2)*BL72*BO72*VLOOKUP('Données projet'!$B$11,Paramètres!$A$1:$I$89,3,0)*0.475*44/12</f>
        <v>7.7260542727004365E-7</v>
      </c>
      <c r="BS72" s="22">
        <f t="shared" si="63"/>
        <v>26.086922776154449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>
        <f>BY72*VLOOKUP('Données projet'!$B$12,Paramètres!$A$1:$I$89,3,0)*VLOOKUP('Données projet'!$B$12,Paramètres!$A$1:$I$89,5,0)</f>
        <v>0</v>
      </c>
      <c r="CA72" s="13" t="e">
        <f t="shared" si="93"/>
        <v>#NUM!</v>
      </c>
      <c r="CB72" s="20" t="e">
        <f t="shared" si="64"/>
        <v>#NUM!</v>
      </c>
      <c r="CC72" s="59" t="e">
        <f t="shared" si="65"/>
        <v>#NUM!</v>
      </c>
      <c r="CD72" s="59">
        <f ca="1">AVERAGE(OFFSET($CC$3,0,0,'Données projet'!$E$12+1,1))-AVERAGE(OFFSET($H$3,0,0,'Données projet'!$E$12+1,1))</f>
        <v>112.82287576550925</v>
      </c>
      <c r="CE72" s="59">
        <f t="shared" si="94"/>
        <v>317.78570695363294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>
        <f>EXP(-LN(2)/35)*CK71+(1-EXP(-LN(2)/35))/(LN(2)/35)*CG72*CH72*VLOOKUP('Données projet'!$B$12,Paramètres!$A$1:$I$89,3,0)*0.475*44/12</f>
        <v>22.787752977279141</v>
      </c>
      <c r="CL72" s="21">
        <f>EXP(-LN(2)/25)*CL71+(1-EXP(-LN(2)/25))/(LN(2)/25)*Calculateur!CG72*Calculateur!CI72*VLOOKUP('Données projet'!$B$12,Paramètres!$A$1:$I$89,3,0)*0.475*44/12</f>
        <v>3.2991690262698805</v>
      </c>
      <c r="CM72" s="21">
        <f>EXP(-LN(2)/2)*CM71+(1-EXP(-LN(2)/2))/(LN(2)/2)*CG72*CJ72*VLOOKUP('Données projet'!$B$12,Paramètres!$A$1:$I$89,3,0)*0.475*44/12</f>
        <v>7.7260542727004365E-7</v>
      </c>
      <c r="CN72" s="22">
        <f t="shared" si="66"/>
        <v>26.086922776154449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5">
      <c r="A73" s="10">
        <f t="shared" si="85"/>
        <v>70</v>
      </c>
      <c r="B73" s="73">
        <f>'Scénario référence'!$B$16*5+'Scénario référence'!$B$17*0+'Scénario référence'!$B$18*5</f>
        <v>5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1">
        <f t="shared" si="86"/>
        <v>0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3" s="11">
        <f>IF(OR('Scénario référence'!$F$8&gt;0,'Scénario référence'!$F$9&gt;0),('Scénario référence'!$F$8+'Scénario référence'!$F$9)*10,0)</f>
        <v>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18.333333333333332</v>
      </c>
      <c r="H73" s="67">
        <f t="shared" si="56"/>
        <v>183.33333333333334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0</v>
      </c>
      <c r="O73" s="13">
        <f>N73*VLOOKUP('Données projet'!$B$9,Paramètres!$A$1:$I$89,3,0)*VLOOKUP('Données projet'!$B$9,Paramètres!$A$1:$I$89,5,0)</f>
        <v>0</v>
      </c>
      <c r="P73" s="13" t="e">
        <f t="shared" si="87"/>
        <v>#NUM!</v>
      </c>
      <c r="Q73" s="20" t="e">
        <f t="shared" si="54"/>
        <v>#NUM!</v>
      </c>
      <c r="R73" s="59" t="e">
        <f t="shared" si="55"/>
        <v>#NUM!</v>
      </c>
      <c r="S73" s="59">
        <f ca="1">AVERAGE(OFFSET($R$3,0,0,'Données projet'!$E$9+1,1))-AVERAGE(OFFSET($H$3,0,0,'Données projet'!$E$9+1,1))</f>
        <v>112.82287576550925</v>
      </c>
      <c r="T73" s="59">
        <f t="shared" si="88"/>
        <v>317.78570695363294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22.340899040551584</v>
      </c>
      <c r="AA73" s="21">
        <f>EXP(-LN(2)/25)*AA72+(1-EXP(-LN(2)/25))/(LN(2)/25)*Calculateur!V73*Calculateur!X73*VLOOKUP('Données projet'!$B$9,Paramètres!$A$1:$I$89,3,0)*0.475*44/12</f>
        <v>3.208953075750772</v>
      </c>
      <c r="AB73" s="21">
        <f>EXP(-LN(2)/2)*AB72+(1-EXP(-LN(2)/2))/(LN(2)/2)*V73*Y73*VLOOKUP('Données projet'!$B$9,Paramètres!$A$1:$I$89,3,0)*0.475*44/12</f>
        <v>5.4631453680417781E-7</v>
      </c>
      <c r="AC73" s="22">
        <f t="shared" si="57"/>
        <v>25.549852662616892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0</v>
      </c>
      <c r="AI73" s="13">
        <f>IF('Données projet'!$A$62&gt;35,AI72+AH73-AQ72,IF(A73&lt;'Données projet'!$A$62,$AF$205^A73,IF(A73='Données projet'!$A$62,'Données projet'!$B$62,AI72+AH73-AQ72)))</f>
        <v>0</v>
      </c>
      <c r="AJ73" s="13">
        <f>AI73*VLOOKUP('Données projet'!$B$10,Paramètres!$A$1:$I$89,3,0)*VLOOKUP('Données projet'!$B$10,Paramètres!$A$1:$I$89,5,0)</f>
        <v>0</v>
      </c>
      <c r="AK73" s="13" t="e">
        <f t="shared" si="89"/>
        <v>#NUM!</v>
      </c>
      <c r="AL73" s="20" t="e">
        <f t="shared" si="58"/>
        <v>#NUM!</v>
      </c>
      <c r="AM73" s="59" t="e">
        <f t="shared" si="59"/>
        <v>#NUM!</v>
      </c>
      <c r="AN73" s="59">
        <f ca="1">AVERAGE(OFFSET($AM$3,0,0,'Données projet'!$E$10+1,1))-AVERAGE(OFFSET($H$3,0,0,'Données projet'!$E$10+1,1))</f>
        <v>112.82287576550925</v>
      </c>
      <c r="AO73" s="59">
        <f t="shared" si="90"/>
        <v>317.78570695363294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22.340899040551584</v>
      </c>
      <c r="AV73" s="21">
        <f>EXP(-LN(2)/25)*AV72+(1-EXP(-LN(2)/25))/(LN(2)/25)*Calculateur!AQ73*Calculateur!AS73*VLOOKUP('Données projet'!$B$10,Paramètres!$A$1:$I$89,3,0)*0.475*44/12</f>
        <v>3.208953075750772</v>
      </c>
      <c r="AW73" s="21">
        <f>EXP(-LN(2)/2)*AW72+(1-EXP(-LN(2)/2))/(LN(2)/2)*AQ73*AT73*VLOOKUP('Données projet'!$B$10,Paramètres!$A$1:$I$89,3,0)*0.475*44/12</f>
        <v>5.4631453680417781E-7</v>
      </c>
      <c r="AX73" s="21">
        <f t="shared" si="60"/>
        <v>25.549852662616892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0</v>
      </c>
      <c r="BD73" s="12">
        <f>IF('Données projet'!$A$88&gt;35,BD72+BC73-BL72,IF(A73&lt;'Données projet'!$A$88,$BA$205^A73,IF(A73='Données projet'!$A$88,'Données projet'!$B$88,BD72+BC73-BL72)))</f>
        <v>0</v>
      </c>
      <c r="BE73" s="13">
        <f>BD73*VLOOKUP('Données projet'!$B$11,Paramètres!$A$1:$I$89,3,0)*VLOOKUP('Données projet'!$B$11,Paramètres!$A$1:$I$89,5,0)</f>
        <v>0</v>
      </c>
      <c r="BF73" s="13" t="e">
        <f t="shared" si="91"/>
        <v>#NUM!</v>
      </c>
      <c r="BG73" s="20" t="e">
        <f t="shared" si="61"/>
        <v>#NUM!</v>
      </c>
      <c r="BH73" s="59" t="e">
        <f t="shared" si="62"/>
        <v>#NUM!</v>
      </c>
      <c r="BI73" s="59">
        <f ca="1">AVERAGE(OFFSET($BH$3,0,0,'Données projet'!$E$11+1,1))-AVERAGE(OFFSET($H$3,0,0,'Données projet'!$E$11+1,1))</f>
        <v>112.82287576550925</v>
      </c>
      <c r="BJ73" s="59">
        <f t="shared" si="92"/>
        <v>317.78570695363294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22.340899040551584</v>
      </c>
      <c r="BQ73" s="21">
        <f>EXP(-LN(2)/25)*BQ72+(1-EXP(-LN(2)/25))/(LN(2)/25)*Calculateur!BL73*Calculateur!BN73*VLOOKUP('Données projet'!$B$11,Paramètres!$A$1:$I$89,3,0)*0.475*44/12</f>
        <v>3.208953075750772</v>
      </c>
      <c r="BR73" s="21">
        <f>EXP(-LN(2)/2)*BR72+(1-EXP(-LN(2)/2))/(LN(2)/2)*BL73*BO73*VLOOKUP('Données projet'!$B$11,Paramètres!$A$1:$I$89,3,0)*0.475*44/12</f>
        <v>5.4631453680417781E-7</v>
      </c>
      <c r="BS73" s="22">
        <f t="shared" si="63"/>
        <v>25.549852662616892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>
        <f>BY73*VLOOKUP('Données projet'!$B$12,Paramètres!$A$1:$I$89,3,0)*VLOOKUP('Données projet'!$B$12,Paramètres!$A$1:$I$89,5,0)</f>
        <v>0</v>
      </c>
      <c r="CA73" s="13" t="e">
        <f t="shared" si="93"/>
        <v>#NUM!</v>
      </c>
      <c r="CB73" s="20" t="e">
        <f t="shared" si="64"/>
        <v>#NUM!</v>
      </c>
      <c r="CC73" s="59" t="e">
        <f t="shared" si="65"/>
        <v>#NUM!</v>
      </c>
      <c r="CD73" s="59">
        <f ca="1">AVERAGE(OFFSET($CC$3,0,0,'Données projet'!$E$12+1,1))-AVERAGE(OFFSET($H$3,0,0,'Données projet'!$E$12+1,1))</f>
        <v>112.82287576550925</v>
      </c>
      <c r="CE73" s="59">
        <f t="shared" si="94"/>
        <v>317.78570695363294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>
        <f>EXP(-LN(2)/35)*CK72+(1-EXP(-LN(2)/35))/(LN(2)/35)*CG73*CH73*VLOOKUP('Données projet'!$B$12,Paramètres!$A$1:$I$89,3,0)*0.475*44/12</f>
        <v>22.340899040551584</v>
      </c>
      <c r="CL73" s="21">
        <f>EXP(-LN(2)/25)*CL72+(1-EXP(-LN(2)/25))/(LN(2)/25)*Calculateur!CG73*Calculateur!CI73*VLOOKUP('Données projet'!$B$12,Paramètres!$A$1:$I$89,3,0)*0.475*44/12</f>
        <v>3.208953075750772</v>
      </c>
      <c r="CM73" s="21">
        <f>EXP(-LN(2)/2)*CM72+(1-EXP(-LN(2)/2))/(LN(2)/2)*CG73*CJ73*VLOOKUP('Données projet'!$B$12,Paramètres!$A$1:$I$89,3,0)*0.475*44/12</f>
        <v>5.4631453680417781E-7</v>
      </c>
      <c r="CN73" s="22">
        <f t="shared" si="66"/>
        <v>25.549852662616892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5">
      <c r="A74" s="10">
        <f t="shared" si="85"/>
        <v>71</v>
      </c>
      <c r="B74" s="73">
        <f>'Scénario référence'!$B$16*5+'Scénario référence'!$B$17*0+'Scénario référence'!$B$18*5</f>
        <v>5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1">
        <f t="shared" si="86"/>
        <v>0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4" s="11">
        <f>IF(OR('Scénario référence'!$F$8&gt;0,'Scénario référence'!$F$9&gt;0),('Scénario référence'!$F$8+'Scénario référence'!$F$9)*10,0)</f>
        <v>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18.333333333333332</v>
      </c>
      <c r="H74" s="67">
        <f t="shared" si="56"/>
        <v>183.33333333333334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0</v>
      </c>
      <c r="O74" s="13">
        <f>N74*VLOOKUP('Données projet'!$B$9,Paramètres!$A$1:$I$89,3,0)*VLOOKUP('Données projet'!$B$9,Paramètres!$A$1:$I$89,5,0)</f>
        <v>0</v>
      </c>
      <c r="P74" s="13" t="e">
        <f t="shared" si="87"/>
        <v>#NUM!</v>
      </c>
      <c r="Q74" s="20" t="e">
        <f t="shared" si="54"/>
        <v>#NUM!</v>
      </c>
      <c r="R74" s="59" t="e">
        <f t="shared" si="55"/>
        <v>#NUM!</v>
      </c>
      <c r="S74" s="59">
        <f ca="1">AVERAGE(OFFSET($R$3,0,0,'Données projet'!$E$9+1,1))-AVERAGE(OFFSET($H$3,0,0,'Données projet'!$E$9+1,1))</f>
        <v>112.82287576550925</v>
      </c>
      <c r="T74" s="59">
        <f t="shared" si="88"/>
        <v>317.78570695363294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21.902807636969268</v>
      </c>
      <c r="AA74" s="21">
        <f>EXP(-LN(2)/25)*AA73+(1-EXP(-LN(2)/25))/(LN(2)/25)*Calculateur!V74*Calculateur!X74*VLOOKUP('Données projet'!$B$9,Paramètres!$A$1:$I$89,3,0)*0.475*44/12</f>
        <v>3.1212040851428591</v>
      </c>
      <c r="AB74" s="21">
        <f>EXP(-LN(2)/2)*AB73+(1-EXP(-LN(2)/2))/(LN(2)/2)*V74*Y74*VLOOKUP('Données projet'!$B$9,Paramètres!$A$1:$I$89,3,0)*0.475*44/12</f>
        <v>3.8630271363502182E-7</v>
      </c>
      <c r="AC74" s="22">
        <f t="shared" si="57"/>
        <v>25.024012108414841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0</v>
      </c>
      <c r="AI74" s="13">
        <f>IF('Données projet'!$A$62&gt;35,AI73+AH74-AQ73,IF(A74&lt;'Données projet'!$A$62,$AF$205^A74,IF(A74='Données projet'!$A$62,'Données projet'!$B$62,AI73+AH74-AQ73)))</f>
        <v>0</v>
      </c>
      <c r="AJ74" s="13">
        <f>AI74*VLOOKUP('Données projet'!$B$10,Paramètres!$A$1:$I$89,3,0)*VLOOKUP('Données projet'!$B$10,Paramètres!$A$1:$I$89,5,0)</f>
        <v>0</v>
      </c>
      <c r="AK74" s="13" t="e">
        <f t="shared" si="89"/>
        <v>#NUM!</v>
      </c>
      <c r="AL74" s="20" t="e">
        <f t="shared" si="58"/>
        <v>#NUM!</v>
      </c>
      <c r="AM74" s="59" t="e">
        <f t="shared" si="59"/>
        <v>#NUM!</v>
      </c>
      <c r="AN74" s="59">
        <f ca="1">AVERAGE(OFFSET($AM$3,0,0,'Données projet'!$E$10+1,1))-AVERAGE(OFFSET($H$3,0,0,'Données projet'!$E$10+1,1))</f>
        <v>112.82287576550925</v>
      </c>
      <c r="AO74" s="59">
        <f t="shared" si="90"/>
        <v>317.78570695363294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21.902807636969268</v>
      </c>
      <c r="AV74" s="21">
        <f>EXP(-LN(2)/25)*AV73+(1-EXP(-LN(2)/25))/(LN(2)/25)*Calculateur!AQ74*Calculateur!AS74*VLOOKUP('Données projet'!$B$10,Paramètres!$A$1:$I$89,3,0)*0.475*44/12</f>
        <v>3.1212040851428591</v>
      </c>
      <c r="AW74" s="21">
        <f>EXP(-LN(2)/2)*AW73+(1-EXP(-LN(2)/2))/(LN(2)/2)*AQ74*AT74*VLOOKUP('Données projet'!$B$10,Paramètres!$A$1:$I$89,3,0)*0.475*44/12</f>
        <v>3.8630271363502182E-7</v>
      </c>
      <c r="AX74" s="21">
        <f t="shared" si="60"/>
        <v>25.024012108414841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0</v>
      </c>
      <c r="BD74" s="12">
        <f>IF('Données projet'!$A$88&gt;35,BD73+BC74-BL73,IF(A74&lt;'Données projet'!$A$88,$BA$205^A74,IF(A74='Données projet'!$A$88,'Données projet'!$B$88,BD73+BC74-BL73)))</f>
        <v>0</v>
      </c>
      <c r="BE74" s="13">
        <f>BD74*VLOOKUP('Données projet'!$B$11,Paramètres!$A$1:$I$89,3,0)*VLOOKUP('Données projet'!$B$11,Paramètres!$A$1:$I$89,5,0)</f>
        <v>0</v>
      </c>
      <c r="BF74" s="13" t="e">
        <f t="shared" si="91"/>
        <v>#NUM!</v>
      </c>
      <c r="BG74" s="20" t="e">
        <f t="shared" si="61"/>
        <v>#NUM!</v>
      </c>
      <c r="BH74" s="59" t="e">
        <f t="shared" si="62"/>
        <v>#NUM!</v>
      </c>
      <c r="BI74" s="59">
        <f ca="1">AVERAGE(OFFSET($BH$3,0,0,'Données projet'!$E$11+1,1))-AVERAGE(OFFSET($H$3,0,0,'Données projet'!$E$11+1,1))</f>
        <v>112.82287576550925</v>
      </c>
      <c r="BJ74" s="59">
        <f t="shared" si="92"/>
        <v>317.78570695363294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21.902807636969268</v>
      </c>
      <c r="BQ74" s="21">
        <f>EXP(-LN(2)/25)*BQ73+(1-EXP(-LN(2)/25))/(LN(2)/25)*Calculateur!BL74*Calculateur!BN74*VLOOKUP('Données projet'!$B$11,Paramètres!$A$1:$I$89,3,0)*0.475*44/12</f>
        <v>3.1212040851428591</v>
      </c>
      <c r="BR74" s="21">
        <f>EXP(-LN(2)/2)*BR73+(1-EXP(-LN(2)/2))/(LN(2)/2)*BL74*BO74*VLOOKUP('Données projet'!$B$11,Paramètres!$A$1:$I$89,3,0)*0.475*44/12</f>
        <v>3.8630271363502182E-7</v>
      </c>
      <c r="BS74" s="22">
        <f t="shared" si="63"/>
        <v>25.024012108414841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>
        <f>BY74*VLOOKUP('Données projet'!$B$12,Paramètres!$A$1:$I$89,3,0)*VLOOKUP('Données projet'!$B$12,Paramètres!$A$1:$I$89,5,0)</f>
        <v>0</v>
      </c>
      <c r="CA74" s="13" t="e">
        <f t="shared" si="93"/>
        <v>#NUM!</v>
      </c>
      <c r="CB74" s="20" t="e">
        <f t="shared" si="64"/>
        <v>#NUM!</v>
      </c>
      <c r="CC74" s="59" t="e">
        <f t="shared" si="65"/>
        <v>#NUM!</v>
      </c>
      <c r="CD74" s="59">
        <f ca="1">AVERAGE(OFFSET($CC$3,0,0,'Données projet'!$E$12+1,1))-AVERAGE(OFFSET($H$3,0,0,'Données projet'!$E$12+1,1))</f>
        <v>112.82287576550925</v>
      </c>
      <c r="CE74" s="59">
        <f t="shared" si="94"/>
        <v>317.78570695363294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>
        <f>EXP(-LN(2)/35)*CK73+(1-EXP(-LN(2)/35))/(LN(2)/35)*CG74*CH74*VLOOKUP('Données projet'!$B$12,Paramètres!$A$1:$I$89,3,0)*0.475*44/12</f>
        <v>21.902807636969268</v>
      </c>
      <c r="CL74" s="21">
        <f>EXP(-LN(2)/25)*CL73+(1-EXP(-LN(2)/25))/(LN(2)/25)*Calculateur!CG74*Calculateur!CI74*VLOOKUP('Données projet'!$B$12,Paramètres!$A$1:$I$89,3,0)*0.475*44/12</f>
        <v>3.1212040851428591</v>
      </c>
      <c r="CM74" s="21">
        <f>EXP(-LN(2)/2)*CM73+(1-EXP(-LN(2)/2))/(LN(2)/2)*CG74*CJ74*VLOOKUP('Données projet'!$B$12,Paramètres!$A$1:$I$89,3,0)*0.475*44/12</f>
        <v>3.8630271363502182E-7</v>
      </c>
      <c r="CN74" s="22">
        <f t="shared" si="66"/>
        <v>25.024012108414841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5">
      <c r="A75" s="10">
        <f t="shared" si="85"/>
        <v>72</v>
      </c>
      <c r="B75" s="73">
        <f>'Scénario référence'!$B$16*5+'Scénario référence'!$B$17*0+'Scénario référence'!$B$18*5</f>
        <v>5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1">
        <f t="shared" si="86"/>
        <v>0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5" s="11">
        <f>IF(OR('Scénario référence'!$F$8&gt;0,'Scénario référence'!$F$9&gt;0),('Scénario référence'!$F$8+'Scénario référence'!$F$9)*10,0)</f>
        <v>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18.333333333333332</v>
      </c>
      <c r="H75" s="67">
        <f t="shared" si="56"/>
        <v>183.33333333333334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0</v>
      </c>
      <c r="O75" s="13">
        <f>N75*VLOOKUP('Données projet'!$B$9,Paramètres!$A$1:$I$89,3,0)*VLOOKUP('Données projet'!$B$9,Paramètres!$A$1:$I$89,5,0)</f>
        <v>0</v>
      </c>
      <c r="P75" s="13" t="e">
        <f t="shared" si="87"/>
        <v>#NUM!</v>
      </c>
      <c r="Q75" s="20" t="e">
        <f t="shared" si="54"/>
        <v>#NUM!</v>
      </c>
      <c r="R75" s="59" t="e">
        <f t="shared" si="55"/>
        <v>#NUM!</v>
      </c>
      <c r="S75" s="59">
        <f ca="1">AVERAGE(OFFSET($R$3,0,0,'Données projet'!$E$9+1,1))-AVERAGE(OFFSET($H$3,0,0,'Données projet'!$E$9+1,1))</f>
        <v>112.82287576550925</v>
      </c>
      <c r="T75" s="59">
        <f t="shared" si="88"/>
        <v>317.78570695363294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21.47330693860183</v>
      </c>
      <c r="AA75" s="21">
        <f>EXP(-LN(2)/25)*AA74+(1-EXP(-LN(2)/25))/(LN(2)/25)*Calculateur!V75*Calculateur!X75*VLOOKUP('Données projet'!$B$9,Paramètres!$A$1:$I$89,3,0)*0.475*44/12</f>
        <v>3.0358545952976383</v>
      </c>
      <c r="AB75" s="21">
        <f>EXP(-LN(2)/2)*AB74+(1-EXP(-LN(2)/2))/(LN(2)/2)*V75*Y75*VLOOKUP('Données projet'!$B$9,Paramètres!$A$1:$I$89,3,0)*0.475*44/12</f>
        <v>2.731572684020889E-7</v>
      </c>
      <c r="AC75" s="22">
        <f t="shared" si="57"/>
        <v>24.509161807056739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0</v>
      </c>
      <c r="AI75" s="13">
        <f>IF('Données projet'!$A$62&gt;35,AI74+AH75-AQ74,IF(A75&lt;'Données projet'!$A$62,$AF$205^A75,IF(A75='Données projet'!$A$62,'Données projet'!$B$62,AI74+AH75-AQ74)))</f>
        <v>0</v>
      </c>
      <c r="AJ75" s="13">
        <f>AI75*VLOOKUP('Données projet'!$B$10,Paramètres!$A$1:$I$89,3,0)*VLOOKUP('Données projet'!$B$10,Paramètres!$A$1:$I$89,5,0)</f>
        <v>0</v>
      </c>
      <c r="AK75" s="13" t="e">
        <f t="shared" si="89"/>
        <v>#NUM!</v>
      </c>
      <c r="AL75" s="20" t="e">
        <f t="shared" si="58"/>
        <v>#NUM!</v>
      </c>
      <c r="AM75" s="59" t="e">
        <f t="shared" si="59"/>
        <v>#NUM!</v>
      </c>
      <c r="AN75" s="59">
        <f ca="1">AVERAGE(OFFSET($AM$3,0,0,'Données projet'!$E$10+1,1))-AVERAGE(OFFSET($H$3,0,0,'Données projet'!$E$10+1,1))</f>
        <v>112.82287576550925</v>
      </c>
      <c r="AO75" s="59">
        <f t="shared" si="90"/>
        <v>317.78570695363294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21.47330693860183</v>
      </c>
      <c r="AV75" s="21">
        <f>EXP(-LN(2)/25)*AV74+(1-EXP(-LN(2)/25))/(LN(2)/25)*Calculateur!AQ75*Calculateur!AS75*VLOOKUP('Données projet'!$B$10,Paramètres!$A$1:$I$89,3,0)*0.475*44/12</f>
        <v>3.0358545952976383</v>
      </c>
      <c r="AW75" s="21">
        <f>EXP(-LN(2)/2)*AW74+(1-EXP(-LN(2)/2))/(LN(2)/2)*AQ75*AT75*VLOOKUP('Données projet'!$B$10,Paramètres!$A$1:$I$89,3,0)*0.475*44/12</f>
        <v>2.731572684020889E-7</v>
      </c>
      <c r="AX75" s="21">
        <f t="shared" si="60"/>
        <v>24.509161807056739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0</v>
      </c>
      <c r="BD75" s="12">
        <f>IF('Données projet'!$A$88&gt;35,BD74+BC75-BL74,IF(A75&lt;'Données projet'!$A$88,$BA$205^A75,IF(A75='Données projet'!$A$88,'Données projet'!$B$88,BD74+BC75-BL74)))</f>
        <v>0</v>
      </c>
      <c r="BE75" s="13">
        <f>BD75*VLOOKUP('Données projet'!$B$11,Paramètres!$A$1:$I$89,3,0)*VLOOKUP('Données projet'!$B$11,Paramètres!$A$1:$I$89,5,0)</f>
        <v>0</v>
      </c>
      <c r="BF75" s="13" t="e">
        <f t="shared" si="91"/>
        <v>#NUM!</v>
      </c>
      <c r="BG75" s="20" t="e">
        <f t="shared" si="61"/>
        <v>#NUM!</v>
      </c>
      <c r="BH75" s="59" t="e">
        <f t="shared" si="62"/>
        <v>#NUM!</v>
      </c>
      <c r="BI75" s="59">
        <f ca="1">AVERAGE(OFFSET($BH$3,0,0,'Données projet'!$E$11+1,1))-AVERAGE(OFFSET($H$3,0,0,'Données projet'!$E$11+1,1))</f>
        <v>112.82287576550925</v>
      </c>
      <c r="BJ75" s="59">
        <f t="shared" si="92"/>
        <v>317.78570695363294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21.47330693860183</v>
      </c>
      <c r="BQ75" s="21">
        <f>EXP(-LN(2)/25)*BQ74+(1-EXP(-LN(2)/25))/(LN(2)/25)*Calculateur!BL75*Calculateur!BN75*VLOOKUP('Données projet'!$B$11,Paramètres!$A$1:$I$89,3,0)*0.475*44/12</f>
        <v>3.0358545952976383</v>
      </c>
      <c r="BR75" s="21">
        <f>EXP(-LN(2)/2)*BR74+(1-EXP(-LN(2)/2))/(LN(2)/2)*BL75*BO75*VLOOKUP('Données projet'!$B$11,Paramètres!$A$1:$I$89,3,0)*0.475*44/12</f>
        <v>2.731572684020889E-7</v>
      </c>
      <c r="BS75" s="22">
        <f t="shared" si="63"/>
        <v>24.509161807056739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>
        <f>BY75*VLOOKUP('Données projet'!$B$12,Paramètres!$A$1:$I$89,3,0)*VLOOKUP('Données projet'!$B$12,Paramètres!$A$1:$I$89,5,0)</f>
        <v>0</v>
      </c>
      <c r="CA75" s="13" t="e">
        <f t="shared" si="93"/>
        <v>#NUM!</v>
      </c>
      <c r="CB75" s="20" t="e">
        <f t="shared" si="64"/>
        <v>#NUM!</v>
      </c>
      <c r="CC75" s="59" t="e">
        <f t="shared" si="65"/>
        <v>#NUM!</v>
      </c>
      <c r="CD75" s="59">
        <f ca="1">AVERAGE(OFFSET($CC$3,0,0,'Données projet'!$E$12+1,1))-AVERAGE(OFFSET($H$3,0,0,'Données projet'!$E$12+1,1))</f>
        <v>112.82287576550925</v>
      </c>
      <c r="CE75" s="59">
        <f t="shared" si="94"/>
        <v>317.78570695363294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>
        <f>EXP(-LN(2)/35)*CK74+(1-EXP(-LN(2)/35))/(LN(2)/35)*CG75*CH75*VLOOKUP('Données projet'!$B$12,Paramètres!$A$1:$I$89,3,0)*0.475*44/12</f>
        <v>21.47330693860183</v>
      </c>
      <c r="CL75" s="21">
        <f>EXP(-LN(2)/25)*CL74+(1-EXP(-LN(2)/25))/(LN(2)/25)*Calculateur!CG75*Calculateur!CI75*VLOOKUP('Données projet'!$B$12,Paramètres!$A$1:$I$89,3,0)*0.475*44/12</f>
        <v>3.0358545952976383</v>
      </c>
      <c r="CM75" s="21">
        <f>EXP(-LN(2)/2)*CM74+(1-EXP(-LN(2)/2))/(LN(2)/2)*CG75*CJ75*VLOOKUP('Données projet'!$B$12,Paramètres!$A$1:$I$89,3,0)*0.475*44/12</f>
        <v>2.731572684020889E-7</v>
      </c>
      <c r="CN75" s="22">
        <f t="shared" si="66"/>
        <v>24.509161807056739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5">
      <c r="A76" s="10">
        <f t="shared" si="85"/>
        <v>73</v>
      </c>
      <c r="B76" s="73">
        <f>'Scénario référence'!$B$16*5+'Scénario référence'!$B$17*0+'Scénario référence'!$B$18*5</f>
        <v>5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1">
        <f t="shared" si="86"/>
        <v>0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6" s="11">
        <f>IF(OR('Scénario référence'!$F$8&gt;0,'Scénario référence'!$F$9&gt;0),('Scénario référence'!$F$8+'Scénario référence'!$F$9)*10,0)</f>
        <v>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18.333333333333332</v>
      </c>
      <c r="H76" s="67">
        <f t="shared" si="56"/>
        <v>183.33333333333334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0</v>
      </c>
      <c r="O76" s="13">
        <f>N76*VLOOKUP('Données projet'!$B$9,Paramètres!$A$1:$I$89,3,0)*VLOOKUP('Données projet'!$B$9,Paramètres!$A$1:$I$89,5,0)</f>
        <v>0</v>
      </c>
      <c r="P76" s="13" t="e">
        <f t="shared" si="87"/>
        <v>#NUM!</v>
      </c>
      <c r="Q76" s="20" t="e">
        <f t="shared" si="54"/>
        <v>#NUM!</v>
      </c>
      <c r="R76" s="59" t="e">
        <f t="shared" si="55"/>
        <v>#NUM!</v>
      </c>
      <c r="S76" s="59">
        <f ca="1">AVERAGE(OFFSET($R$3,0,0,'Données projet'!$E$9+1,1))-AVERAGE(OFFSET($H$3,0,0,'Données projet'!$E$9+1,1))</f>
        <v>112.82287576550925</v>
      </c>
      <c r="T76" s="59">
        <f t="shared" si="88"/>
        <v>317.78570695363294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21.052228486959816</v>
      </c>
      <c r="AA76" s="21">
        <f>EXP(-LN(2)/25)*AA75+(1-EXP(-LN(2)/25))/(LN(2)/25)*Calculateur!V76*Calculateur!X76*VLOOKUP('Données projet'!$B$9,Paramètres!$A$1:$I$89,3,0)*0.475*44/12</f>
        <v>2.95283899174057</v>
      </c>
      <c r="AB76" s="21">
        <f>EXP(-LN(2)/2)*AB75+(1-EXP(-LN(2)/2))/(LN(2)/2)*V76*Y76*VLOOKUP('Données projet'!$B$9,Paramètres!$A$1:$I$89,3,0)*0.475*44/12</f>
        <v>1.9315135681751091E-7</v>
      </c>
      <c r="AC76" s="22">
        <f t="shared" si="57"/>
        <v>24.005067671851744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0</v>
      </c>
      <c r="AI76" s="13">
        <f>IF('Données projet'!$A$62&gt;35,AI75+AH76-AQ75,IF(A76&lt;'Données projet'!$A$62,$AF$205^A76,IF(A76='Données projet'!$A$62,'Données projet'!$B$62,AI75+AH76-AQ75)))</f>
        <v>0</v>
      </c>
      <c r="AJ76" s="13">
        <f>AI76*VLOOKUP('Données projet'!$B$10,Paramètres!$A$1:$I$89,3,0)*VLOOKUP('Données projet'!$B$10,Paramètres!$A$1:$I$89,5,0)</f>
        <v>0</v>
      </c>
      <c r="AK76" s="13" t="e">
        <f t="shared" si="89"/>
        <v>#NUM!</v>
      </c>
      <c r="AL76" s="20" t="e">
        <f t="shared" si="58"/>
        <v>#NUM!</v>
      </c>
      <c r="AM76" s="59" t="e">
        <f t="shared" si="59"/>
        <v>#NUM!</v>
      </c>
      <c r="AN76" s="59">
        <f ca="1">AVERAGE(OFFSET($AM$3,0,0,'Données projet'!$E$10+1,1))-AVERAGE(OFFSET($H$3,0,0,'Données projet'!$E$10+1,1))</f>
        <v>112.82287576550925</v>
      </c>
      <c r="AO76" s="59">
        <f t="shared" si="90"/>
        <v>317.78570695363294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21.052228486959816</v>
      </c>
      <c r="AV76" s="21">
        <f>EXP(-LN(2)/25)*AV75+(1-EXP(-LN(2)/25))/(LN(2)/25)*Calculateur!AQ76*Calculateur!AS76*VLOOKUP('Données projet'!$B$10,Paramètres!$A$1:$I$89,3,0)*0.475*44/12</f>
        <v>2.95283899174057</v>
      </c>
      <c r="AW76" s="21">
        <f>EXP(-LN(2)/2)*AW75+(1-EXP(-LN(2)/2))/(LN(2)/2)*AQ76*AT76*VLOOKUP('Données projet'!$B$10,Paramètres!$A$1:$I$89,3,0)*0.475*44/12</f>
        <v>1.9315135681751091E-7</v>
      </c>
      <c r="AX76" s="21">
        <f t="shared" si="60"/>
        <v>24.005067671851744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0</v>
      </c>
      <c r="BD76" s="12">
        <f>IF('Données projet'!$A$88&gt;35,BD75+BC76-BL75,IF(A76&lt;'Données projet'!$A$88,$BA$205^A76,IF(A76='Données projet'!$A$88,'Données projet'!$B$88,BD75+BC76-BL75)))</f>
        <v>0</v>
      </c>
      <c r="BE76" s="13">
        <f>BD76*VLOOKUP('Données projet'!$B$11,Paramètres!$A$1:$I$89,3,0)*VLOOKUP('Données projet'!$B$11,Paramètres!$A$1:$I$89,5,0)</f>
        <v>0</v>
      </c>
      <c r="BF76" s="13" t="e">
        <f t="shared" si="91"/>
        <v>#NUM!</v>
      </c>
      <c r="BG76" s="20" t="e">
        <f t="shared" si="61"/>
        <v>#NUM!</v>
      </c>
      <c r="BH76" s="59" t="e">
        <f t="shared" si="62"/>
        <v>#NUM!</v>
      </c>
      <c r="BI76" s="59">
        <f ca="1">AVERAGE(OFFSET($BH$3,0,0,'Données projet'!$E$11+1,1))-AVERAGE(OFFSET($H$3,0,0,'Données projet'!$E$11+1,1))</f>
        <v>112.82287576550925</v>
      </c>
      <c r="BJ76" s="59">
        <f t="shared" si="92"/>
        <v>317.78570695363294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21.052228486959816</v>
      </c>
      <c r="BQ76" s="21">
        <f>EXP(-LN(2)/25)*BQ75+(1-EXP(-LN(2)/25))/(LN(2)/25)*Calculateur!BL76*Calculateur!BN76*VLOOKUP('Données projet'!$B$11,Paramètres!$A$1:$I$89,3,0)*0.475*44/12</f>
        <v>2.95283899174057</v>
      </c>
      <c r="BR76" s="21">
        <f>EXP(-LN(2)/2)*BR75+(1-EXP(-LN(2)/2))/(LN(2)/2)*BL76*BO76*VLOOKUP('Données projet'!$B$11,Paramètres!$A$1:$I$89,3,0)*0.475*44/12</f>
        <v>1.9315135681751091E-7</v>
      </c>
      <c r="BS76" s="22">
        <f t="shared" si="63"/>
        <v>24.005067671851744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>
        <f>BY76*VLOOKUP('Données projet'!$B$12,Paramètres!$A$1:$I$89,3,0)*VLOOKUP('Données projet'!$B$12,Paramètres!$A$1:$I$89,5,0)</f>
        <v>0</v>
      </c>
      <c r="CA76" s="13" t="e">
        <f t="shared" si="93"/>
        <v>#NUM!</v>
      </c>
      <c r="CB76" s="20" t="e">
        <f t="shared" si="64"/>
        <v>#NUM!</v>
      </c>
      <c r="CC76" s="59" t="e">
        <f t="shared" si="65"/>
        <v>#NUM!</v>
      </c>
      <c r="CD76" s="59">
        <f ca="1">AVERAGE(OFFSET($CC$3,0,0,'Données projet'!$E$12+1,1))-AVERAGE(OFFSET($H$3,0,0,'Données projet'!$E$12+1,1))</f>
        <v>112.82287576550925</v>
      </c>
      <c r="CE76" s="59">
        <f t="shared" si="94"/>
        <v>317.78570695363294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>
        <f>EXP(-LN(2)/35)*CK75+(1-EXP(-LN(2)/35))/(LN(2)/35)*CG76*CH76*VLOOKUP('Données projet'!$B$12,Paramètres!$A$1:$I$89,3,0)*0.475*44/12</f>
        <v>21.052228486959816</v>
      </c>
      <c r="CL76" s="21">
        <f>EXP(-LN(2)/25)*CL75+(1-EXP(-LN(2)/25))/(LN(2)/25)*Calculateur!CG76*Calculateur!CI76*VLOOKUP('Données projet'!$B$12,Paramètres!$A$1:$I$89,3,0)*0.475*44/12</f>
        <v>2.95283899174057</v>
      </c>
      <c r="CM76" s="21">
        <f>EXP(-LN(2)/2)*CM75+(1-EXP(-LN(2)/2))/(LN(2)/2)*CG76*CJ76*VLOOKUP('Données projet'!$B$12,Paramètres!$A$1:$I$89,3,0)*0.475*44/12</f>
        <v>1.9315135681751091E-7</v>
      </c>
      <c r="CN76" s="22">
        <f t="shared" si="66"/>
        <v>24.005067671851744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5">
      <c r="A77" s="10">
        <f t="shared" si="85"/>
        <v>74</v>
      </c>
      <c r="B77" s="73">
        <f>'Scénario référence'!$B$16*5+'Scénario référence'!$B$17*0+'Scénario référence'!$B$18*5</f>
        <v>5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1">
        <f t="shared" si="86"/>
        <v>0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7" s="11">
        <f>IF(OR('Scénario référence'!$F$8&gt;0,'Scénario référence'!$F$9&gt;0),('Scénario référence'!$F$8+'Scénario référence'!$F$9)*10,0)</f>
        <v>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18.333333333333332</v>
      </c>
      <c r="H77" s="67">
        <f t="shared" si="56"/>
        <v>183.33333333333334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0</v>
      </c>
      <c r="O77" s="13">
        <f>N77*VLOOKUP('Données projet'!$B$9,Paramètres!$A$1:$I$89,3,0)*VLOOKUP('Données projet'!$B$9,Paramètres!$A$1:$I$89,5,0)</f>
        <v>0</v>
      </c>
      <c r="P77" s="13" t="e">
        <f t="shared" si="87"/>
        <v>#NUM!</v>
      </c>
      <c r="Q77" s="20" t="e">
        <f t="shared" si="54"/>
        <v>#NUM!</v>
      </c>
      <c r="R77" s="59" t="e">
        <f t="shared" si="55"/>
        <v>#NUM!</v>
      </c>
      <c r="S77" s="59">
        <f ca="1">AVERAGE(OFFSET($R$3,0,0,'Données projet'!$E$9+1,1))-AVERAGE(OFFSET($H$3,0,0,'Données projet'!$E$9+1,1))</f>
        <v>112.82287576550925</v>
      </c>
      <c r="T77" s="59">
        <f t="shared" si="88"/>
        <v>317.78570695363294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20.639407126922009</v>
      </c>
      <c r="AA77" s="21">
        <f>EXP(-LN(2)/25)*AA76+(1-EXP(-LN(2)/25))/(LN(2)/25)*Calculateur!V77*Calculateur!X77*VLOOKUP('Données projet'!$B$9,Paramètres!$A$1:$I$89,3,0)*0.475*44/12</f>
        <v>2.8720934542283705</v>
      </c>
      <c r="AB77" s="21">
        <f>EXP(-LN(2)/2)*AB76+(1-EXP(-LN(2)/2))/(LN(2)/2)*V77*Y77*VLOOKUP('Données projet'!$B$9,Paramètres!$A$1:$I$89,3,0)*0.475*44/12</f>
        <v>1.3657863420104445E-7</v>
      </c>
      <c r="AC77" s="22">
        <f t="shared" si="57"/>
        <v>23.511500717729014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0</v>
      </c>
      <c r="AI77" s="13">
        <f>IF('Données projet'!$A$62&gt;35,AI76+AH77-AQ76,IF(A77&lt;'Données projet'!$A$62,$AF$205^A77,IF(A77='Données projet'!$A$62,'Données projet'!$B$62,AI76+AH77-AQ76)))</f>
        <v>0</v>
      </c>
      <c r="AJ77" s="13">
        <f>AI77*VLOOKUP('Données projet'!$B$10,Paramètres!$A$1:$I$89,3,0)*VLOOKUP('Données projet'!$B$10,Paramètres!$A$1:$I$89,5,0)</f>
        <v>0</v>
      </c>
      <c r="AK77" s="13" t="e">
        <f t="shared" si="89"/>
        <v>#NUM!</v>
      </c>
      <c r="AL77" s="20" t="e">
        <f t="shared" si="58"/>
        <v>#NUM!</v>
      </c>
      <c r="AM77" s="59" t="e">
        <f t="shared" si="59"/>
        <v>#NUM!</v>
      </c>
      <c r="AN77" s="59">
        <f ca="1">AVERAGE(OFFSET($AM$3,0,0,'Données projet'!$E$10+1,1))-AVERAGE(OFFSET($H$3,0,0,'Données projet'!$E$10+1,1))</f>
        <v>112.82287576550925</v>
      </c>
      <c r="AO77" s="59">
        <f t="shared" si="90"/>
        <v>317.78570695363294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20.639407126922009</v>
      </c>
      <c r="AV77" s="21">
        <f>EXP(-LN(2)/25)*AV76+(1-EXP(-LN(2)/25))/(LN(2)/25)*Calculateur!AQ77*Calculateur!AS77*VLOOKUP('Données projet'!$B$10,Paramètres!$A$1:$I$89,3,0)*0.475*44/12</f>
        <v>2.8720934542283705</v>
      </c>
      <c r="AW77" s="21">
        <f>EXP(-LN(2)/2)*AW76+(1-EXP(-LN(2)/2))/(LN(2)/2)*AQ77*AT77*VLOOKUP('Données projet'!$B$10,Paramètres!$A$1:$I$89,3,0)*0.475*44/12</f>
        <v>1.3657863420104445E-7</v>
      </c>
      <c r="AX77" s="21">
        <f t="shared" si="60"/>
        <v>23.511500717729014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0</v>
      </c>
      <c r="BD77" s="12">
        <f>IF('Données projet'!$A$88&gt;35,BD76+BC77-BL76,IF(A77&lt;'Données projet'!$A$88,$BA$205^A77,IF(A77='Données projet'!$A$88,'Données projet'!$B$88,BD76+BC77-BL76)))</f>
        <v>0</v>
      </c>
      <c r="BE77" s="13">
        <f>BD77*VLOOKUP('Données projet'!$B$11,Paramètres!$A$1:$I$89,3,0)*VLOOKUP('Données projet'!$B$11,Paramètres!$A$1:$I$89,5,0)</f>
        <v>0</v>
      </c>
      <c r="BF77" s="13" t="e">
        <f t="shared" si="91"/>
        <v>#NUM!</v>
      </c>
      <c r="BG77" s="20" t="e">
        <f t="shared" si="61"/>
        <v>#NUM!</v>
      </c>
      <c r="BH77" s="59" t="e">
        <f t="shared" si="62"/>
        <v>#NUM!</v>
      </c>
      <c r="BI77" s="59">
        <f ca="1">AVERAGE(OFFSET($BH$3,0,0,'Données projet'!$E$11+1,1))-AVERAGE(OFFSET($H$3,0,0,'Données projet'!$E$11+1,1))</f>
        <v>112.82287576550925</v>
      </c>
      <c r="BJ77" s="59">
        <f t="shared" si="92"/>
        <v>317.78570695363294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20.639407126922009</v>
      </c>
      <c r="BQ77" s="21">
        <f>EXP(-LN(2)/25)*BQ76+(1-EXP(-LN(2)/25))/(LN(2)/25)*Calculateur!BL77*Calculateur!BN77*VLOOKUP('Données projet'!$B$11,Paramètres!$A$1:$I$89,3,0)*0.475*44/12</f>
        <v>2.8720934542283705</v>
      </c>
      <c r="BR77" s="21">
        <f>EXP(-LN(2)/2)*BR76+(1-EXP(-LN(2)/2))/(LN(2)/2)*BL77*BO77*VLOOKUP('Données projet'!$B$11,Paramètres!$A$1:$I$89,3,0)*0.475*44/12</f>
        <v>1.3657863420104445E-7</v>
      </c>
      <c r="BS77" s="22">
        <f t="shared" si="63"/>
        <v>23.511500717729014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>
        <f>BY77*VLOOKUP('Données projet'!$B$12,Paramètres!$A$1:$I$89,3,0)*VLOOKUP('Données projet'!$B$12,Paramètres!$A$1:$I$89,5,0)</f>
        <v>0</v>
      </c>
      <c r="CA77" s="13" t="e">
        <f t="shared" si="93"/>
        <v>#NUM!</v>
      </c>
      <c r="CB77" s="20" t="e">
        <f t="shared" si="64"/>
        <v>#NUM!</v>
      </c>
      <c r="CC77" s="59" t="e">
        <f t="shared" si="65"/>
        <v>#NUM!</v>
      </c>
      <c r="CD77" s="59">
        <f ca="1">AVERAGE(OFFSET($CC$3,0,0,'Données projet'!$E$12+1,1))-AVERAGE(OFFSET($H$3,0,0,'Données projet'!$E$12+1,1))</f>
        <v>112.82287576550925</v>
      </c>
      <c r="CE77" s="59">
        <f t="shared" si="94"/>
        <v>317.78570695363294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>
        <f>EXP(-LN(2)/35)*CK76+(1-EXP(-LN(2)/35))/(LN(2)/35)*CG77*CH77*VLOOKUP('Données projet'!$B$12,Paramètres!$A$1:$I$89,3,0)*0.475*44/12</f>
        <v>20.639407126922009</v>
      </c>
      <c r="CL77" s="21">
        <f>EXP(-LN(2)/25)*CL76+(1-EXP(-LN(2)/25))/(LN(2)/25)*Calculateur!CG77*Calculateur!CI77*VLOOKUP('Données projet'!$B$12,Paramètres!$A$1:$I$89,3,0)*0.475*44/12</f>
        <v>2.8720934542283705</v>
      </c>
      <c r="CM77" s="21">
        <f>EXP(-LN(2)/2)*CM76+(1-EXP(-LN(2)/2))/(LN(2)/2)*CG77*CJ77*VLOOKUP('Données projet'!$B$12,Paramètres!$A$1:$I$89,3,0)*0.475*44/12</f>
        <v>1.3657863420104445E-7</v>
      </c>
      <c r="CN77" s="22">
        <f t="shared" si="66"/>
        <v>23.511500717729014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5">
      <c r="A78" s="10">
        <f t="shared" si="85"/>
        <v>75</v>
      </c>
      <c r="B78" s="73">
        <f>'Scénario référence'!$B$16*5+'Scénario référence'!$B$17*0+'Scénario référence'!$B$18*5</f>
        <v>5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1">
        <f t="shared" si="86"/>
        <v>0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8" s="11">
        <f>IF(OR('Scénario référence'!$F$8&gt;0,'Scénario référence'!$F$9&gt;0),('Scénario référence'!$F$8+'Scénario référence'!$F$9)*10,0)</f>
        <v>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18.333333333333332</v>
      </c>
      <c r="H78" s="67">
        <f t="shared" si="56"/>
        <v>183.33333333333334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0</v>
      </c>
      <c r="O78" s="13">
        <f>N78*VLOOKUP('Données projet'!$B$9,Paramètres!$A$1:$I$89,3,0)*VLOOKUP('Données projet'!$B$9,Paramètres!$A$1:$I$89,5,0)</f>
        <v>0</v>
      </c>
      <c r="P78" s="13" t="e">
        <f t="shared" si="87"/>
        <v>#NUM!</v>
      </c>
      <c r="Q78" s="20" t="e">
        <f t="shared" si="54"/>
        <v>#NUM!</v>
      </c>
      <c r="R78" s="59" t="e">
        <f t="shared" si="55"/>
        <v>#NUM!</v>
      </c>
      <c r="S78" s="59">
        <f ca="1">AVERAGE(OFFSET($R$3,0,0,'Données projet'!$E$9+1,1))-AVERAGE(OFFSET($H$3,0,0,'Données projet'!$E$9+1,1))</f>
        <v>112.82287576550925</v>
      </c>
      <c r="T78" s="59">
        <f t="shared" si="88"/>
        <v>317.78570695363294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20.234680941958377</v>
      </c>
      <c r="AA78" s="21">
        <f>EXP(-LN(2)/25)*AA77+(1-EXP(-LN(2)/25))/(LN(2)/25)*Calculateur!V78*Calculateur!X78*VLOOKUP('Données projet'!$B$9,Paramètres!$A$1:$I$89,3,0)*0.475*44/12</f>
        <v>2.7935559076856653</v>
      </c>
      <c r="AB78" s="21">
        <f>EXP(-LN(2)/2)*AB77+(1-EXP(-LN(2)/2))/(LN(2)/2)*V78*Y78*VLOOKUP('Données projet'!$B$9,Paramètres!$A$1:$I$89,3,0)*0.475*44/12</f>
        <v>9.6575678408755456E-8</v>
      </c>
      <c r="AC78" s="22">
        <f t="shared" si="57"/>
        <v>23.028236946219721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0</v>
      </c>
      <c r="AI78" s="13">
        <f>IF('Données projet'!$A$62&gt;35,AI77+AH78-AQ77,IF(A78&lt;'Données projet'!$A$62,$AF$205^A78,IF(A78='Données projet'!$A$62,'Données projet'!$B$62,AI77+AH78-AQ77)))</f>
        <v>0</v>
      </c>
      <c r="AJ78" s="13">
        <f>AI78*VLOOKUP('Données projet'!$B$10,Paramètres!$A$1:$I$89,3,0)*VLOOKUP('Données projet'!$B$10,Paramètres!$A$1:$I$89,5,0)</f>
        <v>0</v>
      </c>
      <c r="AK78" s="13" t="e">
        <f t="shared" si="89"/>
        <v>#NUM!</v>
      </c>
      <c r="AL78" s="20" t="e">
        <f t="shared" si="58"/>
        <v>#NUM!</v>
      </c>
      <c r="AM78" s="59" t="e">
        <f t="shared" si="59"/>
        <v>#NUM!</v>
      </c>
      <c r="AN78" s="59">
        <f ca="1">AVERAGE(OFFSET($AM$3,0,0,'Données projet'!$E$10+1,1))-AVERAGE(OFFSET($H$3,0,0,'Données projet'!$E$10+1,1))</f>
        <v>112.82287576550925</v>
      </c>
      <c r="AO78" s="59">
        <f t="shared" si="90"/>
        <v>317.78570695363294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20.234680941958377</v>
      </c>
      <c r="AV78" s="21">
        <f>EXP(-LN(2)/25)*AV77+(1-EXP(-LN(2)/25))/(LN(2)/25)*Calculateur!AQ78*Calculateur!AS78*VLOOKUP('Données projet'!$B$10,Paramètres!$A$1:$I$89,3,0)*0.475*44/12</f>
        <v>2.7935559076856653</v>
      </c>
      <c r="AW78" s="21">
        <f>EXP(-LN(2)/2)*AW77+(1-EXP(-LN(2)/2))/(LN(2)/2)*AQ78*AT78*VLOOKUP('Données projet'!$B$10,Paramètres!$A$1:$I$89,3,0)*0.475*44/12</f>
        <v>9.6575678408755456E-8</v>
      </c>
      <c r="AX78" s="21">
        <f t="shared" si="60"/>
        <v>23.028236946219721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0</v>
      </c>
      <c r="BD78" s="12">
        <f>IF('Données projet'!$A$88&gt;35,BD77+BC78-BL77,IF(A78&lt;'Données projet'!$A$88,$BA$205^A78,IF(A78='Données projet'!$A$88,'Données projet'!$B$88,BD77+BC78-BL77)))</f>
        <v>0</v>
      </c>
      <c r="BE78" s="13">
        <f>BD78*VLOOKUP('Données projet'!$B$11,Paramètres!$A$1:$I$89,3,0)*VLOOKUP('Données projet'!$B$11,Paramètres!$A$1:$I$89,5,0)</f>
        <v>0</v>
      </c>
      <c r="BF78" s="13" t="e">
        <f t="shared" si="91"/>
        <v>#NUM!</v>
      </c>
      <c r="BG78" s="20" t="e">
        <f t="shared" si="61"/>
        <v>#NUM!</v>
      </c>
      <c r="BH78" s="59" t="e">
        <f t="shared" si="62"/>
        <v>#NUM!</v>
      </c>
      <c r="BI78" s="59">
        <f ca="1">AVERAGE(OFFSET($BH$3,0,0,'Données projet'!$E$11+1,1))-AVERAGE(OFFSET($H$3,0,0,'Données projet'!$E$11+1,1))</f>
        <v>112.82287576550925</v>
      </c>
      <c r="BJ78" s="59">
        <f t="shared" si="92"/>
        <v>317.78570695363294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20.234680941958377</v>
      </c>
      <c r="BQ78" s="21">
        <f>EXP(-LN(2)/25)*BQ77+(1-EXP(-LN(2)/25))/(LN(2)/25)*Calculateur!BL78*Calculateur!BN78*VLOOKUP('Données projet'!$B$11,Paramètres!$A$1:$I$89,3,0)*0.475*44/12</f>
        <v>2.7935559076856653</v>
      </c>
      <c r="BR78" s="21">
        <f>EXP(-LN(2)/2)*BR77+(1-EXP(-LN(2)/2))/(LN(2)/2)*BL78*BO78*VLOOKUP('Données projet'!$B$11,Paramètres!$A$1:$I$89,3,0)*0.475*44/12</f>
        <v>9.6575678408755456E-8</v>
      </c>
      <c r="BS78" s="22">
        <f t="shared" si="63"/>
        <v>23.028236946219721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>
        <f>BY78*VLOOKUP('Données projet'!$B$12,Paramètres!$A$1:$I$89,3,0)*VLOOKUP('Données projet'!$B$12,Paramètres!$A$1:$I$89,5,0)</f>
        <v>0</v>
      </c>
      <c r="CA78" s="13" t="e">
        <f t="shared" si="93"/>
        <v>#NUM!</v>
      </c>
      <c r="CB78" s="20" t="e">
        <f t="shared" si="64"/>
        <v>#NUM!</v>
      </c>
      <c r="CC78" s="59" t="e">
        <f t="shared" si="65"/>
        <v>#NUM!</v>
      </c>
      <c r="CD78" s="59">
        <f ca="1">AVERAGE(OFFSET($CC$3,0,0,'Données projet'!$E$12+1,1))-AVERAGE(OFFSET($H$3,0,0,'Données projet'!$E$12+1,1))</f>
        <v>112.82287576550925</v>
      </c>
      <c r="CE78" s="59">
        <f t="shared" si="94"/>
        <v>317.78570695363294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>
        <f>EXP(-LN(2)/35)*CK77+(1-EXP(-LN(2)/35))/(LN(2)/35)*CG78*CH78*VLOOKUP('Données projet'!$B$12,Paramètres!$A$1:$I$89,3,0)*0.475*44/12</f>
        <v>20.234680941958377</v>
      </c>
      <c r="CL78" s="21">
        <f>EXP(-LN(2)/25)*CL77+(1-EXP(-LN(2)/25))/(LN(2)/25)*Calculateur!CG78*Calculateur!CI78*VLOOKUP('Données projet'!$B$12,Paramètres!$A$1:$I$89,3,0)*0.475*44/12</f>
        <v>2.7935559076856653</v>
      </c>
      <c r="CM78" s="21">
        <f>EXP(-LN(2)/2)*CM77+(1-EXP(-LN(2)/2))/(LN(2)/2)*CG78*CJ78*VLOOKUP('Données projet'!$B$12,Paramètres!$A$1:$I$89,3,0)*0.475*44/12</f>
        <v>9.6575678408755456E-8</v>
      </c>
      <c r="CN78" s="22">
        <f t="shared" si="66"/>
        <v>23.028236946219721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5">
      <c r="A79" s="10">
        <f t="shared" si="85"/>
        <v>76</v>
      </c>
      <c r="B79" s="73">
        <f>'Scénario référence'!$B$16*5+'Scénario référence'!$B$17*0+'Scénario référence'!$B$18*5</f>
        <v>5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1">
        <f t="shared" si="86"/>
        <v>0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79" s="11">
        <f>IF(OR('Scénario référence'!$F$8&gt;0,'Scénario référence'!$F$9&gt;0),('Scénario référence'!$F$8+'Scénario référence'!$F$9)*10,0)</f>
        <v>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18.333333333333332</v>
      </c>
      <c r="H79" s="67">
        <f t="shared" si="56"/>
        <v>183.33333333333334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0</v>
      </c>
      <c r="O79" s="13">
        <f>N79*VLOOKUP('Données projet'!$B$9,Paramètres!$A$1:$I$89,3,0)*VLOOKUP('Données projet'!$B$9,Paramètres!$A$1:$I$89,5,0)</f>
        <v>0</v>
      </c>
      <c r="P79" s="13" t="e">
        <f t="shared" si="87"/>
        <v>#NUM!</v>
      </c>
      <c r="Q79" s="20" t="e">
        <f t="shared" si="54"/>
        <v>#NUM!</v>
      </c>
      <c r="R79" s="59" t="e">
        <f t="shared" si="55"/>
        <v>#NUM!</v>
      </c>
      <c r="S79" s="59">
        <f ca="1">AVERAGE(OFFSET($R$3,0,0,'Données projet'!$E$9+1,1))-AVERAGE(OFFSET($H$3,0,0,'Données projet'!$E$9+1,1))</f>
        <v>112.82287576550925</v>
      </c>
      <c r="T79" s="59">
        <f t="shared" si="88"/>
        <v>317.78570695363294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19.837891190623282</v>
      </c>
      <c r="AA79" s="21">
        <f>EXP(-LN(2)/25)*AA78+(1-EXP(-LN(2)/25))/(LN(2)/25)*Calculateur!V79*Calculateur!X79*VLOOKUP('Données projet'!$B$9,Paramètres!$A$1:$I$89,3,0)*0.475*44/12</f>
        <v>2.7171659744832803</v>
      </c>
      <c r="AB79" s="21">
        <f>EXP(-LN(2)/2)*AB78+(1-EXP(-LN(2)/2))/(LN(2)/2)*V79*Y79*VLOOKUP('Données projet'!$B$9,Paramètres!$A$1:$I$89,3,0)*0.475*44/12</f>
        <v>6.8289317100522226E-8</v>
      </c>
      <c r="AC79" s="22">
        <f t="shared" si="57"/>
        <v>22.555057233395878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0</v>
      </c>
      <c r="AI79" s="13">
        <f>IF('Données projet'!$A$62&gt;35,AI78+AH79-AQ78,IF(A79&lt;'Données projet'!$A$62,$AF$205^A79,IF(A79='Données projet'!$A$62,'Données projet'!$B$62,AI78+AH79-AQ78)))</f>
        <v>0</v>
      </c>
      <c r="AJ79" s="13">
        <f>AI79*VLOOKUP('Données projet'!$B$10,Paramètres!$A$1:$I$89,3,0)*VLOOKUP('Données projet'!$B$10,Paramètres!$A$1:$I$89,5,0)</f>
        <v>0</v>
      </c>
      <c r="AK79" s="13" t="e">
        <f t="shared" si="89"/>
        <v>#NUM!</v>
      </c>
      <c r="AL79" s="20" t="e">
        <f t="shared" si="58"/>
        <v>#NUM!</v>
      </c>
      <c r="AM79" s="59" t="e">
        <f t="shared" si="59"/>
        <v>#NUM!</v>
      </c>
      <c r="AN79" s="59">
        <f ca="1">AVERAGE(OFFSET($AM$3,0,0,'Données projet'!$E$10+1,1))-AVERAGE(OFFSET($H$3,0,0,'Données projet'!$E$10+1,1))</f>
        <v>112.82287576550925</v>
      </c>
      <c r="AO79" s="59">
        <f t="shared" si="90"/>
        <v>317.78570695363294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19.837891190623282</v>
      </c>
      <c r="AV79" s="21">
        <f>EXP(-LN(2)/25)*AV78+(1-EXP(-LN(2)/25))/(LN(2)/25)*Calculateur!AQ79*Calculateur!AS79*VLOOKUP('Données projet'!$B$10,Paramètres!$A$1:$I$89,3,0)*0.475*44/12</f>
        <v>2.7171659744832803</v>
      </c>
      <c r="AW79" s="21">
        <f>EXP(-LN(2)/2)*AW78+(1-EXP(-LN(2)/2))/(LN(2)/2)*AQ79*AT79*VLOOKUP('Données projet'!$B$10,Paramètres!$A$1:$I$89,3,0)*0.475*44/12</f>
        <v>6.8289317100522226E-8</v>
      </c>
      <c r="AX79" s="21">
        <f t="shared" si="60"/>
        <v>22.555057233395878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0</v>
      </c>
      <c r="BD79" s="12">
        <f>IF('Données projet'!$A$88&gt;35,BD78+BC79-BL78,IF(A79&lt;'Données projet'!$A$88,$BA$205^A79,IF(A79='Données projet'!$A$88,'Données projet'!$B$88,BD78+BC79-BL78)))</f>
        <v>0</v>
      </c>
      <c r="BE79" s="13">
        <f>BD79*VLOOKUP('Données projet'!$B$11,Paramètres!$A$1:$I$89,3,0)*VLOOKUP('Données projet'!$B$11,Paramètres!$A$1:$I$89,5,0)</f>
        <v>0</v>
      </c>
      <c r="BF79" s="13" t="e">
        <f t="shared" si="91"/>
        <v>#NUM!</v>
      </c>
      <c r="BG79" s="20" t="e">
        <f t="shared" si="61"/>
        <v>#NUM!</v>
      </c>
      <c r="BH79" s="59" t="e">
        <f t="shared" si="62"/>
        <v>#NUM!</v>
      </c>
      <c r="BI79" s="59">
        <f ca="1">AVERAGE(OFFSET($BH$3,0,0,'Données projet'!$E$11+1,1))-AVERAGE(OFFSET($H$3,0,0,'Données projet'!$E$11+1,1))</f>
        <v>112.82287576550925</v>
      </c>
      <c r="BJ79" s="59">
        <f t="shared" si="92"/>
        <v>317.78570695363294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19.837891190623282</v>
      </c>
      <c r="BQ79" s="21">
        <f>EXP(-LN(2)/25)*BQ78+(1-EXP(-LN(2)/25))/(LN(2)/25)*Calculateur!BL79*Calculateur!BN79*VLOOKUP('Données projet'!$B$11,Paramètres!$A$1:$I$89,3,0)*0.475*44/12</f>
        <v>2.7171659744832803</v>
      </c>
      <c r="BR79" s="21">
        <f>EXP(-LN(2)/2)*BR78+(1-EXP(-LN(2)/2))/(LN(2)/2)*BL79*BO79*VLOOKUP('Données projet'!$B$11,Paramètres!$A$1:$I$89,3,0)*0.475*44/12</f>
        <v>6.8289317100522226E-8</v>
      </c>
      <c r="BS79" s="22">
        <f t="shared" si="63"/>
        <v>22.555057233395878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>
        <f>BY79*VLOOKUP('Données projet'!$B$12,Paramètres!$A$1:$I$89,3,0)*VLOOKUP('Données projet'!$B$12,Paramètres!$A$1:$I$89,5,0)</f>
        <v>0</v>
      </c>
      <c r="CA79" s="13" t="e">
        <f t="shared" si="93"/>
        <v>#NUM!</v>
      </c>
      <c r="CB79" s="20" t="e">
        <f t="shared" si="64"/>
        <v>#NUM!</v>
      </c>
      <c r="CC79" s="59" t="e">
        <f t="shared" si="65"/>
        <v>#NUM!</v>
      </c>
      <c r="CD79" s="59">
        <f ca="1">AVERAGE(OFFSET($CC$3,0,0,'Données projet'!$E$12+1,1))-AVERAGE(OFFSET($H$3,0,0,'Données projet'!$E$12+1,1))</f>
        <v>112.82287576550925</v>
      </c>
      <c r="CE79" s="59">
        <f t="shared" si="94"/>
        <v>317.78570695363294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>
        <f>EXP(-LN(2)/35)*CK78+(1-EXP(-LN(2)/35))/(LN(2)/35)*CG79*CH79*VLOOKUP('Données projet'!$B$12,Paramètres!$A$1:$I$89,3,0)*0.475*44/12</f>
        <v>19.837891190623282</v>
      </c>
      <c r="CL79" s="21">
        <f>EXP(-LN(2)/25)*CL78+(1-EXP(-LN(2)/25))/(LN(2)/25)*Calculateur!CG79*Calculateur!CI79*VLOOKUP('Données projet'!$B$12,Paramètres!$A$1:$I$89,3,0)*0.475*44/12</f>
        <v>2.7171659744832803</v>
      </c>
      <c r="CM79" s="21">
        <f>EXP(-LN(2)/2)*CM78+(1-EXP(-LN(2)/2))/(LN(2)/2)*CG79*CJ79*VLOOKUP('Données projet'!$B$12,Paramètres!$A$1:$I$89,3,0)*0.475*44/12</f>
        <v>6.8289317100522226E-8</v>
      </c>
      <c r="CN79" s="22">
        <f t="shared" si="66"/>
        <v>22.555057233395878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5">
      <c r="A80" s="10">
        <f t="shared" si="85"/>
        <v>77</v>
      </c>
      <c r="B80" s="73">
        <f>'Scénario référence'!$B$16*5+'Scénario référence'!$B$17*0+'Scénario référence'!$B$18*5</f>
        <v>5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1">
        <f t="shared" si="86"/>
        <v>0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0" s="11">
        <f>IF(OR('Scénario référence'!$F$8&gt;0,'Scénario référence'!$F$9&gt;0),('Scénario référence'!$F$8+'Scénario référence'!$F$9)*10,0)</f>
        <v>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18.333333333333332</v>
      </c>
      <c r="H80" s="67">
        <f t="shared" si="56"/>
        <v>183.33333333333334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0</v>
      </c>
      <c r="O80" s="13">
        <f>N80*VLOOKUP('Données projet'!$B$9,Paramètres!$A$1:$I$89,3,0)*VLOOKUP('Données projet'!$B$9,Paramètres!$A$1:$I$89,5,0)</f>
        <v>0</v>
      </c>
      <c r="P80" s="13" t="e">
        <f t="shared" si="87"/>
        <v>#NUM!</v>
      </c>
      <c r="Q80" s="20" t="e">
        <f t="shared" si="54"/>
        <v>#NUM!</v>
      </c>
      <c r="R80" s="59" t="e">
        <f t="shared" si="55"/>
        <v>#NUM!</v>
      </c>
      <c r="S80" s="59">
        <f ca="1">AVERAGE(OFFSET($R$3,0,0,'Données projet'!$E$9+1,1))-AVERAGE(OFFSET($H$3,0,0,'Données projet'!$E$9+1,1))</f>
        <v>112.82287576550925</v>
      </c>
      <c r="T80" s="59">
        <f t="shared" si="88"/>
        <v>317.78570695363294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19.448882244294019</v>
      </c>
      <c r="AA80" s="21">
        <f>EXP(-LN(2)/25)*AA79+(1-EXP(-LN(2)/25))/(LN(2)/25)*Calculateur!V80*Calculateur!X80*VLOOKUP('Données projet'!$B$9,Paramètres!$A$1:$I$89,3,0)*0.475*44/12</f>
        <v>2.6428649280214866</v>
      </c>
      <c r="AB80" s="21">
        <f>EXP(-LN(2)/2)*AB79+(1-EXP(-LN(2)/2))/(LN(2)/2)*V80*Y80*VLOOKUP('Données projet'!$B$9,Paramètres!$A$1:$I$89,3,0)*0.475*44/12</f>
        <v>4.8287839204377728E-8</v>
      </c>
      <c r="AC80" s="22">
        <f t="shared" si="57"/>
        <v>22.091747220603345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0</v>
      </c>
      <c r="AI80" s="13">
        <f>IF('Données projet'!$A$62&gt;35,AI79+AH80-AQ79,IF(A80&lt;'Données projet'!$A$62,$AF$205^A80,IF(A80='Données projet'!$A$62,'Données projet'!$B$62,AI79+AH80-AQ79)))</f>
        <v>0</v>
      </c>
      <c r="AJ80" s="13">
        <f>AI80*VLOOKUP('Données projet'!$B$10,Paramètres!$A$1:$I$89,3,0)*VLOOKUP('Données projet'!$B$10,Paramètres!$A$1:$I$89,5,0)</f>
        <v>0</v>
      </c>
      <c r="AK80" s="13" t="e">
        <f t="shared" si="89"/>
        <v>#NUM!</v>
      </c>
      <c r="AL80" s="20" t="e">
        <f t="shared" si="58"/>
        <v>#NUM!</v>
      </c>
      <c r="AM80" s="59" t="e">
        <f t="shared" si="59"/>
        <v>#NUM!</v>
      </c>
      <c r="AN80" s="59">
        <f ca="1">AVERAGE(OFFSET($AM$3,0,0,'Données projet'!$E$10+1,1))-AVERAGE(OFFSET($H$3,0,0,'Données projet'!$E$10+1,1))</f>
        <v>112.82287576550925</v>
      </c>
      <c r="AO80" s="59">
        <f t="shared" si="90"/>
        <v>317.78570695363294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19.448882244294019</v>
      </c>
      <c r="AV80" s="21">
        <f>EXP(-LN(2)/25)*AV79+(1-EXP(-LN(2)/25))/(LN(2)/25)*Calculateur!AQ80*Calculateur!AS80*VLOOKUP('Données projet'!$B$10,Paramètres!$A$1:$I$89,3,0)*0.475*44/12</f>
        <v>2.6428649280214866</v>
      </c>
      <c r="AW80" s="21">
        <f>EXP(-LN(2)/2)*AW79+(1-EXP(-LN(2)/2))/(LN(2)/2)*AQ80*AT80*VLOOKUP('Données projet'!$B$10,Paramètres!$A$1:$I$89,3,0)*0.475*44/12</f>
        <v>4.8287839204377728E-8</v>
      </c>
      <c r="AX80" s="21">
        <f t="shared" si="60"/>
        <v>22.091747220603345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</v>
      </c>
      <c r="BD80" s="12">
        <f>IF('Données projet'!$A$88&gt;35,BD79+BC80-BL79,IF(A80&lt;'Données projet'!$A$88,$BA$205^A80,IF(A80='Données projet'!$A$88,'Données projet'!$B$88,BD79+BC80-BL79)))</f>
        <v>0</v>
      </c>
      <c r="BE80" s="13">
        <f>BD80*VLOOKUP('Données projet'!$B$11,Paramètres!$A$1:$I$89,3,0)*VLOOKUP('Données projet'!$B$11,Paramètres!$A$1:$I$89,5,0)</f>
        <v>0</v>
      </c>
      <c r="BF80" s="13" t="e">
        <f t="shared" si="91"/>
        <v>#NUM!</v>
      </c>
      <c r="BG80" s="20" t="e">
        <f t="shared" si="61"/>
        <v>#NUM!</v>
      </c>
      <c r="BH80" s="59" t="e">
        <f t="shared" si="62"/>
        <v>#NUM!</v>
      </c>
      <c r="BI80" s="59">
        <f ca="1">AVERAGE(OFFSET($BH$3,0,0,'Données projet'!$E$11+1,1))-AVERAGE(OFFSET($H$3,0,0,'Données projet'!$E$11+1,1))</f>
        <v>112.82287576550925</v>
      </c>
      <c r="BJ80" s="59">
        <f t="shared" si="92"/>
        <v>317.78570695363294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19.448882244294019</v>
      </c>
      <c r="BQ80" s="21">
        <f>EXP(-LN(2)/25)*BQ79+(1-EXP(-LN(2)/25))/(LN(2)/25)*Calculateur!BL80*Calculateur!BN80*VLOOKUP('Données projet'!$B$11,Paramètres!$A$1:$I$89,3,0)*0.475*44/12</f>
        <v>2.6428649280214866</v>
      </c>
      <c r="BR80" s="21">
        <f>EXP(-LN(2)/2)*BR79+(1-EXP(-LN(2)/2))/(LN(2)/2)*BL80*BO80*VLOOKUP('Données projet'!$B$11,Paramètres!$A$1:$I$89,3,0)*0.475*44/12</f>
        <v>4.8287839204377728E-8</v>
      </c>
      <c r="BS80" s="22">
        <f t="shared" si="63"/>
        <v>22.091747220603345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>
        <f>BY80*VLOOKUP('Données projet'!$B$12,Paramètres!$A$1:$I$89,3,0)*VLOOKUP('Données projet'!$B$12,Paramètres!$A$1:$I$89,5,0)</f>
        <v>0</v>
      </c>
      <c r="CA80" s="13" t="e">
        <f t="shared" si="93"/>
        <v>#NUM!</v>
      </c>
      <c r="CB80" s="20" t="e">
        <f t="shared" si="64"/>
        <v>#NUM!</v>
      </c>
      <c r="CC80" s="59" t="e">
        <f t="shared" si="65"/>
        <v>#NUM!</v>
      </c>
      <c r="CD80" s="59">
        <f ca="1">AVERAGE(OFFSET($CC$3,0,0,'Données projet'!$E$12+1,1))-AVERAGE(OFFSET($H$3,0,0,'Données projet'!$E$12+1,1))</f>
        <v>112.82287576550925</v>
      </c>
      <c r="CE80" s="59">
        <f t="shared" si="94"/>
        <v>317.78570695363294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>
        <f>EXP(-LN(2)/35)*CK79+(1-EXP(-LN(2)/35))/(LN(2)/35)*CG80*CH80*VLOOKUP('Données projet'!$B$12,Paramètres!$A$1:$I$89,3,0)*0.475*44/12</f>
        <v>19.448882244294019</v>
      </c>
      <c r="CL80" s="21">
        <f>EXP(-LN(2)/25)*CL79+(1-EXP(-LN(2)/25))/(LN(2)/25)*Calculateur!CG80*Calculateur!CI80*VLOOKUP('Données projet'!$B$12,Paramètres!$A$1:$I$89,3,0)*0.475*44/12</f>
        <v>2.6428649280214866</v>
      </c>
      <c r="CM80" s="21">
        <f>EXP(-LN(2)/2)*CM79+(1-EXP(-LN(2)/2))/(LN(2)/2)*CG80*CJ80*VLOOKUP('Données projet'!$B$12,Paramètres!$A$1:$I$89,3,0)*0.475*44/12</f>
        <v>4.8287839204377728E-8</v>
      </c>
      <c r="CN80" s="22">
        <f t="shared" si="66"/>
        <v>22.091747220603345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5">
      <c r="A81" s="10">
        <f t="shared" si="85"/>
        <v>78</v>
      </c>
      <c r="B81" s="73">
        <f>'Scénario référence'!$B$16*5+'Scénario référence'!$B$17*0+'Scénario référence'!$B$18*5</f>
        <v>5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1">
        <f t="shared" si="86"/>
        <v>0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1" s="11">
        <f>IF(OR('Scénario référence'!$F$8&gt;0,'Scénario référence'!$F$9&gt;0),('Scénario référence'!$F$8+'Scénario référence'!$F$9)*10,0)</f>
        <v>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18.333333333333332</v>
      </c>
      <c r="H81" s="67">
        <f t="shared" si="56"/>
        <v>183.33333333333334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0</v>
      </c>
      <c r="O81" s="13">
        <f>N81*VLOOKUP('Données projet'!$B$9,Paramètres!$A$1:$I$89,3,0)*VLOOKUP('Données projet'!$B$9,Paramètres!$A$1:$I$89,5,0)</f>
        <v>0</v>
      </c>
      <c r="P81" s="13" t="e">
        <f t="shared" si="87"/>
        <v>#NUM!</v>
      </c>
      <c r="Q81" s="20" t="e">
        <f t="shared" si="54"/>
        <v>#NUM!</v>
      </c>
      <c r="R81" s="59" t="e">
        <f t="shared" si="55"/>
        <v>#NUM!</v>
      </c>
      <c r="S81" s="59">
        <f ca="1">AVERAGE(OFFSET($R$3,0,0,'Données projet'!$E$9+1,1))-AVERAGE(OFFSET($H$3,0,0,'Données projet'!$E$9+1,1))</f>
        <v>112.82287576550925</v>
      </c>
      <c r="T81" s="59">
        <f t="shared" si="88"/>
        <v>317.78570695363294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19.067501526130243</v>
      </c>
      <c r="AA81" s="21">
        <f>EXP(-LN(2)/25)*AA80+(1-EXP(-LN(2)/25))/(LN(2)/25)*Calculateur!V81*Calculateur!X81*VLOOKUP('Données projet'!$B$9,Paramètres!$A$1:$I$89,3,0)*0.475*44/12</f>
        <v>2.5705956475825129</v>
      </c>
      <c r="AB81" s="21">
        <f>EXP(-LN(2)/2)*AB80+(1-EXP(-LN(2)/2))/(LN(2)/2)*V81*Y81*VLOOKUP('Données projet'!$B$9,Paramètres!$A$1:$I$89,3,0)*0.475*44/12</f>
        <v>3.4144658550261113E-8</v>
      </c>
      <c r="AC81" s="22">
        <f t="shared" si="57"/>
        <v>21.638097207857417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0</v>
      </c>
      <c r="AI81" s="13">
        <f>IF('Données projet'!$A$62&gt;35,AI80+AH81-AQ80,IF(A81&lt;'Données projet'!$A$62,$AF$205^A81,IF(A81='Données projet'!$A$62,'Données projet'!$B$62,AI80+AH81-AQ80)))</f>
        <v>0</v>
      </c>
      <c r="AJ81" s="13">
        <f>AI81*VLOOKUP('Données projet'!$B$10,Paramètres!$A$1:$I$89,3,0)*VLOOKUP('Données projet'!$B$10,Paramètres!$A$1:$I$89,5,0)</f>
        <v>0</v>
      </c>
      <c r="AK81" s="13" t="e">
        <f t="shared" si="89"/>
        <v>#NUM!</v>
      </c>
      <c r="AL81" s="20" t="e">
        <f t="shared" si="58"/>
        <v>#NUM!</v>
      </c>
      <c r="AM81" s="59" t="e">
        <f t="shared" si="59"/>
        <v>#NUM!</v>
      </c>
      <c r="AN81" s="59">
        <f ca="1">AVERAGE(OFFSET($AM$3,0,0,'Données projet'!$E$10+1,1))-AVERAGE(OFFSET($H$3,0,0,'Données projet'!$E$10+1,1))</f>
        <v>112.82287576550925</v>
      </c>
      <c r="AO81" s="59">
        <f t="shared" si="90"/>
        <v>317.78570695363294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19.067501526130243</v>
      </c>
      <c r="AV81" s="21">
        <f>EXP(-LN(2)/25)*AV80+(1-EXP(-LN(2)/25))/(LN(2)/25)*Calculateur!AQ81*Calculateur!AS81*VLOOKUP('Données projet'!$B$10,Paramètres!$A$1:$I$89,3,0)*0.475*44/12</f>
        <v>2.5705956475825129</v>
      </c>
      <c r="AW81" s="21">
        <f>EXP(-LN(2)/2)*AW80+(1-EXP(-LN(2)/2))/(LN(2)/2)*AQ81*AT81*VLOOKUP('Données projet'!$B$10,Paramètres!$A$1:$I$89,3,0)*0.475*44/12</f>
        <v>3.4144658550261113E-8</v>
      </c>
      <c r="AX81" s="21">
        <f t="shared" si="60"/>
        <v>21.638097207857417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</v>
      </c>
      <c r="BD81" s="12">
        <f>IF('Données projet'!$A$88&gt;35,BD80+BC81-BL80,IF(A81&lt;'Données projet'!$A$88,$BA$205^A81,IF(A81='Données projet'!$A$88,'Données projet'!$B$88,BD80+BC81-BL80)))</f>
        <v>0</v>
      </c>
      <c r="BE81" s="13">
        <f>BD81*VLOOKUP('Données projet'!$B$11,Paramètres!$A$1:$I$89,3,0)*VLOOKUP('Données projet'!$B$11,Paramètres!$A$1:$I$89,5,0)</f>
        <v>0</v>
      </c>
      <c r="BF81" s="13" t="e">
        <f t="shared" si="91"/>
        <v>#NUM!</v>
      </c>
      <c r="BG81" s="20" t="e">
        <f t="shared" si="61"/>
        <v>#NUM!</v>
      </c>
      <c r="BH81" s="59" t="e">
        <f t="shared" si="62"/>
        <v>#NUM!</v>
      </c>
      <c r="BI81" s="59">
        <f ca="1">AVERAGE(OFFSET($BH$3,0,0,'Données projet'!$E$11+1,1))-AVERAGE(OFFSET($H$3,0,0,'Données projet'!$E$11+1,1))</f>
        <v>112.82287576550925</v>
      </c>
      <c r="BJ81" s="59">
        <f t="shared" si="92"/>
        <v>317.78570695363294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19.067501526130243</v>
      </c>
      <c r="BQ81" s="21">
        <f>EXP(-LN(2)/25)*BQ80+(1-EXP(-LN(2)/25))/(LN(2)/25)*Calculateur!BL81*Calculateur!BN81*VLOOKUP('Données projet'!$B$11,Paramètres!$A$1:$I$89,3,0)*0.475*44/12</f>
        <v>2.5705956475825129</v>
      </c>
      <c r="BR81" s="21">
        <f>EXP(-LN(2)/2)*BR80+(1-EXP(-LN(2)/2))/(LN(2)/2)*BL81*BO81*VLOOKUP('Données projet'!$B$11,Paramètres!$A$1:$I$89,3,0)*0.475*44/12</f>
        <v>3.4144658550261113E-8</v>
      </c>
      <c r="BS81" s="22">
        <f t="shared" si="63"/>
        <v>21.638097207857417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>
        <f>BY81*VLOOKUP('Données projet'!$B$12,Paramètres!$A$1:$I$89,3,0)*VLOOKUP('Données projet'!$B$12,Paramètres!$A$1:$I$89,5,0)</f>
        <v>0</v>
      </c>
      <c r="CA81" s="13" t="e">
        <f t="shared" si="93"/>
        <v>#NUM!</v>
      </c>
      <c r="CB81" s="20" t="e">
        <f t="shared" si="64"/>
        <v>#NUM!</v>
      </c>
      <c r="CC81" s="59" t="e">
        <f t="shared" si="65"/>
        <v>#NUM!</v>
      </c>
      <c r="CD81" s="59">
        <f ca="1">AVERAGE(OFFSET($CC$3,0,0,'Données projet'!$E$12+1,1))-AVERAGE(OFFSET($H$3,0,0,'Données projet'!$E$12+1,1))</f>
        <v>112.82287576550925</v>
      </c>
      <c r="CE81" s="59">
        <f t="shared" si="94"/>
        <v>317.78570695363294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>
        <f>EXP(-LN(2)/35)*CK80+(1-EXP(-LN(2)/35))/(LN(2)/35)*CG81*CH81*VLOOKUP('Données projet'!$B$12,Paramètres!$A$1:$I$89,3,0)*0.475*44/12</f>
        <v>19.067501526130243</v>
      </c>
      <c r="CL81" s="21">
        <f>EXP(-LN(2)/25)*CL80+(1-EXP(-LN(2)/25))/(LN(2)/25)*Calculateur!CG81*Calculateur!CI81*VLOOKUP('Données projet'!$B$12,Paramètres!$A$1:$I$89,3,0)*0.475*44/12</f>
        <v>2.5705956475825129</v>
      </c>
      <c r="CM81" s="21">
        <f>EXP(-LN(2)/2)*CM80+(1-EXP(-LN(2)/2))/(LN(2)/2)*CG81*CJ81*VLOOKUP('Données projet'!$B$12,Paramètres!$A$1:$I$89,3,0)*0.475*44/12</f>
        <v>3.4144658550261113E-8</v>
      </c>
      <c r="CN81" s="22">
        <f t="shared" si="66"/>
        <v>21.638097207857417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5">
      <c r="A82" s="10">
        <f t="shared" si="85"/>
        <v>79</v>
      </c>
      <c r="B82" s="73">
        <f>'Scénario référence'!$B$16*5+'Scénario référence'!$B$17*0+'Scénario référence'!$B$18*5</f>
        <v>5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1">
        <f t="shared" si="86"/>
        <v>0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2" s="11">
        <f>IF(OR('Scénario référence'!$F$8&gt;0,'Scénario référence'!$F$9&gt;0),('Scénario référence'!$F$8+'Scénario référence'!$F$9)*10,0)</f>
        <v>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18.333333333333332</v>
      </c>
      <c r="H82" s="67">
        <f t="shared" si="56"/>
        <v>183.33333333333334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0</v>
      </c>
      <c r="O82" s="13">
        <f>N82*VLOOKUP('Données projet'!$B$9,Paramètres!$A$1:$I$89,3,0)*VLOOKUP('Données projet'!$B$9,Paramètres!$A$1:$I$89,5,0)</f>
        <v>0</v>
      </c>
      <c r="P82" s="13" t="e">
        <f t="shared" si="87"/>
        <v>#NUM!</v>
      </c>
      <c r="Q82" s="20" t="e">
        <f t="shared" si="54"/>
        <v>#NUM!</v>
      </c>
      <c r="R82" s="59" t="e">
        <f t="shared" si="55"/>
        <v>#NUM!</v>
      </c>
      <c r="S82" s="59">
        <f ca="1">AVERAGE(OFFSET($R$3,0,0,'Données projet'!$E$9+1,1))-AVERAGE(OFFSET($H$3,0,0,'Données projet'!$E$9+1,1))</f>
        <v>112.82287576550925</v>
      </c>
      <c r="T82" s="59">
        <f t="shared" si="88"/>
        <v>317.78570695363294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18.693599451230391</v>
      </c>
      <c r="AA82" s="21">
        <f>EXP(-LN(2)/25)*AA81+(1-EXP(-LN(2)/25))/(LN(2)/25)*Calculateur!V82*Calculateur!X82*VLOOKUP('Données projet'!$B$9,Paramètres!$A$1:$I$89,3,0)*0.475*44/12</f>
        <v>2.5003025744176193</v>
      </c>
      <c r="AB82" s="21">
        <f>EXP(-LN(2)/2)*AB81+(1-EXP(-LN(2)/2))/(LN(2)/2)*V82*Y82*VLOOKUP('Données projet'!$B$9,Paramètres!$A$1:$I$89,3,0)*0.475*44/12</f>
        <v>2.4143919602188864E-8</v>
      </c>
      <c r="AC82" s="22">
        <f t="shared" si="57"/>
        <v>21.19390204979193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0</v>
      </c>
      <c r="AI82" s="13">
        <f>IF('Données projet'!$A$62&gt;35,AI81+AH82-AQ81,IF(A82&lt;'Données projet'!$A$62,$AF$205^A82,IF(A82='Données projet'!$A$62,'Données projet'!$B$62,AI81+AH82-AQ81)))</f>
        <v>0</v>
      </c>
      <c r="AJ82" s="13">
        <f>AI82*VLOOKUP('Données projet'!$B$10,Paramètres!$A$1:$I$89,3,0)*VLOOKUP('Données projet'!$B$10,Paramètres!$A$1:$I$89,5,0)</f>
        <v>0</v>
      </c>
      <c r="AK82" s="13" t="e">
        <f t="shared" si="89"/>
        <v>#NUM!</v>
      </c>
      <c r="AL82" s="20" t="e">
        <f t="shared" si="58"/>
        <v>#NUM!</v>
      </c>
      <c r="AM82" s="59" t="e">
        <f t="shared" si="59"/>
        <v>#NUM!</v>
      </c>
      <c r="AN82" s="59">
        <f ca="1">AVERAGE(OFFSET($AM$3,0,0,'Données projet'!$E$10+1,1))-AVERAGE(OFFSET($H$3,0,0,'Données projet'!$E$10+1,1))</f>
        <v>112.82287576550925</v>
      </c>
      <c r="AO82" s="59">
        <f t="shared" si="90"/>
        <v>317.78570695363294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18.693599451230391</v>
      </c>
      <c r="AV82" s="21">
        <f>EXP(-LN(2)/25)*AV81+(1-EXP(-LN(2)/25))/(LN(2)/25)*Calculateur!AQ82*Calculateur!AS82*VLOOKUP('Données projet'!$B$10,Paramètres!$A$1:$I$89,3,0)*0.475*44/12</f>
        <v>2.5003025744176193</v>
      </c>
      <c r="AW82" s="21">
        <f>EXP(-LN(2)/2)*AW81+(1-EXP(-LN(2)/2))/(LN(2)/2)*AQ82*AT82*VLOOKUP('Données projet'!$B$10,Paramètres!$A$1:$I$89,3,0)*0.475*44/12</f>
        <v>2.4143919602188864E-8</v>
      </c>
      <c r="AX82" s="21">
        <f t="shared" si="60"/>
        <v>21.19390204979193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0</v>
      </c>
      <c r="BE82" s="13">
        <f>BD82*VLOOKUP('Données projet'!$B$11,Paramètres!$A$1:$I$89,3,0)*VLOOKUP('Données projet'!$B$11,Paramètres!$A$1:$I$89,5,0)</f>
        <v>0</v>
      </c>
      <c r="BF82" s="13" t="e">
        <f t="shared" si="91"/>
        <v>#NUM!</v>
      </c>
      <c r="BG82" s="20" t="e">
        <f t="shared" si="61"/>
        <v>#NUM!</v>
      </c>
      <c r="BH82" s="59" t="e">
        <f t="shared" si="62"/>
        <v>#NUM!</v>
      </c>
      <c r="BI82" s="59">
        <f ca="1">AVERAGE(OFFSET($BH$3,0,0,'Données projet'!$E$11+1,1))-AVERAGE(OFFSET($H$3,0,0,'Données projet'!$E$11+1,1))</f>
        <v>112.82287576550925</v>
      </c>
      <c r="BJ82" s="59">
        <f t="shared" si="92"/>
        <v>317.78570695363294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18.693599451230391</v>
      </c>
      <c r="BQ82" s="21">
        <f>EXP(-LN(2)/25)*BQ81+(1-EXP(-LN(2)/25))/(LN(2)/25)*Calculateur!BL82*Calculateur!BN82*VLOOKUP('Données projet'!$B$11,Paramètres!$A$1:$I$89,3,0)*0.475*44/12</f>
        <v>2.5003025744176193</v>
      </c>
      <c r="BR82" s="21">
        <f>EXP(-LN(2)/2)*BR81+(1-EXP(-LN(2)/2))/(LN(2)/2)*BL82*BO82*VLOOKUP('Données projet'!$B$11,Paramètres!$A$1:$I$89,3,0)*0.475*44/12</f>
        <v>2.4143919602188864E-8</v>
      </c>
      <c r="BS82" s="22">
        <f t="shared" si="63"/>
        <v>21.19390204979193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>
        <f>BY82*VLOOKUP('Données projet'!$B$12,Paramètres!$A$1:$I$89,3,0)*VLOOKUP('Données projet'!$B$12,Paramètres!$A$1:$I$89,5,0)</f>
        <v>0</v>
      </c>
      <c r="CA82" s="13" t="e">
        <f t="shared" si="93"/>
        <v>#NUM!</v>
      </c>
      <c r="CB82" s="20" t="e">
        <f t="shared" si="64"/>
        <v>#NUM!</v>
      </c>
      <c r="CC82" s="59" t="e">
        <f t="shared" si="65"/>
        <v>#NUM!</v>
      </c>
      <c r="CD82" s="59">
        <f ca="1">AVERAGE(OFFSET($CC$3,0,0,'Données projet'!$E$12+1,1))-AVERAGE(OFFSET($H$3,0,0,'Données projet'!$E$12+1,1))</f>
        <v>112.82287576550925</v>
      </c>
      <c r="CE82" s="59">
        <f t="shared" si="94"/>
        <v>317.78570695363294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>
        <f>EXP(-LN(2)/35)*CK81+(1-EXP(-LN(2)/35))/(LN(2)/35)*CG82*CH82*VLOOKUP('Données projet'!$B$12,Paramètres!$A$1:$I$89,3,0)*0.475*44/12</f>
        <v>18.693599451230391</v>
      </c>
      <c r="CL82" s="21">
        <f>EXP(-LN(2)/25)*CL81+(1-EXP(-LN(2)/25))/(LN(2)/25)*Calculateur!CG82*Calculateur!CI82*VLOOKUP('Données projet'!$B$12,Paramètres!$A$1:$I$89,3,0)*0.475*44/12</f>
        <v>2.5003025744176193</v>
      </c>
      <c r="CM82" s="21">
        <f>EXP(-LN(2)/2)*CM81+(1-EXP(-LN(2)/2))/(LN(2)/2)*CG82*CJ82*VLOOKUP('Données projet'!$B$12,Paramètres!$A$1:$I$89,3,0)*0.475*44/12</f>
        <v>2.4143919602188864E-8</v>
      </c>
      <c r="CN82" s="22">
        <f t="shared" si="66"/>
        <v>21.19390204979193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5">
      <c r="A83" s="10">
        <f t="shared" si="85"/>
        <v>80</v>
      </c>
      <c r="B83" s="73">
        <f>'Scénario référence'!$B$16*5+'Scénario référence'!$B$17*0+'Scénario référence'!$B$18*5</f>
        <v>5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1">
        <f t="shared" si="86"/>
        <v>0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3" s="11">
        <f>IF(OR('Scénario référence'!$F$8&gt;0,'Scénario référence'!$F$9&gt;0),('Scénario référence'!$F$8+'Scénario référence'!$F$9)*10,0)</f>
        <v>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18.333333333333332</v>
      </c>
      <c r="H83" s="67">
        <f t="shared" si="56"/>
        <v>183.33333333333334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0</v>
      </c>
      <c r="O83" s="13">
        <f>N83*VLOOKUP('Données projet'!$B$9,Paramètres!$A$1:$I$89,3,0)*VLOOKUP('Données projet'!$B$9,Paramètres!$A$1:$I$89,5,0)</f>
        <v>0</v>
      </c>
      <c r="P83" s="13" t="e">
        <f t="shared" si="87"/>
        <v>#NUM!</v>
      </c>
      <c r="Q83" s="20" t="e">
        <f t="shared" si="54"/>
        <v>#NUM!</v>
      </c>
      <c r="R83" s="59" t="e">
        <f t="shared" si="55"/>
        <v>#NUM!</v>
      </c>
      <c r="S83" s="59">
        <f ca="1">AVERAGE(OFFSET($R$3,0,0,'Données projet'!$E$9+1,1))-AVERAGE(OFFSET($H$3,0,0,'Données projet'!$E$9+1,1))</f>
        <v>112.82287576550925</v>
      </c>
      <c r="T83" s="59">
        <f t="shared" si="88"/>
        <v>317.78570695363294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18.327029367961575</v>
      </c>
      <c r="AA83" s="21">
        <f>EXP(-LN(2)/25)*AA82+(1-EXP(-LN(2)/25))/(LN(2)/25)*Calculateur!V83*Calculateur!X83*VLOOKUP('Données projet'!$B$9,Paramètres!$A$1:$I$89,3,0)*0.475*44/12</f>
        <v>2.4319316690349715</v>
      </c>
      <c r="AB83" s="21">
        <f>EXP(-LN(2)/2)*AB82+(1-EXP(-LN(2)/2))/(LN(2)/2)*V83*Y83*VLOOKUP('Données projet'!$B$9,Paramètres!$A$1:$I$89,3,0)*0.475*44/12</f>
        <v>1.7072329275130556E-8</v>
      </c>
      <c r="AC83" s="22">
        <f t="shared" si="57"/>
        <v>20.758961054068873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0</v>
      </c>
      <c r="AI83" s="13">
        <f>IF('Données projet'!$A$62&gt;35,AI82+AH83-AQ82,IF(A83&lt;'Données projet'!$A$62,$AF$205^A83,IF(A83='Données projet'!$A$62,'Données projet'!$B$62,AI82+AH83-AQ82)))</f>
        <v>0</v>
      </c>
      <c r="AJ83" s="13">
        <f>AI83*VLOOKUP('Données projet'!$B$10,Paramètres!$A$1:$I$89,3,0)*VLOOKUP('Données projet'!$B$10,Paramètres!$A$1:$I$89,5,0)</f>
        <v>0</v>
      </c>
      <c r="AK83" s="13" t="e">
        <f t="shared" si="89"/>
        <v>#NUM!</v>
      </c>
      <c r="AL83" s="20" t="e">
        <f t="shared" si="58"/>
        <v>#NUM!</v>
      </c>
      <c r="AM83" s="59" t="e">
        <f t="shared" si="59"/>
        <v>#NUM!</v>
      </c>
      <c r="AN83" s="59">
        <f ca="1">AVERAGE(OFFSET($AM$3,0,0,'Données projet'!$E$10+1,1))-AVERAGE(OFFSET($H$3,0,0,'Données projet'!$E$10+1,1))</f>
        <v>112.82287576550925</v>
      </c>
      <c r="AO83" s="59">
        <f t="shared" si="90"/>
        <v>317.78570695363294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18.327029367961575</v>
      </c>
      <c r="AV83" s="21">
        <f>EXP(-LN(2)/25)*AV82+(1-EXP(-LN(2)/25))/(LN(2)/25)*Calculateur!AQ83*Calculateur!AS83*VLOOKUP('Données projet'!$B$10,Paramètres!$A$1:$I$89,3,0)*0.475*44/12</f>
        <v>2.4319316690349715</v>
      </c>
      <c r="AW83" s="21">
        <f>EXP(-LN(2)/2)*AW82+(1-EXP(-LN(2)/2))/(LN(2)/2)*AQ83*AT83*VLOOKUP('Données projet'!$B$10,Paramètres!$A$1:$I$89,3,0)*0.475*44/12</f>
        <v>1.7072329275130556E-8</v>
      </c>
      <c r="AX83" s="21">
        <f t="shared" si="60"/>
        <v>20.758961054068873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0</v>
      </c>
      <c r="BE83" s="13">
        <f>BD83*VLOOKUP('Données projet'!$B$11,Paramètres!$A$1:$I$89,3,0)*VLOOKUP('Données projet'!$B$11,Paramètres!$A$1:$I$89,5,0)</f>
        <v>0</v>
      </c>
      <c r="BF83" s="13" t="e">
        <f t="shared" si="91"/>
        <v>#NUM!</v>
      </c>
      <c r="BG83" s="20" t="e">
        <f t="shared" si="61"/>
        <v>#NUM!</v>
      </c>
      <c r="BH83" s="59" t="e">
        <f t="shared" si="62"/>
        <v>#NUM!</v>
      </c>
      <c r="BI83" s="59">
        <f ca="1">AVERAGE(OFFSET($BH$3,0,0,'Données projet'!$E$11+1,1))-AVERAGE(OFFSET($H$3,0,0,'Données projet'!$E$11+1,1))</f>
        <v>112.82287576550925</v>
      </c>
      <c r="BJ83" s="59">
        <f t="shared" si="92"/>
        <v>317.78570695363294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18.327029367961575</v>
      </c>
      <c r="BQ83" s="21">
        <f>EXP(-LN(2)/25)*BQ82+(1-EXP(-LN(2)/25))/(LN(2)/25)*Calculateur!BL83*Calculateur!BN83*VLOOKUP('Données projet'!$B$11,Paramètres!$A$1:$I$89,3,0)*0.475*44/12</f>
        <v>2.4319316690349715</v>
      </c>
      <c r="BR83" s="21">
        <f>EXP(-LN(2)/2)*BR82+(1-EXP(-LN(2)/2))/(LN(2)/2)*BL83*BO83*VLOOKUP('Données projet'!$B$11,Paramètres!$A$1:$I$89,3,0)*0.475*44/12</f>
        <v>1.7072329275130556E-8</v>
      </c>
      <c r="BS83" s="22">
        <f t="shared" si="63"/>
        <v>20.758961054068873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>
        <f>BY83*VLOOKUP('Données projet'!$B$12,Paramètres!$A$1:$I$89,3,0)*VLOOKUP('Données projet'!$B$12,Paramètres!$A$1:$I$89,5,0)</f>
        <v>0</v>
      </c>
      <c r="CA83" s="13" t="e">
        <f t="shared" si="93"/>
        <v>#NUM!</v>
      </c>
      <c r="CB83" s="20" t="e">
        <f t="shared" si="64"/>
        <v>#NUM!</v>
      </c>
      <c r="CC83" s="59" t="e">
        <f t="shared" si="65"/>
        <v>#NUM!</v>
      </c>
      <c r="CD83" s="59">
        <f ca="1">AVERAGE(OFFSET($CC$3,0,0,'Données projet'!$E$12+1,1))-AVERAGE(OFFSET($H$3,0,0,'Données projet'!$E$12+1,1))</f>
        <v>112.82287576550925</v>
      </c>
      <c r="CE83" s="59">
        <f t="shared" si="94"/>
        <v>317.78570695363294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>
        <f>EXP(-LN(2)/35)*CK82+(1-EXP(-LN(2)/35))/(LN(2)/35)*CG83*CH83*VLOOKUP('Données projet'!$B$12,Paramètres!$A$1:$I$89,3,0)*0.475*44/12</f>
        <v>18.327029367961575</v>
      </c>
      <c r="CL83" s="21">
        <f>EXP(-LN(2)/25)*CL82+(1-EXP(-LN(2)/25))/(LN(2)/25)*Calculateur!CG83*Calculateur!CI83*VLOOKUP('Données projet'!$B$12,Paramètres!$A$1:$I$89,3,0)*0.475*44/12</f>
        <v>2.4319316690349715</v>
      </c>
      <c r="CM83" s="21">
        <f>EXP(-LN(2)/2)*CM82+(1-EXP(-LN(2)/2))/(LN(2)/2)*CG83*CJ83*VLOOKUP('Données projet'!$B$12,Paramètres!$A$1:$I$89,3,0)*0.475*44/12</f>
        <v>1.7072329275130556E-8</v>
      </c>
      <c r="CN83" s="22">
        <f t="shared" si="66"/>
        <v>20.758961054068873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5">
      <c r="A84" s="10">
        <f t="shared" si="85"/>
        <v>81</v>
      </c>
      <c r="B84" s="73">
        <f>'Scénario référence'!$B$16*5+'Scénario référence'!$B$17*0+'Scénario référence'!$B$18*5</f>
        <v>5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1">
        <f t="shared" si="86"/>
        <v>0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4" s="11">
        <f>IF(OR('Scénario référence'!$F$8&gt;0,'Scénario référence'!$F$9&gt;0),('Scénario référence'!$F$8+'Scénario référence'!$F$9)*10,0)</f>
        <v>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18.333333333333332</v>
      </c>
      <c r="H84" s="67">
        <f t="shared" si="56"/>
        <v>183.33333333333334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0</v>
      </c>
      <c r="O84" s="13">
        <f>N84*VLOOKUP('Données projet'!$B$9,Paramètres!$A$1:$I$89,3,0)*VLOOKUP('Données projet'!$B$9,Paramètres!$A$1:$I$89,5,0)</f>
        <v>0</v>
      </c>
      <c r="P84" s="13" t="e">
        <f t="shared" si="87"/>
        <v>#NUM!</v>
      </c>
      <c r="Q84" s="20" t="e">
        <f t="shared" si="54"/>
        <v>#NUM!</v>
      </c>
      <c r="R84" s="59" t="e">
        <f t="shared" si="55"/>
        <v>#NUM!</v>
      </c>
      <c r="S84" s="59">
        <f ca="1">AVERAGE(OFFSET($R$3,0,0,'Données projet'!$E$9+1,1))-AVERAGE(OFFSET($H$3,0,0,'Données projet'!$E$9+1,1))</f>
        <v>112.82287576550925</v>
      </c>
      <c r="T84" s="59">
        <f t="shared" si="88"/>
        <v>317.78570695363294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17.967647500439991</v>
      </c>
      <c r="AA84" s="21">
        <f>EXP(-LN(2)/25)*AA83+(1-EXP(-LN(2)/25))/(LN(2)/25)*Calculateur!V84*Calculateur!X84*VLOOKUP('Données projet'!$B$9,Paramètres!$A$1:$I$89,3,0)*0.475*44/12</f>
        <v>2.3654303696554821</v>
      </c>
      <c r="AB84" s="21">
        <f>EXP(-LN(2)/2)*AB83+(1-EXP(-LN(2)/2))/(LN(2)/2)*V84*Y84*VLOOKUP('Données projet'!$B$9,Paramètres!$A$1:$I$89,3,0)*0.475*44/12</f>
        <v>1.2071959801094432E-8</v>
      </c>
      <c r="AC84" s="22">
        <f t="shared" si="57"/>
        <v>20.333077882167434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0</v>
      </c>
      <c r="AJ84" s="13">
        <f>AI84*VLOOKUP('Données projet'!$B$10,Paramètres!$A$1:$I$89,3,0)*VLOOKUP('Données projet'!$B$10,Paramètres!$A$1:$I$89,5,0)</f>
        <v>0</v>
      </c>
      <c r="AK84" s="13" t="e">
        <f t="shared" si="89"/>
        <v>#NUM!</v>
      </c>
      <c r="AL84" s="20" t="e">
        <f t="shared" si="58"/>
        <v>#NUM!</v>
      </c>
      <c r="AM84" s="59" t="e">
        <f t="shared" si="59"/>
        <v>#NUM!</v>
      </c>
      <c r="AN84" s="59">
        <f ca="1">AVERAGE(OFFSET($AM$3,0,0,'Données projet'!$E$10+1,1))-AVERAGE(OFFSET($H$3,0,0,'Données projet'!$E$10+1,1))</f>
        <v>112.82287576550925</v>
      </c>
      <c r="AO84" s="59">
        <f t="shared" si="90"/>
        <v>317.78570695363294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17.967647500439991</v>
      </c>
      <c r="AV84" s="21">
        <f>EXP(-LN(2)/25)*AV83+(1-EXP(-LN(2)/25))/(LN(2)/25)*Calculateur!AQ84*Calculateur!AS84*VLOOKUP('Données projet'!$B$10,Paramètres!$A$1:$I$89,3,0)*0.475*44/12</f>
        <v>2.3654303696554821</v>
      </c>
      <c r="AW84" s="21">
        <f>EXP(-LN(2)/2)*AW83+(1-EXP(-LN(2)/2))/(LN(2)/2)*AQ84*AT84*VLOOKUP('Données projet'!$B$10,Paramètres!$A$1:$I$89,3,0)*0.475*44/12</f>
        <v>1.2071959801094432E-8</v>
      </c>
      <c r="AX84" s="21">
        <f t="shared" si="60"/>
        <v>20.333077882167434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0</v>
      </c>
      <c r="BE84" s="13">
        <f>BD84*VLOOKUP('Données projet'!$B$11,Paramètres!$A$1:$I$89,3,0)*VLOOKUP('Données projet'!$B$11,Paramètres!$A$1:$I$89,5,0)</f>
        <v>0</v>
      </c>
      <c r="BF84" s="13" t="e">
        <f t="shared" si="91"/>
        <v>#NUM!</v>
      </c>
      <c r="BG84" s="20" t="e">
        <f t="shared" si="61"/>
        <v>#NUM!</v>
      </c>
      <c r="BH84" s="59" t="e">
        <f t="shared" si="62"/>
        <v>#NUM!</v>
      </c>
      <c r="BI84" s="59">
        <f ca="1">AVERAGE(OFFSET($BH$3,0,0,'Données projet'!$E$11+1,1))-AVERAGE(OFFSET($H$3,0,0,'Données projet'!$E$11+1,1))</f>
        <v>112.82287576550925</v>
      </c>
      <c r="BJ84" s="59">
        <f t="shared" si="92"/>
        <v>317.78570695363294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17.967647500439991</v>
      </c>
      <c r="BQ84" s="21">
        <f>EXP(-LN(2)/25)*BQ83+(1-EXP(-LN(2)/25))/(LN(2)/25)*Calculateur!BL84*Calculateur!BN84*VLOOKUP('Données projet'!$B$11,Paramètres!$A$1:$I$89,3,0)*0.475*44/12</f>
        <v>2.3654303696554821</v>
      </c>
      <c r="BR84" s="21">
        <f>EXP(-LN(2)/2)*BR83+(1-EXP(-LN(2)/2))/(LN(2)/2)*BL84*BO84*VLOOKUP('Données projet'!$B$11,Paramètres!$A$1:$I$89,3,0)*0.475*44/12</f>
        <v>1.2071959801094432E-8</v>
      </c>
      <c r="BS84" s="22">
        <f t="shared" si="63"/>
        <v>20.333077882167434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>
        <f>BY84*VLOOKUP('Données projet'!$B$12,Paramètres!$A$1:$I$89,3,0)*VLOOKUP('Données projet'!$B$12,Paramètres!$A$1:$I$89,5,0)</f>
        <v>0</v>
      </c>
      <c r="CA84" s="13" t="e">
        <f t="shared" si="93"/>
        <v>#NUM!</v>
      </c>
      <c r="CB84" s="20" t="e">
        <f t="shared" si="64"/>
        <v>#NUM!</v>
      </c>
      <c r="CC84" s="59" t="e">
        <f t="shared" si="65"/>
        <v>#NUM!</v>
      </c>
      <c r="CD84" s="59">
        <f ca="1">AVERAGE(OFFSET($CC$3,0,0,'Données projet'!$E$12+1,1))-AVERAGE(OFFSET($H$3,0,0,'Données projet'!$E$12+1,1))</f>
        <v>112.82287576550925</v>
      </c>
      <c r="CE84" s="59">
        <f t="shared" si="94"/>
        <v>317.78570695363294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>
        <f>EXP(-LN(2)/35)*CK83+(1-EXP(-LN(2)/35))/(LN(2)/35)*CG84*CH84*VLOOKUP('Données projet'!$B$12,Paramètres!$A$1:$I$89,3,0)*0.475*44/12</f>
        <v>17.967647500439991</v>
      </c>
      <c r="CL84" s="21">
        <f>EXP(-LN(2)/25)*CL83+(1-EXP(-LN(2)/25))/(LN(2)/25)*Calculateur!CG84*Calculateur!CI84*VLOOKUP('Données projet'!$B$12,Paramètres!$A$1:$I$89,3,0)*0.475*44/12</f>
        <v>2.3654303696554821</v>
      </c>
      <c r="CM84" s="21">
        <f>EXP(-LN(2)/2)*CM83+(1-EXP(-LN(2)/2))/(LN(2)/2)*CG84*CJ84*VLOOKUP('Données projet'!$B$12,Paramètres!$A$1:$I$89,3,0)*0.475*44/12</f>
        <v>1.2071959801094432E-8</v>
      </c>
      <c r="CN84" s="22">
        <f t="shared" si="66"/>
        <v>20.333077882167434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5">
      <c r="A85" s="10">
        <f t="shared" si="85"/>
        <v>82</v>
      </c>
      <c r="B85" s="73">
        <f>'Scénario référence'!$B$16*5+'Scénario référence'!$B$17*0+'Scénario référence'!$B$18*5</f>
        <v>5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1">
        <f t="shared" si="86"/>
        <v>0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5" s="11">
        <f>IF(OR('Scénario référence'!$F$8&gt;0,'Scénario référence'!$F$9&gt;0),('Scénario référence'!$F$8+'Scénario référence'!$F$9)*10,0)</f>
        <v>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18.333333333333332</v>
      </c>
      <c r="H85" s="67">
        <f t="shared" si="56"/>
        <v>183.33333333333334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0</v>
      </c>
      <c r="O85" s="13">
        <f>N85*VLOOKUP('Données projet'!$B$9,Paramètres!$A$1:$I$89,3,0)*VLOOKUP('Données projet'!$B$9,Paramètres!$A$1:$I$89,5,0)</f>
        <v>0</v>
      </c>
      <c r="P85" s="13" t="e">
        <f t="shared" si="87"/>
        <v>#NUM!</v>
      </c>
      <c r="Q85" s="20" t="e">
        <f t="shared" si="54"/>
        <v>#NUM!</v>
      </c>
      <c r="R85" s="59" t="e">
        <f t="shared" si="55"/>
        <v>#NUM!</v>
      </c>
      <c r="S85" s="59">
        <f ca="1">AVERAGE(OFFSET($R$3,0,0,'Données projet'!$E$9+1,1))-AVERAGE(OFFSET($H$3,0,0,'Données projet'!$E$9+1,1))</f>
        <v>112.82287576550925</v>
      </c>
      <c r="T85" s="59">
        <f t="shared" si="88"/>
        <v>317.78570695363294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17.615312892139208</v>
      </c>
      <c r="AA85" s="21">
        <f>EXP(-LN(2)/25)*AA84+(1-EXP(-LN(2)/25))/(LN(2)/25)*Calculateur!V85*Calculateur!X85*VLOOKUP('Données projet'!$B$9,Paramètres!$A$1:$I$89,3,0)*0.475*44/12</f>
        <v>2.300747551804676</v>
      </c>
      <c r="AB85" s="21">
        <f>EXP(-LN(2)/2)*AB84+(1-EXP(-LN(2)/2))/(LN(2)/2)*V85*Y85*VLOOKUP('Données projet'!$B$9,Paramètres!$A$1:$I$89,3,0)*0.475*44/12</f>
        <v>8.5361646375652782E-9</v>
      </c>
      <c r="AC85" s="22">
        <f t="shared" si="57"/>
        <v>19.91606045248005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0</v>
      </c>
      <c r="AJ85" s="13">
        <f>AI85*VLOOKUP('Données projet'!$B$10,Paramètres!$A$1:$I$89,3,0)*VLOOKUP('Données projet'!$B$10,Paramètres!$A$1:$I$89,5,0)</f>
        <v>0</v>
      </c>
      <c r="AK85" s="13" t="e">
        <f t="shared" si="89"/>
        <v>#NUM!</v>
      </c>
      <c r="AL85" s="20" t="e">
        <f t="shared" si="58"/>
        <v>#NUM!</v>
      </c>
      <c r="AM85" s="59" t="e">
        <f t="shared" si="59"/>
        <v>#NUM!</v>
      </c>
      <c r="AN85" s="59">
        <f ca="1">AVERAGE(OFFSET($AM$3,0,0,'Données projet'!$E$10+1,1))-AVERAGE(OFFSET($H$3,0,0,'Données projet'!$E$10+1,1))</f>
        <v>112.82287576550925</v>
      </c>
      <c r="AO85" s="59">
        <f t="shared" si="90"/>
        <v>317.78570695363294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17.615312892139208</v>
      </c>
      <c r="AV85" s="21">
        <f>EXP(-LN(2)/25)*AV84+(1-EXP(-LN(2)/25))/(LN(2)/25)*Calculateur!AQ85*Calculateur!AS85*VLOOKUP('Données projet'!$B$10,Paramètres!$A$1:$I$89,3,0)*0.475*44/12</f>
        <v>2.300747551804676</v>
      </c>
      <c r="AW85" s="21">
        <f>EXP(-LN(2)/2)*AW84+(1-EXP(-LN(2)/2))/(LN(2)/2)*AQ85*AT85*VLOOKUP('Données projet'!$B$10,Paramètres!$A$1:$I$89,3,0)*0.475*44/12</f>
        <v>8.5361646375652782E-9</v>
      </c>
      <c r="AX85" s="21">
        <f t="shared" si="60"/>
        <v>19.91606045248005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0</v>
      </c>
      <c r="BE85" s="13">
        <f>BD85*VLOOKUP('Données projet'!$B$11,Paramètres!$A$1:$I$89,3,0)*VLOOKUP('Données projet'!$B$11,Paramètres!$A$1:$I$89,5,0)</f>
        <v>0</v>
      </c>
      <c r="BF85" s="13" t="e">
        <f t="shared" si="91"/>
        <v>#NUM!</v>
      </c>
      <c r="BG85" s="20" t="e">
        <f t="shared" si="61"/>
        <v>#NUM!</v>
      </c>
      <c r="BH85" s="59" t="e">
        <f t="shared" si="62"/>
        <v>#NUM!</v>
      </c>
      <c r="BI85" s="59">
        <f ca="1">AVERAGE(OFFSET($BH$3,0,0,'Données projet'!$E$11+1,1))-AVERAGE(OFFSET($H$3,0,0,'Données projet'!$E$11+1,1))</f>
        <v>112.82287576550925</v>
      </c>
      <c r="BJ85" s="59">
        <f t="shared" si="92"/>
        <v>317.78570695363294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17.615312892139208</v>
      </c>
      <c r="BQ85" s="21">
        <f>EXP(-LN(2)/25)*BQ84+(1-EXP(-LN(2)/25))/(LN(2)/25)*Calculateur!BL85*Calculateur!BN85*VLOOKUP('Données projet'!$B$11,Paramètres!$A$1:$I$89,3,0)*0.475*44/12</f>
        <v>2.300747551804676</v>
      </c>
      <c r="BR85" s="21">
        <f>EXP(-LN(2)/2)*BR84+(1-EXP(-LN(2)/2))/(LN(2)/2)*BL85*BO85*VLOOKUP('Données projet'!$B$11,Paramètres!$A$1:$I$89,3,0)*0.475*44/12</f>
        <v>8.5361646375652782E-9</v>
      </c>
      <c r="BS85" s="22">
        <f t="shared" si="63"/>
        <v>19.91606045248005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>
        <f>BY85*VLOOKUP('Données projet'!$B$12,Paramètres!$A$1:$I$89,3,0)*VLOOKUP('Données projet'!$B$12,Paramètres!$A$1:$I$89,5,0)</f>
        <v>0</v>
      </c>
      <c r="CA85" s="13" t="e">
        <f t="shared" si="93"/>
        <v>#NUM!</v>
      </c>
      <c r="CB85" s="20" t="e">
        <f t="shared" si="64"/>
        <v>#NUM!</v>
      </c>
      <c r="CC85" s="59" t="e">
        <f t="shared" si="65"/>
        <v>#NUM!</v>
      </c>
      <c r="CD85" s="59">
        <f ca="1">AVERAGE(OFFSET($CC$3,0,0,'Données projet'!$E$12+1,1))-AVERAGE(OFFSET($H$3,0,0,'Données projet'!$E$12+1,1))</f>
        <v>112.82287576550925</v>
      </c>
      <c r="CE85" s="59">
        <f t="shared" si="94"/>
        <v>317.78570695363294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>
        <f>EXP(-LN(2)/35)*CK84+(1-EXP(-LN(2)/35))/(LN(2)/35)*CG85*CH85*VLOOKUP('Données projet'!$B$12,Paramètres!$A$1:$I$89,3,0)*0.475*44/12</f>
        <v>17.615312892139208</v>
      </c>
      <c r="CL85" s="21">
        <f>EXP(-LN(2)/25)*CL84+(1-EXP(-LN(2)/25))/(LN(2)/25)*Calculateur!CG85*Calculateur!CI85*VLOOKUP('Données projet'!$B$12,Paramètres!$A$1:$I$89,3,0)*0.475*44/12</f>
        <v>2.300747551804676</v>
      </c>
      <c r="CM85" s="21">
        <f>EXP(-LN(2)/2)*CM84+(1-EXP(-LN(2)/2))/(LN(2)/2)*CG85*CJ85*VLOOKUP('Données projet'!$B$12,Paramètres!$A$1:$I$89,3,0)*0.475*44/12</f>
        <v>8.5361646375652782E-9</v>
      </c>
      <c r="CN85" s="22">
        <f t="shared" si="66"/>
        <v>19.91606045248005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5">
      <c r="A86" s="10">
        <f t="shared" si="85"/>
        <v>83</v>
      </c>
      <c r="B86" s="73">
        <f>'Scénario référence'!$B$16*5+'Scénario référence'!$B$17*0+'Scénario référence'!$B$18*5</f>
        <v>5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1">
        <f t="shared" si="86"/>
        <v>0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6" s="11">
        <f>IF(OR('Scénario référence'!$F$8&gt;0,'Scénario référence'!$F$9&gt;0),('Scénario référence'!$F$8+'Scénario référence'!$F$9)*10,0)</f>
        <v>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18.333333333333332</v>
      </c>
      <c r="H86" s="67">
        <f t="shared" si="56"/>
        <v>183.33333333333334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0</v>
      </c>
      <c r="O86" s="13">
        <f>N86*VLOOKUP('Données projet'!$B$9,Paramètres!$A$1:$I$89,3,0)*VLOOKUP('Données projet'!$B$9,Paramètres!$A$1:$I$89,5,0)</f>
        <v>0</v>
      </c>
      <c r="P86" s="13" t="e">
        <f t="shared" si="87"/>
        <v>#NUM!</v>
      </c>
      <c r="Q86" s="20" t="e">
        <f t="shared" si="54"/>
        <v>#NUM!</v>
      </c>
      <c r="R86" s="59" t="e">
        <f t="shared" si="55"/>
        <v>#NUM!</v>
      </c>
      <c r="S86" s="59">
        <f ca="1">AVERAGE(OFFSET($R$3,0,0,'Données projet'!$E$9+1,1))-AVERAGE(OFFSET($H$3,0,0,'Données projet'!$E$9+1,1))</f>
        <v>112.82287576550925</v>
      </c>
      <c r="T86" s="59">
        <f t="shared" si="88"/>
        <v>317.78570695363294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17.269887350604314</v>
      </c>
      <c r="AA86" s="21">
        <f>EXP(-LN(2)/25)*AA85+(1-EXP(-LN(2)/25))/(LN(2)/25)*Calculateur!V86*Calculateur!X86*VLOOKUP('Données projet'!$B$9,Paramètres!$A$1:$I$89,3,0)*0.475*44/12</f>
        <v>2.2378334890095219</v>
      </c>
      <c r="AB86" s="21">
        <f>EXP(-LN(2)/2)*AB85+(1-EXP(-LN(2)/2))/(LN(2)/2)*V86*Y86*VLOOKUP('Données projet'!$B$9,Paramètres!$A$1:$I$89,3,0)*0.475*44/12</f>
        <v>6.035979900547216E-9</v>
      </c>
      <c r="AC86" s="22">
        <f t="shared" si="57"/>
        <v>19.507720845649814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0</v>
      </c>
      <c r="AJ86" s="13">
        <f>AI86*VLOOKUP('Données projet'!$B$10,Paramètres!$A$1:$I$89,3,0)*VLOOKUP('Données projet'!$B$10,Paramètres!$A$1:$I$89,5,0)</f>
        <v>0</v>
      </c>
      <c r="AK86" s="13" t="e">
        <f t="shared" si="89"/>
        <v>#NUM!</v>
      </c>
      <c r="AL86" s="20" t="e">
        <f t="shared" si="58"/>
        <v>#NUM!</v>
      </c>
      <c r="AM86" s="59" t="e">
        <f t="shared" si="59"/>
        <v>#NUM!</v>
      </c>
      <c r="AN86" s="59">
        <f ca="1">AVERAGE(OFFSET($AM$3,0,0,'Données projet'!$E$10+1,1))-AVERAGE(OFFSET($H$3,0,0,'Données projet'!$E$10+1,1))</f>
        <v>112.82287576550925</v>
      </c>
      <c r="AO86" s="59">
        <f t="shared" si="90"/>
        <v>317.78570695363294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17.269887350604314</v>
      </c>
      <c r="AV86" s="21">
        <f>EXP(-LN(2)/25)*AV85+(1-EXP(-LN(2)/25))/(LN(2)/25)*Calculateur!AQ86*Calculateur!AS86*VLOOKUP('Données projet'!$B$10,Paramètres!$A$1:$I$89,3,0)*0.475*44/12</f>
        <v>2.2378334890095219</v>
      </c>
      <c r="AW86" s="21">
        <f>EXP(-LN(2)/2)*AW85+(1-EXP(-LN(2)/2))/(LN(2)/2)*AQ86*AT86*VLOOKUP('Données projet'!$B$10,Paramètres!$A$1:$I$89,3,0)*0.475*44/12</f>
        <v>6.035979900547216E-9</v>
      </c>
      <c r="AX86" s="21">
        <f t="shared" si="60"/>
        <v>19.507720845649814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0</v>
      </c>
      <c r="BE86" s="13">
        <f>BD86*VLOOKUP('Données projet'!$B$11,Paramètres!$A$1:$I$89,3,0)*VLOOKUP('Données projet'!$B$11,Paramètres!$A$1:$I$89,5,0)</f>
        <v>0</v>
      </c>
      <c r="BF86" s="13" t="e">
        <f t="shared" si="91"/>
        <v>#NUM!</v>
      </c>
      <c r="BG86" s="20" t="e">
        <f t="shared" si="61"/>
        <v>#NUM!</v>
      </c>
      <c r="BH86" s="59" t="e">
        <f t="shared" si="62"/>
        <v>#NUM!</v>
      </c>
      <c r="BI86" s="59">
        <f ca="1">AVERAGE(OFFSET($BH$3,0,0,'Données projet'!$E$11+1,1))-AVERAGE(OFFSET($H$3,0,0,'Données projet'!$E$11+1,1))</f>
        <v>112.82287576550925</v>
      </c>
      <c r="BJ86" s="59">
        <f t="shared" si="92"/>
        <v>317.78570695363294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17.269887350604314</v>
      </c>
      <c r="BQ86" s="21">
        <f>EXP(-LN(2)/25)*BQ85+(1-EXP(-LN(2)/25))/(LN(2)/25)*Calculateur!BL86*Calculateur!BN86*VLOOKUP('Données projet'!$B$11,Paramètres!$A$1:$I$89,3,0)*0.475*44/12</f>
        <v>2.2378334890095219</v>
      </c>
      <c r="BR86" s="21">
        <f>EXP(-LN(2)/2)*BR85+(1-EXP(-LN(2)/2))/(LN(2)/2)*BL86*BO86*VLOOKUP('Données projet'!$B$11,Paramètres!$A$1:$I$89,3,0)*0.475*44/12</f>
        <v>6.035979900547216E-9</v>
      </c>
      <c r="BS86" s="22">
        <f t="shared" si="63"/>
        <v>19.507720845649814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>
        <f>BY86*VLOOKUP('Données projet'!$B$12,Paramètres!$A$1:$I$89,3,0)*VLOOKUP('Données projet'!$B$12,Paramètres!$A$1:$I$89,5,0)</f>
        <v>0</v>
      </c>
      <c r="CA86" s="13" t="e">
        <f t="shared" si="93"/>
        <v>#NUM!</v>
      </c>
      <c r="CB86" s="20" t="e">
        <f t="shared" si="64"/>
        <v>#NUM!</v>
      </c>
      <c r="CC86" s="59" t="e">
        <f t="shared" si="65"/>
        <v>#NUM!</v>
      </c>
      <c r="CD86" s="59">
        <f ca="1">AVERAGE(OFFSET($CC$3,0,0,'Données projet'!$E$12+1,1))-AVERAGE(OFFSET($H$3,0,0,'Données projet'!$E$12+1,1))</f>
        <v>112.82287576550925</v>
      </c>
      <c r="CE86" s="59">
        <f t="shared" si="94"/>
        <v>317.78570695363294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>
        <f>EXP(-LN(2)/35)*CK85+(1-EXP(-LN(2)/35))/(LN(2)/35)*CG86*CH86*VLOOKUP('Données projet'!$B$12,Paramètres!$A$1:$I$89,3,0)*0.475*44/12</f>
        <v>17.269887350604314</v>
      </c>
      <c r="CL86" s="21">
        <f>EXP(-LN(2)/25)*CL85+(1-EXP(-LN(2)/25))/(LN(2)/25)*Calculateur!CG86*Calculateur!CI86*VLOOKUP('Données projet'!$B$12,Paramètres!$A$1:$I$89,3,0)*0.475*44/12</f>
        <v>2.2378334890095219</v>
      </c>
      <c r="CM86" s="21">
        <f>EXP(-LN(2)/2)*CM85+(1-EXP(-LN(2)/2))/(LN(2)/2)*CG86*CJ86*VLOOKUP('Données projet'!$B$12,Paramètres!$A$1:$I$89,3,0)*0.475*44/12</f>
        <v>6.035979900547216E-9</v>
      </c>
      <c r="CN86" s="22">
        <f t="shared" si="66"/>
        <v>19.507720845649814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5">
      <c r="A87" s="10">
        <f t="shared" si="85"/>
        <v>84</v>
      </c>
      <c r="B87" s="73">
        <f>'Scénario référence'!$B$16*5+'Scénario référence'!$B$17*0+'Scénario référence'!$B$18*5</f>
        <v>5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1">
        <f t="shared" si="86"/>
        <v>0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7" s="11">
        <f>IF(OR('Scénario référence'!$F$8&gt;0,'Scénario référence'!$F$9&gt;0),('Scénario référence'!$F$8+'Scénario référence'!$F$9)*10,0)</f>
        <v>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18.333333333333332</v>
      </c>
      <c r="H87" s="67">
        <f t="shared" si="56"/>
        <v>183.33333333333334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0</v>
      </c>
      <c r="O87" s="13">
        <f>N87*VLOOKUP('Données projet'!$B$9,Paramètres!$A$1:$I$89,3,0)*VLOOKUP('Données projet'!$B$9,Paramètres!$A$1:$I$89,5,0)</f>
        <v>0</v>
      </c>
      <c r="P87" s="13" t="e">
        <f t="shared" si="87"/>
        <v>#NUM!</v>
      </c>
      <c r="Q87" s="20" t="e">
        <f t="shared" si="54"/>
        <v>#NUM!</v>
      </c>
      <c r="R87" s="59" t="e">
        <f t="shared" si="55"/>
        <v>#NUM!</v>
      </c>
      <c r="S87" s="59">
        <f ca="1">AVERAGE(OFFSET($R$3,0,0,'Données projet'!$E$9+1,1))-AVERAGE(OFFSET($H$3,0,0,'Données projet'!$E$9+1,1))</f>
        <v>112.82287576550925</v>
      </c>
      <c r="T87" s="59">
        <f t="shared" si="88"/>
        <v>317.78570695363294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16.931235393250141</v>
      </c>
      <c r="AA87" s="21">
        <f>EXP(-LN(2)/25)*AA86+(1-EXP(-LN(2)/25))/(LN(2)/25)*Calculateur!V87*Calculateur!X87*VLOOKUP('Données projet'!$B$9,Paramètres!$A$1:$I$89,3,0)*0.475*44/12</f>
        <v>2.1766398145700081</v>
      </c>
      <c r="AB87" s="21">
        <f>EXP(-LN(2)/2)*AB86+(1-EXP(-LN(2)/2))/(LN(2)/2)*V87*Y87*VLOOKUP('Données projet'!$B$9,Paramètres!$A$1:$I$89,3,0)*0.475*44/12</f>
        <v>4.2680823187826391E-9</v>
      </c>
      <c r="AC87" s="22">
        <f t="shared" si="57"/>
        <v>19.107875212088231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0</v>
      </c>
      <c r="AJ87" s="13">
        <f>AI87*VLOOKUP('Données projet'!$B$10,Paramètres!$A$1:$I$89,3,0)*VLOOKUP('Données projet'!$B$10,Paramètres!$A$1:$I$89,5,0)</f>
        <v>0</v>
      </c>
      <c r="AK87" s="13" t="e">
        <f t="shared" si="89"/>
        <v>#NUM!</v>
      </c>
      <c r="AL87" s="20" t="e">
        <f t="shared" si="58"/>
        <v>#NUM!</v>
      </c>
      <c r="AM87" s="59" t="e">
        <f t="shared" si="59"/>
        <v>#NUM!</v>
      </c>
      <c r="AN87" s="59">
        <f ca="1">AVERAGE(OFFSET($AM$3,0,0,'Données projet'!$E$10+1,1))-AVERAGE(OFFSET($H$3,0,0,'Données projet'!$E$10+1,1))</f>
        <v>112.82287576550925</v>
      </c>
      <c r="AO87" s="59">
        <f t="shared" si="90"/>
        <v>317.78570695363294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16.931235393250141</v>
      </c>
      <c r="AV87" s="21">
        <f>EXP(-LN(2)/25)*AV86+(1-EXP(-LN(2)/25))/(LN(2)/25)*Calculateur!AQ87*Calculateur!AS87*VLOOKUP('Données projet'!$B$10,Paramètres!$A$1:$I$89,3,0)*0.475*44/12</f>
        <v>2.1766398145700081</v>
      </c>
      <c r="AW87" s="21">
        <f>EXP(-LN(2)/2)*AW86+(1-EXP(-LN(2)/2))/(LN(2)/2)*AQ87*AT87*VLOOKUP('Données projet'!$B$10,Paramètres!$A$1:$I$89,3,0)*0.475*44/12</f>
        <v>4.2680823187826391E-9</v>
      </c>
      <c r="AX87" s="21">
        <f t="shared" si="60"/>
        <v>19.107875212088231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0</v>
      </c>
      <c r="BE87" s="13">
        <f>BD87*VLOOKUP('Données projet'!$B$11,Paramètres!$A$1:$I$89,3,0)*VLOOKUP('Données projet'!$B$11,Paramètres!$A$1:$I$89,5,0)</f>
        <v>0</v>
      </c>
      <c r="BF87" s="13" t="e">
        <f t="shared" si="91"/>
        <v>#NUM!</v>
      </c>
      <c r="BG87" s="20" t="e">
        <f t="shared" si="61"/>
        <v>#NUM!</v>
      </c>
      <c r="BH87" s="59" t="e">
        <f t="shared" si="62"/>
        <v>#NUM!</v>
      </c>
      <c r="BI87" s="59">
        <f ca="1">AVERAGE(OFFSET($BH$3,0,0,'Données projet'!$E$11+1,1))-AVERAGE(OFFSET($H$3,0,0,'Données projet'!$E$11+1,1))</f>
        <v>112.82287576550925</v>
      </c>
      <c r="BJ87" s="59">
        <f t="shared" si="92"/>
        <v>317.78570695363294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16.931235393250141</v>
      </c>
      <c r="BQ87" s="21">
        <f>EXP(-LN(2)/25)*BQ86+(1-EXP(-LN(2)/25))/(LN(2)/25)*Calculateur!BL87*Calculateur!BN87*VLOOKUP('Données projet'!$B$11,Paramètres!$A$1:$I$89,3,0)*0.475*44/12</f>
        <v>2.1766398145700081</v>
      </c>
      <c r="BR87" s="21">
        <f>EXP(-LN(2)/2)*BR86+(1-EXP(-LN(2)/2))/(LN(2)/2)*BL87*BO87*VLOOKUP('Données projet'!$B$11,Paramètres!$A$1:$I$89,3,0)*0.475*44/12</f>
        <v>4.2680823187826391E-9</v>
      </c>
      <c r="BS87" s="22">
        <f t="shared" si="63"/>
        <v>19.107875212088231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>
        <f>BY87*VLOOKUP('Données projet'!$B$12,Paramètres!$A$1:$I$89,3,0)*VLOOKUP('Données projet'!$B$12,Paramètres!$A$1:$I$89,5,0)</f>
        <v>0</v>
      </c>
      <c r="CA87" s="13" t="e">
        <f t="shared" si="93"/>
        <v>#NUM!</v>
      </c>
      <c r="CB87" s="20" t="e">
        <f t="shared" si="64"/>
        <v>#NUM!</v>
      </c>
      <c r="CC87" s="59" t="e">
        <f t="shared" si="65"/>
        <v>#NUM!</v>
      </c>
      <c r="CD87" s="59">
        <f ca="1">AVERAGE(OFFSET($CC$3,0,0,'Données projet'!$E$12+1,1))-AVERAGE(OFFSET($H$3,0,0,'Données projet'!$E$12+1,1))</f>
        <v>112.82287576550925</v>
      </c>
      <c r="CE87" s="59">
        <f t="shared" si="94"/>
        <v>317.78570695363294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>
        <f>EXP(-LN(2)/35)*CK86+(1-EXP(-LN(2)/35))/(LN(2)/35)*CG87*CH87*VLOOKUP('Données projet'!$B$12,Paramètres!$A$1:$I$89,3,0)*0.475*44/12</f>
        <v>16.931235393250141</v>
      </c>
      <c r="CL87" s="21">
        <f>EXP(-LN(2)/25)*CL86+(1-EXP(-LN(2)/25))/(LN(2)/25)*Calculateur!CG87*Calculateur!CI87*VLOOKUP('Données projet'!$B$12,Paramètres!$A$1:$I$89,3,0)*0.475*44/12</f>
        <v>2.1766398145700081</v>
      </c>
      <c r="CM87" s="21">
        <f>EXP(-LN(2)/2)*CM86+(1-EXP(-LN(2)/2))/(LN(2)/2)*CG87*CJ87*VLOOKUP('Données projet'!$B$12,Paramètres!$A$1:$I$89,3,0)*0.475*44/12</f>
        <v>4.2680823187826391E-9</v>
      </c>
      <c r="CN87" s="22">
        <f t="shared" si="66"/>
        <v>19.107875212088231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5">
      <c r="A88" s="10">
        <f t="shared" si="85"/>
        <v>85</v>
      </c>
      <c r="B88" s="73">
        <f>'Scénario référence'!$B$16*5+'Scénario référence'!$B$17*0+'Scénario référence'!$B$18*5</f>
        <v>5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1">
        <f t="shared" si="86"/>
        <v>0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8" s="11">
        <f>IF(OR('Scénario référence'!$F$8&gt;0,'Scénario référence'!$F$9&gt;0),('Scénario référence'!$F$8+'Scénario référence'!$F$9)*10,0)</f>
        <v>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18.333333333333332</v>
      </c>
      <c r="H88" s="67">
        <f t="shared" si="56"/>
        <v>183.33333333333334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0</v>
      </c>
      <c r="O88" s="13">
        <f>N88*VLOOKUP('Données projet'!$B$9,Paramètres!$A$1:$I$89,3,0)*VLOOKUP('Données projet'!$B$9,Paramètres!$A$1:$I$89,5,0)</f>
        <v>0</v>
      </c>
      <c r="P88" s="13" t="e">
        <f t="shared" si="87"/>
        <v>#NUM!</v>
      </c>
      <c r="Q88" s="20" t="e">
        <f t="shared" si="54"/>
        <v>#NUM!</v>
      </c>
      <c r="R88" s="59" t="e">
        <f t="shared" si="55"/>
        <v>#NUM!</v>
      </c>
      <c r="S88" s="59">
        <f ca="1">AVERAGE(OFFSET($R$3,0,0,'Données projet'!$E$9+1,1))-AVERAGE(OFFSET($H$3,0,0,'Données projet'!$E$9+1,1))</f>
        <v>112.82287576550925</v>
      </c>
      <c r="T88" s="59">
        <f t="shared" si="88"/>
        <v>317.78570695363294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16.599224194222387</v>
      </c>
      <c r="AA88" s="21">
        <f>EXP(-LN(2)/25)*AA87+(1-EXP(-LN(2)/25))/(LN(2)/25)*Calculateur!V88*Calculateur!X88*VLOOKUP('Données projet'!$B$9,Paramètres!$A$1:$I$89,3,0)*0.475*44/12</f>
        <v>2.1171194843760781</v>
      </c>
      <c r="AB88" s="21">
        <f>EXP(-LN(2)/2)*AB87+(1-EXP(-LN(2)/2))/(LN(2)/2)*V88*Y88*VLOOKUP('Données projet'!$B$9,Paramètres!$A$1:$I$89,3,0)*0.475*44/12</f>
        <v>3.017989950273608E-9</v>
      </c>
      <c r="AC88" s="22">
        <f t="shared" si="57"/>
        <v>18.716343681616458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0</v>
      </c>
      <c r="AJ88" s="13">
        <f>AI88*VLOOKUP('Données projet'!$B$10,Paramètres!$A$1:$I$89,3,0)*VLOOKUP('Données projet'!$B$10,Paramètres!$A$1:$I$89,5,0)</f>
        <v>0</v>
      </c>
      <c r="AK88" s="13" t="e">
        <f t="shared" si="89"/>
        <v>#NUM!</v>
      </c>
      <c r="AL88" s="20" t="e">
        <f t="shared" si="58"/>
        <v>#NUM!</v>
      </c>
      <c r="AM88" s="59" t="e">
        <f t="shared" si="59"/>
        <v>#NUM!</v>
      </c>
      <c r="AN88" s="59">
        <f ca="1">AVERAGE(OFFSET($AM$3,0,0,'Données projet'!$E$10+1,1))-AVERAGE(OFFSET($H$3,0,0,'Données projet'!$E$10+1,1))</f>
        <v>112.82287576550925</v>
      </c>
      <c r="AO88" s="59">
        <f t="shared" si="90"/>
        <v>317.78570695363294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16.599224194222387</v>
      </c>
      <c r="AV88" s="21">
        <f>EXP(-LN(2)/25)*AV87+(1-EXP(-LN(2)/25))/(LN(2)/25)*Calculateur!AQ88*Calculateur!AS88*VLOOKUP('Données projet'!$B$10,Paramètres!$A$1:$I$89,3,0)*0.475*44/12</f>
        <v>2.1171194843760781</v>
      </c>
      <c r="AW88" s="21">
        <f>EXP(-LN(2)/2)*AW87+(1-EXP(-LN(2)/2))/(LN(2)/2)*AQ88*AT88*VLOOKUP('Données projet'!$B$10,Paramètres!$A$1:$I$89,3,0)*0.475*44/12</f>
        <v>3.017989950273608E-9</v>
      </c>
      <c r="AX88" s="21">
        <f t="shared" si="60"/>
        <v>18.716343681616458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0</v>
      </c>
      <c r="BE88" s="13">
        <f>BD88*VLOOKUP('Données projet'!$B$11,Paramètres!$A$1:$I$89,3,0)*VLOOKUP('Données projet'!$B$11,Paramètres!$A$1:$I$89,5,0)</f>
        <v>0</v>
      </c>
      <c r="BF88" s="13" t="e">
        <f t="shared" si="91"/>
        <v>#NUM!</v>
      </c>
      <c r="BG88" s="20" t="e">
        <f t="shared" si="61"/>
        <v>#NUM!</v>
      </c>
      <c r="BH88" s="59" t="e">
        <f t="shared" si="62"/>
        <v>#NUM!</v>
      </c>
      <c r="BI88" s="59">
        <f ca="1">AVERAGE(OFFSET($BH$3,0,0,'Données projet'!$E$11+1,1))-AVERAGE(OFFSET($H$3,0,0,'Données projet'!$E$11+1,1))</f>
        <v>112.82287576550925</v>
      </c>
      <c r="BJ88" s="59">
        <f t="shared" si="92"/>
        <v>317.78570695363294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16.599224194222387</v>
      </c>
      <c r="BQ88" s="21">
        <f>EXP(-LN(2)/25)*BQ87+(1-EXP(-LN(2)/25))/(LN(2)/25)*Calculateur!BL88*Calculateur!BN88*VLOOKUP('Données projet'!$B$11,Paramètres!$A$1:$I$89,3,0)*0.475*44/12</f>
        <v>2.1171194843760781</v>
      </c>
      <c r="BR88" s="21">
        <f>EXP(-LN(2)/2)*BR87+(1-EXP(-LN(2)/2))/(LN(2)/2)*BL88*BO88*VLOOKUP('Données projet'!$B$11,Paramètres!$A$1:$I$89,3,0)*0.475*44/12</f>
        <v>3.017989950273608E-9</v>
      </c>
      <c r="BS88" s="22">
        <f t="shared" si="63"/>
        <v>18.716343681616458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>
        <f>BY88*VLOOKUP('Données projet'!$B$12,Paramètres!$A$1:$I$89,3,0)*VLOOKUP('Données projet'!$B$12,Paramètres!$A$1:$I$89,5,0)</f>
        <v>0</v>
      </c>
      <c r="CA88" s="13" t="e">
        <f t="shared" si="93"/>
        <v>#NUM!</v>
      </c>
      <c r="CB88" s="20" t="e">
        <f t="shared" si="64"/>
        <v>#NUM!</v>
      </c>
      <c r="CC88" s="59" t="e">
        <f t="shared" si="65"/>
        <v>#NUM!</v>
      </c>
      <c r="CD88" s="59">
        <f ca="1">AVERAGE(OFFSET($CC$3,0,0,'Données projet'!$E$12+1,1))-AVERAGE(OFFSET($H$3,0,0,'Données projet'!$E$12+1,1))</f>
        <v>112.82287576550925</v>
      </c>
      <c r="CE88" s="59">
        <f t="shared" si="94"/>
        <v>317.78570695363294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>
        <f>EXP(-LN(2)/35)*CK87+(1-EXP(-LN(2)/35))/(LN(2)/35)*CG88*CH88*VLOOKUP('Données projet'!$B$12,Paramètres!$A$1:$I$89,3,0)*0.475*44/12</f>
        <v>16.599224194222387</v>
      </c>
      <c r="CL88" s="21">
        <f>EXP(-LN(2)/25)*CL87+(1-EXP(-LN(2)/25))/(LN(2)/25)*Calculateur!CG88*Calculateur!CI88*VLOOKUP('Données projet'!$B$12,Paramètres!$A$1:$I$89,3,0)*0.475*44/12</f>
        <v>2.1171194843760781</v>
      </c>
      <c r="CM88" s="21">
        <f>EXP(-LN(2)/2)*CM87+(1-EXP(-LN(2)/2))/(LN(2)/2)*CG88*CJ88*VLOOKUP('Données projet'!$B$12,Paramètres!$A$1:$I$89,3,0)*0.475*44/12</f>
        <v>3.017989950273608E-9</v>
      </c>
      <c r="CN88" s="22">
        <f t="shared" si="66"/>
        <v>18.716343681616458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5">
      <c r="A89" s="10">
        <f t="shared" si="85"/>
        <v>86</v>
      </c>
      <c r="B89" s="73">
        <f>'Scénario référence'!$B$16*5+'Scénario référence'!$B$17*0+'Scénario référence'!$B$18*5</f>
        <v>5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1">
        <f t="shared" si="86"/>
        <v>0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89" s="11">
        <f>IF(OR('Scénario référence'!$F$8&gt;0,'Scénario référence'!$F$9&gt;0),('Scénario référence'!$F$8+'Scénario référence'!$F$9)*10,0)</f>
        <v>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18.333333333333332</v>
      </c>
      <c r="H89" s="67">
        <f t="shared" si="56"/>
        <v>183.33333333333334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0</v>
      </c>
      <c r="O89" s="13">
        <f>N89*VLOOKUP('Données projet'!$B$9,Paramètres!$A$1:$I$89,3,0)*VLOOKUP('Données projet'!$B$9,Paramètres!$A$1:$I$89,5,0)</f>
        <v>0</v>
      </c>
      <c r="P89" s="13" t="e">
        <f t="shared" si="87"/>
        <v>#NUM!</v>
      </c>
      <c r="Q89" s="20" t="e">
        <f t="shared" si="54"/>
        <v>#NUM!</v>
      </c>
      <c r="R89" s="59" t="e">
        <f t="shared" si="55"/>
        <v>#NUM!</v>
      </c>
      <c r="S89" s="59">
        <f ca="1">AVERAGE(OFFSET($R$3,0,0,'Données projet'!$E$9+1,1))-AVERAGE(OFFSET($H$3,0,0,'Données projet'!$E$9+1,1))</f>
        <v>112.82287576550925</v>
      </c>
      <c r="T89" s="59">
        <f t="shared" si="88"/>
        <v>317.78570695363294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16.273723532300732</v>
      </c>
      <c r="AA89" s="21">
        <f>EXP(-LN(2)/25)*AA88+(1-EXP(-LN(2)/25))/(LN(2)/25)*Calculateur!V89*Calculateur!X89*VLOOKUP('Données projet'!$B$9,Paramètres!$A$1:$I$89,3,0)*0.475*44/12</f>
        <v>2.0592267407413392</v>
      </c>
      <c r="AB89" s="21">
        <f>EXP(-LN(2)/2)*AB88+(1-EXP(-LN(2)/2))/(LN(2)/2)*V89*Y89*VLOOKUP('Données projet'!$B$9,Paramètres!$A$1:$I$89,3,0)*0.475*44/12</f>
        <v>2.1340411593913196E-9</v>
      </c>
      <c r="AC89" s="22">
        <f t="shared" si="57"/>
        <v>18.332950275176113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0</v>
      </c>
      <c r="AJ89" s="13">
        <f>AI89*VLOOKUP('Données projet'!$B$10,Paramètres!$A$1:$I$89,3,0)*VLOOKUP('Données projet'!$B$10,Paramètres!$A$1:$I$89,5,0)</f>
        <v>0</v>
      </c>
      <c r="AK89" s="13" t="e">
        <f t="shared" si="89"/>
        <v>#NUM!</v>
      </c>
      <c r="AL89" s="20" t="e">
        <f t="shared" si="58"/>
        <v>#NUM!</v>
      </c>
      <c r="AM89" s="59" t="e">
        <f t="shared" si="59"/>
        <v>#NUM!</v>
      </c>
      <c r="AN89" s="59">
        <f ca="1">AVERAGE(OFFSET($AM$3,0,0,'Données projet'!$E$10+1,1))-AVERAGE(OFFSET($H$3,0,0,'Données projet'!$E$10+1,1))</f>
        <v>112.82287576550925</v>
      </c>
      <c r="AO89" s="59">
        <f t="shared" si="90"/>
        <v>317.78570695363294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16.273723532300732</v>
      </c>
      <c r="AV89" s="21">
        <f>EXP(-LN(2)/25)*AV88+(1-EXP(-LN(2)/25))/(LN(2)/25)*Calculateur!AQ89*Calculateur!AS89*VLOOKUP('Données projet'!$B$10,Paramètres!$A$1:$I$89,3,0)*0.475*44/12</f>
        <v>2.0592267407413392</v>
      </c>
      <c r="AW89" s="21">
        <f>EXP(-LN(2)/2)*AW88+(1-EXP(-LN(2)/2))/(LN(2)/2)*AQ89*AT89*VLOOKUP('Données projet'!$B$10,Paramètres!$A$1:$I$89,3,0)*0.475*44/12</f>
        <v>2.1340411593913196E-9</v>
      </c>
      <c r="AX89" s="21">
        <f t="shared" si="60"/>
        <v>18.332950275176113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0</v>
      </c>
      <c r="BE89" s="13">
        <f>BD89*VLOOKUP('Données projet'!$B$11,Paramètres!$A$1:$I$89,3,0)*VLOOKUP('Données projet'!$B$11,Paramètres!$A$1:$I$89,5,0)</f>
        <v>0</v>
      </c>
      <c r="BF89" s="13" t="e">
        <f t="shared" si="91"/>
        <v>#NUM!</v>
      </c>
      <c r="BG89" s="20" t="e">
        <f t="shared" si="61"/>
        <v>#NUM!</v>
      </c>
      <c r="BH89" s="59" t="e">
        <f t="shared" si="62"/>
        <v>#NUM!</v>
      </c>
      <c r="BI89" s="59">
        <f ca="1">AVERAGE(OFFSET($BH$3,0,0,'Données projet'!$E$11+1,1))-AVERAGE(OFFSET($H$3,0,0,'Données projet'!$E$11+1,1))</f>
        <v>112.82287576550925</v>
      </c>
      <c r="BJ89" s="59">
        <f t="shared" si="92"/>
        <v>317.78570695363294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16.273723532300732</v>
      </c>
      <c r="BQ89" s="21">
        <f>EXP(-LN(2)/25)*BQ88+(1-EXP(-LN(2)/25))/(LN(2)/25)*Calculateur!BL89*Calculateur!BN89*VLOOKUP('Données projet'!$B$11,Paramètres!$A$1:$I$89,3,0)*0.475*44/12</f>
        <v>2.0592267407413392</v>
      </c>
      <c r="BR89" s="21">
        <f>EXP(-LN(2)/2)*BR88+(1-EXP(-LN(2)/2))/(LN(2)/2)*BL89*BO89*VLOOKUP('Données projet'!$B$11,Paramètres!$A$1:$I$89,3,0)*0.475*44/12</f>
        <v>2.1340411593913196E-9</v>
      </c>
      <c r="BS89" s="22">
        <f t="shared" si="63"/>
        <v>18.332950275176113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>
        <f>BY89*VLOOKUP('Données projet'!$B$12,Paramètres!$A$1:$I$89,3,0)*VLOOKUP('Données projet'!$B$12,Paramètres!$A$1:$I$89,5,0)</f>
        <v>0</v>
      </c>
      <c r="CA89" s="13" t="e">
        <f t="shared" si="93"/>
        <v>#NUM!</v>
      </c>
      <c r="CB89" s="20" t="e">
        <f t="shared" si="64"/>
        <v>#NUM!</v>
      </c>
      <c r="CC89" s="59" t="e">
        <f t="shared" si="65"/>
        <v>#NUM!</v>
      </c>
      <c r="CD89" s="59">
        <f ca="1">AVERAGE(OFFSET($CC$3,0,0,'Données projet'!$E$12+1,1))-AVERAGE(OFFSET($H$3,0,0,'Données projet'!$E$12+1,1))</f>
        <v>112.82287576550925</v>
      </c>
      <c r="CE89" s="59">
        <f t="shared" si="94"/>
        <v>317.78570695363294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>
        <f>EXP(-LN(2)/35)*CK88+(1-EXP(-LN(2)/35))/(LN(2)/35)*CG89*CH89*VLOOKUP('Données projet'!$B$12,Paramètres!$A$1:$I$89,3,0)*0.475*44/12</f>
        <v>16.273723532300732</v>
      </c>
      <c r="CL89" s="21">
        <f>EXP(-LN(2)/25)*CL88+(1-EXP(-LN(2)/25))/(LN(2)/25)*Calculateur!CG89*Calculateur!CI89*VLOOKUP('Données projet'!$B$12,Paramètres!$A$1:$I$89,3,0)*0.475*44/12</f>
        <v>2.0592267407413392</v>
      </c>
      <c r="CM89" s="21">
        <f>EXP(-LN(2)/2)*CM88+(1-EXP(-LN(2)/2))/(LN(2)/2)*CG89*CJ89*VLOOKUP('Données projet'!$B$12,Paramètres!$A$1:$I$89,3,0)*0.475*44/12</f>
        <v>2.1340411593913196E-9</v>
      </c>
      <c r="CN89" s="22">
        <f t="shared" si="66"/>
        <v>18.332950275176113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5">
      <c r="A90" s="10">
        <f t="shared" si="85"/>
        <v>87</v>
      </c>
      <c r="B90" s="73">
        <f>'Scénario référence'!$B$16*5+'Scénario référence'!$B$17*0+'Scénario référence'!$B$18*5</f>
        <v>5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1">
        <f t="shared" si="86"/>
        <v>0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0" s="11">
        <f>IF(OR('Scénario référence'!$F$8&gt;0,'Scénario référence'!$F$9&gt;0),('Scénario référence'!$F$8+'Scénario référence'!$F$9)*10,0)</f>
        <v>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18.333333333333332</v>
      </c>
      <c r="H90" s="67">
        <f t="shared" si="56"/>
        <v>183.33333333333334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0</v>
      </c>
      <c r="O90" s="13">
        <f>N90*VLOOKUP('Données projet'!$B$9,Paramètres!$A$1:$I$89,3,0)*VLOOKUP('Données projet'!$B$9,Paramètres!$A$1:$I$89,5,0)</f>
        <v>0</v>
      </c>
      <c r="P90" s="13" t="e">
        <f t="shared" si="87"/>
        <v>#NUM!</v>
      </c>
      <c r="Q90" s="20" t="e">
        <f t="shared" si="54"/>
        <v>#NUM!</v>
      </c>
      <c r="R90" s="59" t="e">
        <f t="shared" si="55"/>
        <v>#NUM!</v>
      </c>
      <c r="S90" s="59">
        <f ca="1">AVERAGE(OFFSET($R$3,0,0,'Données projet'!$E$9+1,1))-AVERAGE(OFFSET($H$3,0,0,'Données projet'!$E$9+1,1))</f>
        <v>112.82287576550925</v>
      </c>
      <c r="T90" s="59">
        <f t="shared" si="88"/>
        <v>317.78570695363294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15.95460573982356</v>
      </c>
      <c r="AA90" s="21">
        <f>EXP(-LN(2)/25)*AA89+(1-EXP(-LN(2)/25))/(LN(2)/25)*Calculateur!V90*Calculateur!X90*VLOOKUP('Données projet'!$B$9,Paramètres!$A$1:$I$89,3,0)*0.475*44/12</f>
        <v>2.0029170772257392</v>
      </c>
      <c r="AB90" s="21">
        <f>EXP(-LN(2)/2)*AB89+(1-EXP(-LN(2)/2))/(LN(2)/2)*V90*Y90*VLOOKUP('Données projet'!$B$9,Paramètres!$A$1:$I$89,3,0)*0.475*44/12</f>
        <v>1.508994975136804E-9</v>
      </c>
      <c r="AC90" s="22">
        <f t="shared" si="57"/>
        <v>17.957522818558292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0</v>
      </c>
      <c r="AJ90" s="13">
        <f>AI90*VLOOKUP('Données projet'!$B$10,Paramètres!$A$1:$I$89,3,0)*VLOOKUP('Données projet'!$B$10,Paramètres!$A$1:$I$89,5,0)</f>
        <v>0</v>
      </c>
      <c r="AK90" s="13" t="e">
        <f t="shared" si="89"/>
        <v>#NUM!</v>
      </c>
      <c r="AL90" s="20" t="e">
        <f t="shared" si="58"/>
        <v>#NUM!</v>
      </c>
      <c r="AM90" s="59" t="e">
        <f t="shared" si="59"/>
        <v>#NUM!</v>
      </c>
      <c r="AN90" s="59">
        <f ca="1">AVERAGE(OFFSET($AM$3,0,0,'Données projet'!$E$10+1,1))-AVERAGE(OFFSET($H$3,0,0,'Données projet'!$E$10+1,1))</f>
        <v>112.82287576550925</v>
      </c>
      <c r="AO90" s="59">
        <f t="shared" si="90"/>
        <v>317.78570695363294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15.95460573982356</v>
      </c>
      <c r="AV90" s="21">
        <f>EXP(-LN(2)/25)*AV89+(1-EXP(-LN(2)/25))/(LN(2)/25)*Calculateur!AQ90*Calculateur!AS90*VLOOKUP('Données projet'!$B$10,Paramètres!$A$1:$I$89,3,0)*0.475*44/12</f>
        <v>2.0029170772257392</v>
      </c>
      <c r="AW90" s="21">
        <f>EXP(-LN(2)/2)*AW89+(1-EXP(-LN(2)/2))/(LN(2)/2)*AQ90*AT90*VLOOKUP('Données projet'!$B$10,Paramètres!$A$1:$I$89,3,0)*0.475*44/12</f>
        <v>1.508994975136804E-9</v>
      </c>
      <c r="AX90" s="21">
        <f t="shared" si="60"/>
        <v>17.957522818558292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0</v>
      </c>
      <c r="BE90" s="13">
        <f>BD90*VLOOKUP('Données projet'!$B$11,Paramètres!$A$1:$I$89,3,0)*VLOOKUP('Données projet'!$B$11,Paramètres!$A$1:$I$89,5,0)</f>
        <v>0</v>
      </c>
      <c r="BF90" s="13" t="e">
        <f t="shared" si="91"/>
        <v>#NUM!</v>
      </c>
      <c r="BG90" s="20" t="e">
        <f t="shared" si="61"/>
        <v>#NUM!</v>
      </c>
      <c r="BH90" s="59" t="e">
        <f t="shared" si="62"/>
        <v>#NUM!</v>
      </c>
      <c r="BI90" s="59">
        <f ca="1">AVERAGE(OFFSET($BH$3,0,0,'Données projet'!$E$11+1,1))-AVERAGE(OFFSET($H$3,0,0,'Données projet'!$E$11+1,1))</f>
        <v>112.82287576550925</v>
      </c>
      <c r="BJ90" s="59">
        <f t="shared" si="92"/>
        <v>317.78570695363294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15.95460573982356</v>
      </c>
      <c r="BQ90" s="21">
        <f>EXP(-LN(2)/25)*BQ89+(1-EXP(-LN(2)/25))/(LN(2)/25)*Calculateur!BL90*Calculateur!BN90*VLOOKUP('Données projet'!$B$11,Paramètres!$A$1:$I$89,3,0)*0.475*44/12</f>
        <v>2.0029170772257392</v>
      </c>
      <c r="BR90" s="21">
        <f>EXP(-LN(2)/2)*BR89+(1-EXP(-LN(2)/2))/(LN(2)/2)*BL90*BO90*VLOOKUP('Données projet'!$B$11,Paramètres!$A$1:$I$89,3,0)*0.475*44/12</f>
        <v>1.508994975136804E-9</v>
      </c>
      <c r="BS90" s="22">
        <f t="shared" si="63"/>
        <v>17.957522818558292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>
        <f>BY90*VLOOKUP('Données projet'!$B$12,Paramètres!$A$1:$I$89,3,0)*VLOOKUP('Données projet'!$B$12,Paramètres!$A$1:$I$89,5,0)</f>
        <v>0</v>
      </c>
      <c r="CA90" s="13" t="e">
        <f t="shared" si="93"/>
        <v>#NUM!</v>
      </c>
      <c r="CB90" s="20" t="e">
        <f t="shared" si="64"/>
        <v>#NUM!</v>
      </c>
      <c r="CC90" s="59" t="e">
        <f t="shared" si="65"/>
        <v>#NUM!</v>
      </c>
      <c r="CD90" s="59">
        <f ca="1">AVERAGE(OFFSET($CC$3,0,0,'Données projet'!$E$12+1,1))-AVERAGE(OFFSET($H$3,0,0,'Données projet'!$E$12+1,1))</f>
        <v>112.82287576550925</v>
      </c>
      <c r="CE90" s="59">
        <f t="shared" si="94"/>
        <v>317.78570695363294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>
        <f>EXP(-LN(2)/35)*CK89+(1-EXP(-LN(2)/35))/(LN(2)/35)*CG90*CH90*VLOOKUP('Données projet'!$B$12,Paramètres!$A$1:$I$89,3,0)*0.475*44/12</f>
        <v>15.95460573982356</v>
      </c>
      <c r="CL90" s="21">
        <f>EXP(-LN(2)/25)*CL89+(1-EXP(-LN(2)/25))/(LN(2)/25)*Calculateur!CG90*Calculateur!CI90*VLOOKUP('Données projet'!$B$12,Paramètres!$A$1:$I$89,3,0)*0.475*44/12</f>
        <v>2.0029170772257392</v>
      </c>
      <c r="CM90" s="21">
        <f>EXP(-LN(2)/2)*CM89+(1-EXP(-LN(2)/2))/(LN(2)/2)*CG90*CJ90*VLOOKUP('Données projet'!$B$12,Paramètres!$A$1:$I$89,3,0)*0.475*44/12</f>
        <v>1.508994975136804E-9</v>
      </c>
      <c r="CN90" s="22">
        <f t="shared" si="66"/>
        <v>17.957522818558292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5">
      <c r="A91" s="10">
        <f t="shared" si="85"/>
        <v>88</v>
      </c>
      <c r="B91" s="73">
        <f>'Scénario référence'!$B$16*5+'Scénario référence'!$B$17*0+'Scénario référence'!$B$18*5</f>
        <v>5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1">
        <f t="shared" si="86"/>
        <v>0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1" s="11">
        <f>IF(OR('Scénario référence'!$F$8&gt;0,'Scénario référence'!$F$9&gt;0),('Scénario référence'!$F$8+'Scénario référence'!$F$9)*10,0)</f>
        <v>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18.333333333333332</v>
      </c>
      <c r="H91" s="67">
        <f t="shared" si="56"/>
        <v>183.33333333333334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0</v>
      </c>
      <c r="O91" s="13">
        <f>N91*VLOOKUP('Données projet'!$B$9,Paramètres!$A$1:$I$89,3,0)*VLOOKUP('Données projet'!$B$9,Paramètres!$A$1:$I$89,5,0)</f>
        <v>0</v>
      </c>
      <c r="P91" s="13" t="e">
        <f t="shared" si="87"/>
        <v>#NUM!</v>
      </c>
      <c r="Q91" s="20" t="e">
        <f t="shared" si="54"/>
        <v>#NUM!</v>
      </c>
      <c r="R91" s="59" t="e">
        <f t="shared" si="55"/>
        <v>#NUM!</v>
      </c>
      <c r="S91" s="59">
        <f ca="1">AVERAGE(OFFSET($R$3,0,0,'Données projet'!$E$9+1,1))-AVERAGE(OFFSET($H$3,0,0,'Données projet'!$E$9+1,1))</f>
        <v>112.82287576550925</v>
      </c>
      <c r="T91" s="59">
        <f t="shared" si="88"/>
        <v>317.78570695363294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15.64174565261423</v>
      </c>
      <c r="AA91" s="21">
        <f>EXP(-LN(2)/25)*AA90+(1-EXP(-LN(2)/25))/(LN(2)/25)*Calculateur!V91*Calculateur!X91*VLOOKUP('Données projet'!$B$9,Paramètres!$A$1:$I$89,3,0)*0.475*44/12</f>
        <v>1.94814720442017</v>
      </c>
      <c r="AB91" s="21">
        <f>EXP(-LN(2)/2)*AB90+(1-EXP(-LN(2)/2))/(LN(2)/2)*V91*Y91*VLOOKUP('Données projet'!$B$9,Paramètres!$A$1:$I$89,3,0)*0.475*44/12</f>
        <v>1.0670205796956598E-9</v>
      </c>
      <c r="AC91" s="22">
        <f t="shared" si="57"/>
        <v>17.589892858101422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0</v>
      </c>
      <c r="AJ91" s="13">
        <f>AI91*VLOOKUP('Données projet'!$B$10,Paramètres!$A$1:$I$89,3,0)*VLOOKUP('Données projet'!$B$10,Paramètres!$A$1:$I$89,5,0)</f>
        <v>0</v>
      </c>
      <c r="AK91" s="13" t="e">
        <f t="shared" si="89"/>
        <v>#NUM!</v>
      </c>
      <c r="AL91" s="20" t="e">
        <f t="shared" si="58"/>
        <v>#NUM!</v>
      </c>
      <c r="AM91" s="59" t="e">
        <f t="shared" si="59"/>
        <v>#NUM!</v>
      </c>
      <c r="AN91" s="59">
        <f ca="1">AVERAGE(OFFSET($AM$3,0,0,'Données projet'!$E$10+1,1))-AVERAGE(OFFSET($H$3,0,0,'Données projet'!$E$10+1,1))</f>
        <v>112.82287576550925</v>
      </c>
      <c r="AO91" s="59">
        <f t="shared" si="90"/>
        <v>317.78570695363294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15.64174565261423</v>
      </c>
      <c r="AV91" s="21">
        <f>EXP(-LN(2)/25)*AV90+(1-EXP(-LN(2)/25))/(LN(2)/25)*Calculateur!AQ91*Calculateur!AS91*VLOOKUP('Données projet'!$B$10,Paramètres!$A$1:$I$89,3,0)*0.475*44/12</f>
        <v>1.94814720442017</v>
      </c>
      <c r="AW91" s="21">
        <f>EXP(-LN(2)/2)*AW90+(1-EXP(-LN(2)/2))/(LN(2)/2)*AQ91*AT91*VLOOKUP('Données projet'!$B$10,Paramètres!$A$1:$I$89,3,0)*0.475*44/12</f>
        <v>1.0670205796956598E-9</v>
      </c>
      <c r="AX91" s="21">
        <f t="shared" si="60"/>
        <v>17.589892858101422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0</v>
      </c>
      <c r="BE91" s="13">
        <f>BD91*VLOOKUP('Données projet'!$B$11,Paramètres!$A$1:$I$89,3,0)*VLOOKUP('Données projet'!$B$11,Paramètres!$A$1:$I$89,5,0)</f>
        <v>0</v>
      </c>
      <c r="BF91" s="13" t="e">
        <f t="shared" si="91"/>
        <v>#NUM!</v>
      </c>
      <c r="BG91" s="20" t="e">
        <f t="shared" si="61"/>
        <v>#NUM!</v>
      </c>
      <c r="BH91" s="59" t="e">
        <f t="shared" si="62"/>
        <v>#NUM!</v>
      </c>
      <c r="BI91" s="59">
        <f ca="1">AVERAGE(OFFSET($BH$3,0,0,'Données projet'!$E$11+1,1))-AVERAGE(OFFSET($H$3,0,0,'Données projet'!$E$11+1,1))</f>
        <v>112.82287576550925</v>
      </c>
      <c r="BJ91" s="59">
        <f t="shared" si="92"/>
        <v>317.78570695363294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15.64174565261423</v>
      </c>
      <c r="BQ91" s="21">
        <f>EXP(-LN(2)/25)*BQ90+(1-EXP(-LN(2)/25))/(LN(2)/25)*Calculateur!BL91*Calculateur!BN91*VLOOKUP('Données projet'!$B$11,Paramètres!$A$1:$I$89,3,0)*0.475*44/12</f>
        <v>1.94814720442017</v>
      </c>
      <c r="BR91" s="21">
        <f>EXP(-LN(2)/2)*BR90+(1-EXP(-LN(2)/2))/(LN(2)/2)*BL91*BO91*VLOOKUP('Données projet'!$B$11,Paramètres!$A$1:$I$89,3,0)*0.475*44/12</f>
        <v>1.0670205796956598E-9</v>
      </c>
      <c r="BS91" s="22">
        <f t="shared" si="63"/>
        <v>17.589892858101422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>
        <f>BY91*VLOOKUP('Données projet'!$B$12,Paramètres!$A$1:$I$89,3,0)*VLOOKUP('Données projet'!$B$12,Paramètres!$A$1:$I$89,5,0)</f>
        <v>0</v>
      </c>
      <c r="CA91" s="13" t="e">
        <f t="shared" si="93"/>
        <v>#NUM!</v>
      </c>
      <c r="CB91" s="20" t="e">
        <f t="shared" si="64"/>
        <v>#NUM!</v>
      </c>
      <c r="CC91" s="59" t="e">
        <f t="shared" si="65"/>
        <v>#NUM!</v>
      </c>
      <c r="CD91" s="59">
        <f ca="1">AVERAGE(OFFSET($CC$3,0,0,'Données projet'!$E$12+1,1))-AVERAGE(OFFSET($H$3,0,0,'Données projet'!$E$12+1,1))</f>
        <v>112.82287576550925</v>
      </c>
      <c r="CE91" s="59">
        <f t="shared" si="94"/>
        <v>317.78570695363294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>
        <f>EXP(-LN(2)/35)*CK90+(1-EXP(-LN(2)/35))/(LN(2)/35)*CG91*CH91*VLOOKUP('Données projet'!$B$12,Paramètres!$A$1:$I$89,3,0)*0.475*44/12</f>
        <v>15.64174565261423</v>
      </c>
      <c r="CL91" s="21">
        <f>EXP(-LN(2)/25)*CL90+(1-EXP(-LN(2)/25))/(LN(2)/25)*Calculateur!CG91*Calculateur!CI91*VLOOKUP('Données projet'!$B$12,Paramètres!$A$1:$I$89,3,0)*0.475*44/12</f>
        <v>1.94814720442017</v>
      </c>
      <c r="CM91" s="21">
        <f>EXP(-LN(2)/2)*CM90+(1-EXP(-LN(2)/2))/(LN(2)/2)*CG91*CJ91*VLOOKUP('Données projet'!$B$12,Paramètres!$A$1:$I$89,3,0)*0.475*44/12</f>
        <v>1.0670205796956598E-9</v>
      </c>
      <c r="CN91" s="22">
        <f t="shared" si="66"/>
        <v>17.589892858101422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5">
      <c r="A92" s="10">
        <f t="shared" si="85"/>
        <v>89</v>
      </c>
      <c r="B92" s="73">
        <f>'Scénario référence'!$B$16*5+'Scénario référence'!$B$17*0+'Scénario référence'!$B$18*5</f>
        <v>5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1">
        <f t="shared" si="86"/>
        <v>0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2" s="11">
        <f>IF(OR('Scénario référence'!$F$8&gt;0,'Scénario référence'!$F$9&gt;0),('Scénario référence'!$F$8+'Scénario référence'!$F$9)*10,0)</f>
        <v>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18.333333333333332</v>
      </c>
      <c r="H92" s="67">
        <f t="shared" si="56"/>
        <v>183.33333333333334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0</v>
      </c>
      <c r="O92" s="13">
        <f>N92*VLOOKUP('Données projet'!$B$9,Paramètres!$A$1:$I$89,3,0)*VLOOKUP('Données projet'!$B$9,Paramètres!$A$1:$I$89,5,0)</f>
        <v>0</v>
      </c>
      <c r="P92" s="13" t="e">
        <f t="shared" si="87"/>
        <v>#NUM!</v>
      </c>
      <c r="Q92" s="20" t="e">
        <f t="shared" si="54"/>
        <v>#NUM!</v>
      </c>
      <c r="R92" s="59" t="e">
        <f t="shared" si="55"/>
        <v>#NUM!</v>
      </c>
      <c r="S92" s="59">
        <f ca="1">AVERAGE(OFFSET($R$3,0,0,'Données projet'!$E$9+1,1))-AVERAGE(OFFSET($H$3,0,0,'Données projet'!$E$9+1,1))</f>
        <v>112.82287576550925</v>
      </c>
      <c r="T92" s="59">
        <f t="shared" si="88"/>
        <v>317.78570695363294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15.335020560889264</v>
      </c>
      <c r="AA92" s="21">
        <f>EXP(-LN(2)/25)*AA91+(1-EXP(-LN(2)/25))/(LN(2)/25)*Calculateur!V92*Calculateur!X92*VLOOKUP('Données projet'!$B$9,Paramètres!$A$1:$I$89,3,0)*0.475*44/12</f>
        <v>1.8948750166666914</v>
      </c>
      <c r="AB92" s="21">
        <f>EXP(-LN(2)/2)*AB91+(1-EXP(-LN(2)/2))/(LN(2)/2)*V92*Y92*VLOOKUP('Données projet'!$B$9,Paramètres!$A$1:$I$89,3,0)*0.475*44/12</f>
        <v>7.54497487568402E-10</v>
      </c>
      <c r="AC92" s="22">
        <f t="shared" si="57"/>
        <v>17.229895578310451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0</v>
      </c>
      <c r="AJ92" s="13">
        <f>AI92*VLOOKUP('Données projet'!$B$10,Paramètres!$A$1:$I$89,3,0)*VLOOKUP('Données projet'!$B$10,Paramètres!$A$1:$I$89,5,0)</f>
        <v>0</v>
      </c>
      <c r="AK92" s="13" t="e">
        <f t="shared" si="89"/>
        <v>#NUM!</v>
      </c>
      <c r="AL92" s="20" t="e">
        <f t="shared" si="58"/>
        <v>#NUM!</v>
      </c>
      <c r="AM92" s="59" t="e">
        <f t="shared" si="59"/>
        <v>#NUM!</v>
      </c>
      <c r="AN92" s="59">
        <f ca="1">AVERAGE(OFFSET($AM$3,0,0,'Données projet'!$E$10+1,1))-AVERAGE(OFFSET($H$3,0,0,'Données projet'!$E$10+1,1))</f>
        <v>112.82287576550925</v>
      </c>
      <c r="AO92" s="59">
        <f t="shared" si="90"/>
        <v>317.78570695363294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15.335020560889264</v>
      </c>
      <c r="AV92" s="21">
        <f>EXP(-LN(2)/25)*AV91+(1-EXP(-LN(2)/25))/(LN(2)/25)*Calculateur!AQ92*Calculateur!AS92*VLOOKUP('Données projet'!$B$10,Paramètres!$A$1:$I$89,3,0)*0.475*44/12</f>
        <v>1.8948750166666914</v>
      </c>
      <c r="AW92" s="21">
        <f>EXP(-LN(2)/2)*AW91+(1-EXP(-LN(2)/2))/(LN(2)/2)*AQ92*AT92*VLOOKUP('Données projet'!$B$10,Paramètres!$A$1:$I$89,3,0)*0.475*44/12</f>
        <v>7.54497487568402E-10</v>
      </c>
      <c r="AX92" s="21">
        <f t="shared" si="60"/>
        <v>17.229895578310451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0</v>
      </c>
      <c r="BE92" s="13">
        <f>BD92*VLOOKUP('Données projet'!$B$11,Paramètres!$A$1:$I$89,3,0)*VLOOKUP('Données projet'!$B$11,Paramètres!$A$1:$I$89,5,0)</f>
        <v>0</v>
      </c>
      <c r="BF92" s="13" t="e">
        <f t="shared" si="91"/>
        <v>#NUM!</v>
      </c>
      <c r="BG92" s="20" t="e">
        <f t="shared" si="61"/>
        <v>#NUM!</v>
      </c>
      <c r="BH92" s="59" t="e">
        <f t="shared" si="62"/>
        <v>#NUM!</v>
      </c>
      <c r="BI92" s="59">
        <f ca="1">AVERAGE(OFFSET($BH$3,0,0,'Données projet'!$E$11+1,1))-AVERAGE(OFFSET($H$3,0,0,'Données projet'!$E$11+1,1))</f>
        <v>112.82287576550925</v>
      </c>
      <c r="BJ92" s="59">
        <f t="shared" si="92"/>
        <v>317.78570695363294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15.335020560889264</v>
      </c>
      <c r="BQ92" s="21">
        <f>EXP(-LN(2)/25)*BQ91+(1-EXP(-LN(2)/25))/(LN(2)/25)*Calculateur!BL92*Calculateur!BN92*VLOOKUP('Données projet'!$B$11,Paramètres!$A$1:$I$89,3,0)*0.475*44/12</f>
        <v>1.8948750166666914</v>
      </c>
      <c r="BR92" s="21">
        <f>EXP(-LN(2)/2)*BR91+(1-EXP(-LN(2)/2))/(LN(2)/2)*BL92*BO92*VLOOKUP('Données projet'!$B$11,Paramètres!$A$1:$I$89,3,0)*0.475*44/12</f>
        <v>7.54497487568402E-10</v>
      </c>
      <c r="BS92" s="22">
        <f t="shared" si="63"/>
        <v>17.229895578310451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>
        <f>BY92*VLOOKUP('Données projet'!$B$12,Paramètres!$A$1:$I$89,3,0)*VLOOKUP('Données projet'!$B$12,Paramètres!$A$1:$I$89,5,0)</f>
        <v>0</v>
      </c>
      <c r="CA92" s="13" t="e">
        <f t="shared" si="93"/>
        <v>#NUM!</v>
      </c>
      <c r="CB92" s="20" t="e">
        <f t="shared" si="64"/>
        <v>#NUM!</v>
      </c>
      <c r="CC92" s="59" t="e">
        <f t="shared" si="65"/>
        <v>#NUM!</v>
      </c>
      <c r="CD92" s="59">
        <f ca="1">AVERAGE(OFFSET($CC$3,0,0,'Données projet'!$E$12+1,1))-AVERAGE(OFFSET($H$3,0,0,'Données projet'!$E$12+1,1))</f>
        <v>112.82287576550925</v>
      </c>
      <c r="CE92" s="59">
        <f t="shared" si="94"/>
        <v>317.78570695363294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>
        <f>EXP(-LN(2)/35)*CK91+(1-EXP(-LN(2)/35))/(LN(2)/35)*CG92*CH92*VLOOKUP('Données projet'!$B$12,Paramètres!$A$1:$I$89,3,0)*0.475*44/12</f>
        <v>15.335020560889264</v>
      </c>
      <c r="CL92" s="21">
        <f>EXP(-LN(2)/25)*CL91+(1-EXP(-LN(2)/25))/(LN(2)/25)*Calculateur!CG92*Calculateur!CI92*VLOOKUP('Données projet'!$B$12,Paramètres!$A$1:$I$89,3,0)*0.475*44/12</f>
        <v>1.8948750166666914</v>
      </c>
      <c r="CM92" s="21">
        <f>EXP(-LN(2)/2)*CM91+(1-EXP(-LN(2)/2))/(LN(2)/2)*CG92*CJ92*VLOOKUP('Données projet'!$B$12,Paramètres!$A$1:$I$89,3,0)*0.475*44/12</f>
        <v>7.54497487568402E-10</v>
      </c>
      <c r="CN92" s="22">
        <f t="shared" si="66"/>
        <v>17.229895578310451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5">
      <c r="A93" s="10">
        <f t="shared" si="85"/>
        <v>90</v>
      </c>
      <c r="B93" s="73">
        <f>'Scénario référence'!$B$16*5+'Scénario référence'!$B$17*0+'Scénario référence'!$B$18*5</f>
        <v>5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1">
        <f t="shared" si="86"/>
        <v>0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3" s="11">
        <f>IF(OR('Scénario référence'!$F$8&gt;0,'Scénario référence'!$F$9&gt;0),('Scénario référence'!$F$8+'Scénario référence'!$F$9)*10,0)</f>
        <v>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18.333333333333332</v>
      </c>
      <c r="H93" s="67">
        <f t="shared" si="56"/>
        <v>183.33333333333334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0</v>
      </c>
      <c r="O93" s="13">
        <f>N93*VLOOKUP('Données projet'!$B$9,Paramètres!$A$1:$I$89,3,0)*VLOOKUP('Données projet'!$B$9,Paramètres!$A$1:$I$89,5,0)</f>
        <v>0</v>
      </c>
      <c r="P93" s="13" t="e">
        <f t="shared" si="87"/>
        <v>#NUM!</v>
      </c>
      <c r="Q93" s="20" t="e">
        <f t="shared" si="54"/>
        <v>#NUM!</v>
      </c>
      <c r="R93" s="59" t="e">
        <f t="shared" si="55"/>
        <v>#NUM!</v>
      </c>
      <c r="S93" s="59">
        <f ca="1">AVERAGE(OFFSET($R$3,0,0,'Données projet'!$E$9+1,1))-AVERAGE(OFFSET($H$3,0,0,'Données projet'!$E$9+1,1))</f>
        <v>112.82287576550925</v>
      </c>
      <c r="T93" s="59">
        <f t="shared" si="88"/>
        <v>317.78570695363294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15.034310161129193</v>
      </c>
      <c r="AA93" s="21">
        <f>EXP(-LN(2)/25)*AA92+(1-EXP(-LN(2)/25))/(LN(2)/25)*Calculateur!V93*Calculateur!X93*VLOOKUP('Données projet'!$B$9,Paramètres!$A$1:$I$89,3,0)*0.475*44/12</f>
        <v>1.8430595596887944</v>
      </c>
      <c r="AB93" s="21">
        <f>EXP(-LN(2)/2)*AB92+(1-EXP(-LN(2)/2))/(LN(2)/2)*V93*Y93*VLOOKUP('Données projet'!$B$9,Paramètres!$A$1:$I$89,3,0)*0.475*44/12</f>
        <v>5.3351028984782989E-10</v>
      </c>
      <c r="AC93" s="22">
        <f t="shared" si="57"/>
        <v>16.877369721351499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0</v>
      </c>
      <c r="AJ93" s="13">
        <f>AI93*VLOOKUP('Données projet'!$B$10,Paramètres!$A$1:$I$89,3,0)*VLOOKUP('Données projet'!$B$10,Paramètres!$A$1:$I$89,5,0)</f>
        <v>0</v>
      </c>
      <c r="AK93" s="13" t="e">
        <f t="shared" si="89"/>
        <v>#NUM!</v>
      </c>
      <c r="AL93" s="20" t="e">
        <f t="shared" si="58"/>
        <v>#NUM!</v>
      </c>
      <c r="AM93" s="59" t="e">
        <f t="shared" si="59"/>
        <v>#NUM!</v>
      </c>
      <c r="AN93" s="59">
        <f ca="1">AVERAGE(OFFSET($AM$3,0,0,'Données projet'!$E$10+1,1))-AVERAGE(OFFSET($H$3,0,0,'Données projet'!$E$10+1,1))</f>
        <v>112.82287576550925</v>
      </c>
      <c r="AO93" s="59">
        <f t="shared" si="90"/>
        <v>317.78570695363294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15.034310161129193</v>
      </c>
      <c r="AV93" s="21">
        <f>EXP(-LN(2)/25)*AV92+(1-EXP(-LN(2)/25))/(LN(2)/25)*Calculateur!AQ93*Calculateur!AS93*VLOOKUP('Données projet'!$B$10,Paramètres!$A$1:$I$89,3,0)*0.475*44/12</f>
        <v>1.8430595596887944</v>
      </c>
      <c r="AW93" s="21">
        <f>EXP(-LN(2)/2)*AW92+(1-EXP(-LN(2)/2))/(LN(2)/2)*AQ93*AT93*VLOOKUP('Données projet'!$B$10,Paramètres!$A$1:$I$89,3,0)*0.475*44/12</f>
        <v>5.3351028984782989E-10</v>
      </c>
      <c r="AX93" s="21">
        <f t="shared" si="60"/>
        <v>16.877369721351499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0</v>
      </c>
      <c r="BE93" s="13">
        <f>BD93*VLOOKUP('Données projet'!$B$11,Paramètres!$A$1:$I$89,3,0)*VLOOKUP('Données projet'!$B$11,Paramètres!$A$1:$I$89,5,0)</f>
        <v>0</v>
      </c>
      <c r="BF93" s="13" t="e">
        <f t="shared" si="91"/>
        <v>#NUM!</v>
      </c>
      <c r="BG93" s="20" t="e">
        <f t="shared" si="61"/>
        <v>#NUM!</v>
      </c>
      <c r="BH93" s="59" t="e">
        <f t="shared" si="62"/>
        <v>#NUM!</v>
      </c>
      <c r="BI93" s="59">
        <f ca="1">AVERAGE(OFFSET($BH$3,0,0,'Données projet'!$E$11+1,1))-AVERAGE(OFFSET($H$3,0,0,'Données projet'!$E$11+1,1))</f>
        <v>112.82287576550925</v>
      </c>
      <c r="BJ93" s="59">
        <f t="shared" si="92"/>
        <v>317.78570695363294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15.034310161129193</v>
      </c>
      <c r="BQ93" s="21">
        <f>EXP(-LN(2)/25)*BQ92+(1-EXP(-LN(2)/25))/(LN(2)/25)*Calculateur!BL93*Calculateur!BN93*VLOOKUP('Données projet'!$B$11,Paramètres!$A$1:$I$89,3,0)*0.475*44/12</f>
        <v>1.8430595596887944</v>
      </c>
      <c r="BR93" s="21">
        <f>EXP(-LN(2)/2)*BR92+(1-EXP(-LN(2)/2))/(LN(2)/2)*BL93*BO93*VLOOKUP('Données projet'!$B$11,Paramètres!$A$1:$I$89,3,0)*0.475*44/12</f>
        <v>5.3351028984782989E-10</v>
      </c>
      <c r="BS93" s="22">
        <f t="shared" si="63"/>
        <v>16.877369721351499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>
        <f>BY93*VLOOKUP('Données projet'!$B$12,Paramètres!$A$1:$I$89,3,0)*VLOOKUP('Données projet'!$B$12,Paramètres!$A$1:$I$89,5,0)</f>
        <v>0</v>
      </c>
      <c r="CA93" s="13" t="e">
        <f t="shared" si="93"/>
        <v>#NUM!</v>
      </c>
      <c r="CB93" s="20" t="e">
        <f t="shared" si="64"/>
        <v>#NUM!</v>
      </c>
      <c r="CC93" s="59" t="e">
        <f t="shared" si="65"/>
        <v>#NUM!</v>
      </c>
      <c r="CD93" s="59">
        <f ca="1">AVERAGE(OFFSET($CC$3,0,0,'Données projet'!$E$12+1,1))-AVERAGE(OFFSET($H$3,0,0,'Données projet'!$E$12+1,1))</f>
        <v>112.82287576550925</v>
      </c>
      <c r="CE93" s="59">
        <f t="shared" si="94"/>
        <v>317.78570695363294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>
        <f>EXP(-LN(2)/35)*CK92+(1-EXP(-LN(2)/35))/(LN(2)/35)*CG93*CH93*VLOOKUP('Données projet'!$B$12,Paramètres!$A$1:$I$89,3,0)*0.475*44/12</f>
        <v>15.034310161129193</v>
      </c>
      <c r="CL93" s="21">
        <f>EXP(-LN(2)/25)*CL92+(1-EXP(-LN(2)/25))/(LN(2)/25)*Calculateur!CG93*Calculateur!CI93*VLOOKUP('Données projet'!$B$12,Paramètres!$A$1:$I$89,3,0)*0.475*44/12</f>
        <v>1.8430595596887944</v>
      </c>
      <c r="CM93" s="21">
        <f>EXP(-LN(2)/2)*CM92+(1-EXP(-LN(2)/2))/(LN(2)/2)*CG93*CJ93*VLOOKUP('Données projet'!$B$12,Paramètres!$A$1:$I$89,3,0)*0.475*44/12</f>
        <v>5.3351028984782989E-10</v>
      </c>
      <c r="CN93" s="22">
        <f t="shared" si="66"/>
        <v>16.877369721351499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5">
      <c r="A94" s="10">
        <f t="shared" si="85"/>
        <v>91</v>
      </c>
      <c r="B94" s="73">
        <f>'Scénario référence'!$B$16*5+'Scénario référence'!$B$17*0+'Scénario référence'!$B$18*5</f>
        <v>5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1">
        <f t="shared" si="86"/>
        <v>0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4" s="11">
        <f>IF(OR('Scénario référence'!$F$8&gt;0,'Scénario référence'!$F$9&gt;0),('Scénario référence'!$F$8+'Scénario référence'!$F$9)*10,0)</f>
        <v>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18.333333333333332</v>
      </c>
      <c r="H94" s="67">
        <f t="shared" si="56"/>
        <v>183.33333333333334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0</v>
      </c>
      <c r="O94" s="13">
        <f>N94*VLOOKUP('Données projet'!$B$9,Paramètres!$A$1:$I$89,3,0)*VLOOKUP('Données projet'!$B$9,Paramètres!$A$1:$I$89,5,0)</f>
        <v>0</v>
      </c>
      <c r="P94" s="13" t="e">
        <f t="shared" si="87"/>
        <v>#NUM!</v>
      </c>
      <c r="Q94" s="20" t="e">
        <f t="shared" si="54"/>
        <v>#NUM!</v>
      </c>
      <c r="R94" s="59" t="e">
        <f t="shared" si="55"/>
        <v>#NUM!</v>
      </c>
      <c r="S94" s="59">
        <f ca="1">AVERAGE(OFFSET($R$3,0,0,'Données projet'!$E$9+1,1))-AVERAGE(OFFSET($H$3,0,0,'Données projet'!$E$9+1,1))</f>
        <v>112.82287576550925</v>
      </c>
      <c r="T94" s="59">
        <f t="shared" si="88"/>
        <v>317.78570695363294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14.739496508893183</v>
      </c>
      <c r="AA94" s="21">
        <f>EXP(-LN(2)/25)*AA93+(1-EXP(-LN(2)/25))/(LN(2)/25)*Calculateur!V94*Calculateur!X94*VLOOKUP('Données projet'!$B$9,Paramètres!$A$1:$I$89,3,0)*0.475*44/12</f>
        <v>1.7926609991068145</v>
      </c>
      <c r="AB94" s="21">
        <f>EXP(-LN(2)/2)*AB93+(1-EXP(-LN(2)/2))/(LN(2)/2)*V94*Y94*VLOOKUP('Données projet'!$B$9,Paramètres!$A$1:$I$89,3,0)*0.475*44/12</f>
        <v>3.77248743784201E-10</v>
      </c>
      <c r="AC94" s="22">
        <f t="shared" si="57"/>
        <v>16.532157508377246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0</v>
      </c>
      <c r="AJ94" s="13">
        <f>AI94*VLOOKUP('Données projet'!$B$10,Paramètres!$A$1:$I$89,3,0)*VLOOKUP('Données projet'!$B$10,Paramètres!$A$1:$I$89,5,0)</f>
        <v>0</v>
      </c>
      <c r="AK94" s="13" t="e">
        <f t="shared" si="89"/>
        <v>#NUM!</v>
      </c>
      <c r="AL94" s="20" t="e">
        <f t="shared" si="58"/>
        <v>#NUM!</v>
      </c>
      <c r="AM94" s="59" t="e">
        <f t="shared" si="59"/>
        <v>#NUM!</v>
      </c>
      <c r="AN94" s="59">
        <f ca="1">AVERAGE(OFFSET($AM$3,0,0,'Données projet'!$E$10+1,1))-AVERAGE(OFFSET($H$3,0,0,'Données projet'!$E$10+1,1))</f>
        <v>112.82287576550925</v>
      </c>
      <c r="AO94" s="59">
        <f t="shared" si="90"/>
        <v>317.78570695363294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14.739496508893183</v>
      </c>
      <c r="AV94" s="21">
        <f>EXP(-LN(2)/25)*AV93+(1-EXP(-LN(2)/25))/(LN(2)/25)*Calculateur!AQ94*Calculateur!AS94*VLOOKUP('Données projet'!$B$10,Paramètres!$A$1:$I$89,3,0)*0.475*44/12</f>
        <v>1.7926609991068145</v>
      </c>
      <c r="AW94" s="21">
        <f>EXP(-LN(2)/2)*AW93+(1-EXP(-LN(2)/2))/(LN(2)/2)*AQ94*AT94*VLOOKUP('Données projet'!$B$10,Paramètres!$A$1:$I$89,3,0)*0.475*44/12</f>
        <v>3.77248743784201E-10</v>
      </c>
      <c r="AX94" s="21">
        <f t="shared" si="60"/>
        <v>16.532157508377246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0</v>
      </c>
      <c r="BE94" s="13">
        <f>BD94*VLOOKUP('Données projet'!$B$11,Paramètres!$A$1:$I$89,3,0)*VLOOKUP('Données projet'!$B$11,Paramètres!$A$1:$I$89,5,0)</f>
        <v>0</v>
      </c>
      <c r="BF94" s="13" t="e">
        <f t="shared" si="91"/>
        <v>#NUM!</v>
      </c>
      <c r="BG94" s="20" t="e">
        <f t="shared" si="61"/>
        <v>#NUM!</v>
      </c>
      <c r="BH94" s="59" t="e">
        <f t="shared" si="62"/>
        <v>#NUM!</v>
      </c>
      <c r="BI94" s="59">
        <f ca="1">AVERAGE(OFFSET($BH$3,0,0,'Données projet'!$E$11+1,1))-AVERAGE(OFFSET($H$3,0,0,'Données projet'!$E$11+1,1))</f>
        <v>112.82287576550925</v>
      </c>
      <c r="BJ94" s="59">
        <f t="shared" si="92"/>
        <v>317.78570695363294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14.739496508893183</v>
      </c>
      <c r="BQ94" s="21">
        <f>EXP(-LN(2)/25)*BQ93+(1-EXP(-LN(2)/25))/(LN(2)/25)*Calculateur!BL94*Calculateur!BN94*VLOOKUP('Données projet'!$B$11,Paramètres!$A$1:$I$89,3,0)*0.475*44/12</f>
        <v>1.7926609991068145</v>
      </c>
      <c r="BR94" s="21">
        <f>EXP(-LN(2)/2)*BR93+(1-EXP(-LN(2)/2))/(LN(2)/2)*BL94*BO94*VLOOKUP('Données projet'!$B$11,Paramètres!$A$1:$I$89,3,0)*0.475*44/12</f>
        <v>3.77248743784201E-10</v>
      </c>
      <c r="BS94" s="22">
        <f t="shared" si="63"/>
        <v>16.532157508377246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>
        <f>BY94*VLOOKUP('Données projet'!$B$12,Paramètres!$A$1:$I$89,3,0)*VLOOKUP('Données projet'!$B$12,Paramètres!$A$1:$I$89,5,0)</f>
        <v>0</v>
      </c>
      <c r="CA94" s="13" t="e">
        <f t="shared" si="93"/>
        <v>#NUM!</v>
      </c>
      <c r="CB94" s="20" t="e">
        <f t="shared" si="64"/>
        <v>#NUM!</v>
      </c>
      <c r="CC94" s="59" t="e">
        <f t="shared" si="65"/>
        <v>#NUM!</v>
      </c>
      <c r="CD94" s="59">
        <f ca="1">AVERAGE(OFFSET($CC$3,0,0,'Données projet'!$E$12+1,1))-AVERAGE(OFFSET($H$3,0,0,'Données projet'!$E$12+1,1))</f>
        <v>112.82287576550925</v>
      </c>
      <c r="CE94" s="59">
        <f t="shared" si="94"/>
        <v>317.78570695363294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>
        <f>EXP(-LN(2)/35)*CK93+(1-EXP(-LN(2)/35))/(LN(2)/35)*CG94*CH94*VLOOKUP('Données projet'!$B$12,Paramètres!$A$1:$I$89,3,0)*0.475*44/12</f>
        <v>14.739496508893183</v>
      </c>
      <c r="CL94" s="21">
        <f>EXP(-LN(2)/25)*CL93+(1-EXP(-LN(2)/25))/(LN(2)/25)*Calculateur!CG94*Calculateur!CI94*VLOOKUP('Données projet'!$B$12,Paramètres!$A$1:$I$89,3,0)*0.475*44/12</f>
        <v>1.7926609991068145</v>
      </c>
      <c r="CM94" s="21">
        <f>EXP(-LN(2)/2)*CM93+(1-EXP(-LN(2)/2))/(LN(2)/2)*CG94*CJ94*VLOOKUP('Données projet'!$B$12,Paramètres!$A$1:$I$89,3,0)*0.475*44/12</f>
        <v>3.77248743784201E-10</v>
      </c>
      <c r="CN94" s="22">
        <f t="shared" si="66"/>
        <v>16.532157508377246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5">
      <c r="A95" s="10">
        <f t="shared" si="85"/>
        <v>92</v>
      </c>
      <c r="B95" s="73">
        <f>'Scénario référence'!$B$16*5+'Scénario référence'!$B$17*0+'Scénario référence'!$B$18*5</f>
        <v>5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1">
        <f t="shared" si="86"/>
        <v>0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5" s="11">
        <f>IF(OR('Scénario référence'!$F$8&gt;0,'Scénario référence'!$F$9&gt;0),('Scénario référence'!$F$8+'Scénario référence'!$F$9)*10,0)</f>
        <v>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18.333333333333332</v>
      </c>
      <c r="H95" s="67">
        <f t="shared" si="56"/>
        <v>183.33333333333334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0</v>
      </c>
      <c r="O95" s="13">
        <f>N95*VLOOKUP('Données projet'!$B$9,Paramètres!$A$1:$I$89,3,0)*VLOOKUP('Données projet'!$B$9,Paramètres!$A$1:$I$89,5,0)</f>
        <v>0</v>
      </c>
      <c r="P95" s="13" t="e">
        <f t="shared" si="87"/>
        <v>#NUM!</v>
      </c>
      <c r="Q95" s="20" t="e">
        <f t="shared" si="54"/>
        <v>#NUM!</v>
      </c>
      <c r="R95" s="59" t="e">
        <f t="shared" si="55"/>
        <v>#NUM!</v>
      </c>
      <c r="S95" s="59">
        <f ca="1">AVERAGE(OFFSET($R$3,0,0,'Données projet'!$E$9+1,1))-AVERAGE(OFFSET($H$3,0,0,'Données projet'!$E$9+1,1))</f>
        <v>112.82287576550925</v>
      </c>
      <c r="T95" s="59">
        <f t="shared" si="88"/>
        <v>317.78570695363294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14.450463972558948</v>
      </c>
      <c r="AA95" s="21">
        <f>EXP(-LN(2)/25)*AA94+(1-EXP(-LN(2)/25))/(LN(2)/25)*Calculateur!V95*Calculateur!X95*VLOOKUP('Données projet'!$B$9,Paramètres!$A$1:$I$89,3,0)*0.475*44/12</f>
        <v>1.7436405898142939</v>
      </c>
      <c r="AB95" s="21">
        <f>EXP(-LN(2)/2)*AB94+(1-EXP(-LN(2)/2))/(LN(2)/2)*V95*Y95*VLOOKUP('Données projet'!$B$9,Paramètres!$A$1:$I$89,3,0)*0.475*44/12</f>
        <v>2.6675514492391495E-10</v>
      </c>
      <c r="AC95" s="22">
        <f t="shared" si="57"/>
        <v>16.194104562639996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0</v>
      </c>
      <c r="AJ95" s="13">
        <f>AI95*VLOOKUP('Données projet'!$B$10,Paramètres!$A$1:$I$89,3,0)*VLOOKUP('Données projet'!$B$10,Paramètres!$A$1:$I$89,5,0)</f>
        <v>0</v>
      </c>
      <c r="AK95" s="13" t="e">
        <f t="shared" si="89"/>
        <v>#NUM!</v>
      </c>
      <c r="AL95" s="20" t="e">
        <f t="shared" si="58"/>
        <v>#NUM!</v>
      </c>
      <c r="AM95" s="59" t="e">
        <f t="shared" si="59"/>
        <v>#NUM!</v>
      </c>
      <c r="AN95" s="59">
        <f ca="1">AVERAGE(OFFSET($AM$3,0,0,'Données projet'!$E$10+1,1))-AVERAGE(OFFSET($H$3,0,0,'Données projet'!$E$10+1,1))</f>
        <v>112.82287576550925</v>
      </c>
      <c r="AO95" s="59">
        <f t="shared" si="90"/>
        <v>317.78570695363294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14.450463972558948</v>
      </c>
      <c r="AV95" s="21">
        <f>EXP(-LN(2)/25)*AV94+(1-EXP(-LN(2)/25))/(LN(2)/25)*Calculateur!AQ95*Calculateur!AS95*VLOOKUP('Données projet'!$B$10,Paramètres!$A$1:$I$89,3,0)*0.475*44/12</f>
        <v>1.7436405898142939</v>
      </c>
      <c r="AW95" s="21">
        <f>EXP(-LN(2)/2)*AW94+(1-EXP(-LN(2)/2))/(LN(2)/2)*AQ95*AT95*VLOOKUP('Données projet'!$B$10,Paramètres!$A$1:$I$89,3,0)*0.475*44/12</f>
        <v>2.6675514492391495E-10</v>
      </c>
      <c r="AX95" s="21">
        <f t="shared" si="60"/>
        <v>16.194104562639996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0</v>
      </c>
      <c r="BE95" s="13">
        <f>BD95*VLOOKUP('Données projet'!$B$11,Paramètres!$A$1:$I$89,3,0)*VLOOKUP('Données projet'!$B$11,Paramètres!$A$1:$I$89,5,0)</f>
        <v>0</v>
      </c>
      <c r="BF95" s="13" t="e">
        <f t="shared" si="91"/>
        <v>#NUM!</v>
      </c>
      <c r="BG95" s="20" t="e">
        <f t="shared" si="61"/>
        <v>#NUM!</v>
      </c>
      <c r="BH95" s="59" t="e">
        <f t="shared" si="62"/>
        <v>#NUM!</v>
      </c>
      <c r="BI95" s="59">
        <f ca="1">AVERAGE(OFFSET($BH$3,0,0,'Données projet'!$E$11+1,1))-AVERAGE(OFFSET($H$3,0,0,'Données projet'!$E$11+1,1))</f>
        <v>112.82287576550925</v>
      </c>
      <c r="BJ95" s="59">
        <f t="shared" si="92"/>
        <v>317.78570695363294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14.450463972558948</v>
      </c>
      <c r="BQ95" s="21">
        <f>EXP(-LN(2)/25)*BQ94+(1-EXP(-LN(2)/25))/(LN(2)/25)*Calculateur!BL95*Calculateur!BN95*VLOOKUP('Données projet'!$B$11,Paramètres!$A$1:$I$89,3,0)*0.475*44/12</f>
        <v>1.7436405898142939</v>
      </c>
      <c r="BR95" s="21">
        <f>EXP(-LN(2)/2)*BR94+(1-EXP(-LN(2)/2))/(LN(2)/2)*BL95*BO95*VLOOKUP('Données projet'!$B$11,Paramètres!$A$1:$I$89,3,0)*0.475*44/12</f>
        <v>2.6675514492391495E-10</v>
      </c>
      <c r="BS95" s="22">
        <f t="shared" si="63"/>
        <v>16.194104562639996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>
        <f>BY95*VLOOKUP('Données projet'!$B$12,Paramètres!$A$1:$I$89,3,0)*VLOOKUP('Données projet'!$B$12,Paramètres!$A$1:$I$89,5,0)</f>
        <v>0</v>
      </c>
      <c r="CA95" s="13" t="e">
        <f t="shared" si="93"/>
        <v>#NUM!</v>
      </c>
      <c r="CB95" s="20" t="e">
        <f t="shared" si="64"/>
        <v>#NUM!</v>
      </c>
      <c r="CC95" s="59" t="e">
        <f t="shared" si="65"/>
        <v>#NUM!</v>
      </c>
      <c r="CD95" s="59">
        <f ca="1">AVERAGE(OFFSET($CC$3,0,0,'Données projet'!$E$12+1,1))-AVERAGE(OFFSET($H$3,0,0,'Données projet'!$E$12+1,1))</f>
        <v>112.82287576550925</v>
      </c>
      <c r="CE95" s="59">
        <f t="shared" si="94"/>
        <v>317.78570695363294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>
        <f>EXP(-LN(2)/35)*CK94+(1-EXP(-LN(2)/35))/(LN(2)/35)*CG95*CH95*VLOOKUP('Données projet'!$B$12,Paramètres!$A$1:$I$89,3,0)*0.475*44/12</f>
        <v>14.450463972558948</v>
      </c>
      <c r="CL95" s="21">
        <f>EXP(-LN(2)/25)*CL94+(1-EXP(-LN(2)/25))/(LN(2)/25)*Calculateur!CG95*Calculateur!CI95*VLOOKUP('Données projet'!$B$12,Paramètres!$A$1:$I$89,3,0)*0.475*44/12</f>
        <v>1.7436405898142939</v>
      </c>
      <c r="CM95" s="21">
        <f>EXP(-LN(2)/2)*CM94+(1-EXP(-LN(2)/2))/(LN(2)/2)*CG95*CJ95*VLOOKUP('Données projet'!$B$12,Paramètres!$A$1:$I$89,3,0)*0.475*44/12</f>
        <v>2.6675514492391495E-10</v>
      </c>
      <c r="CN95" s="22">
        <f t="shared" si="66"/>
        <v>16.194104562639996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5">
      <c r="A96" s="10">
        <f t="shared" si="85"/>
        <v>93</v>
      </c>
      <c r="B96" s="73">
        <f>'Scénario référence'!$B$16*5+'Scénario référence'!$B$17*0+'Scénario référence'!$B$18*5</f>
        <v>5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1">
        <f t="shared" si="86"/>
        <v>0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6" s="11">
        <f>IF(OR('Scénario référence'!$F$8&gt;0,'Scénario référence'!$F$9&gt;0),('Scénario référence'!$F$8+'Scénario référence'!$F$9)*10,0)</f>
        <v>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18.333333333333332</v>
      </c>
      <c r="H96" s="67">
        <f t="shared" si="56"/>
        <v>183.33333333333334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0</v>
      </c>
      <c r="O96" s="13">
        <f>N96*VLOOKUP('Données projet'!$B$9,Paramètres!$A$1:$I$89,3,0)*VLOOKUP('Données projet'!$B$9,Paramètres!$A$1:$I$89,5,0)</f>
        <v>0</v>
      </c>
      <c r="P96" s="13" t="e">
        <f t="shared" si="87"/>
        <v>#NUM!</v>
      </c>
      <c r="Q96" s="20" t="e">
        <f t="shared" si="54"/>
        <v>#NUM!</v>
      </c>
      <c r="R96" s="59" t="e">
        <f t="shared" si="55"/>
        <v>#NUM!</v>
      </c>
      <c r="S96" s="59">
        <f ca="1">AVERAGE(OFFSET($R$3,0,0,'Données projet'!$E$9+1,1))-AVERAGE(OFFSET($H$3,0,0,'Données projet'!$E$9+1,1))</f>
        <v>112.82287576550925</v>
      </c>
      <c r="T96" s="59">
        <f t="shared" si="88"/>
        <v>317.78570695363294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14.167099187969789</v>
      </c>
      <c r="AA96" s="21">
        <f>EXP(-LN(2)/25)*AA95+(1-EXP(-LN(2)/25))/(LN(2)/25)*Calculateur!V96*Calculateur!X96*VLOOKUP('Données projet'!$B$9,Paramètres!$A$1:$I$89,3,0)*0.475*44/12</f>
        <v>1.6959606461917487</v>
      </c>
      <c r="AB96" s="21">
        <f>EXP(-LN(2)/2)*AB95+(1-EXP(-LN(2)/2))/(LN(2)/2)*V96*Y96*VLOOKUP('Données projet'!$B$9,Paramètres!$A$1:$I$89,3,0)*0.475*44/12</f>
        <v>1.886243718921005E-10</v>
      </c>
      <c r="AC96" s="22">
        <f t="shared" si="57"/>
        <v>15.863059834350162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0</v>
      </c>
      <c r="AJ96" s="13">
        <f>AI96*VLOOKUP('Données projet'!$B$10,Paramètres!$A$1:$I$89,3,0)*VLOOKUP('Données projet'!$B$10,Paramètres!$A$1:$I$89,5,0)</f>
        <v>0</v>
      </c>
      <c r="AK96" s="13" t="e">
        <f t="shared" si="89"/>
        <v>#NUM!</v>
      </c>
      <c r="AL96" s="20" t="e">
        <f t="shared" si="58"/>
        <v>#NUM!</v>
      </c>
      <c r="AM96" s="59" t="e">
        <f t="shared" si="59"/>
        <v>#NUM!</v>
      </c>
      <c r="AN96" s="59">
        <f ca="1">AVERAGE(OFFSET($AM$3,0,0,'Données projet'!$E$10+1,1))-AVERAGE(OFFSET($H$3,0,0,'Données projet'!$E$10+1,1))</f>
        <v>112.82287576550925</v>
      </c>
      <c r="AO96" s="59">
        <f t="shared" si="90"/>
        <v>317.78570695363294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14.167099187969789</v>
      </c>
      <c r="AV96" s="21">
        <f>EXP(-LN(2)/25)*AV95+(1-EXP(-LN(2)/25))/(LN(2)/25)*Calculateur!AQ96*Calculateur!AS96*VLOOKUP('Données projet'!$B$10,Paramètres!$A$1:$I$89,3,0)*0.475*44/12</f>
        <v>1.6959606461917487</v>
      </c>
      <c r="AW96" s="21">
        <f>EXP(-LN(2)/2)*AW95+(1-EXP(-LN(2)/2))/(LN(2)/2)*AQ96*AT96*VLOOKUP('Données projet'!$B$10,Paramètres!$A$1:$I$89,3,0)*0.475*44/12</f>
        <v>1.886243718921005E-10</v>
      </c>
      <c r="AX96" s="21">
        <f t="shared" si="60"/>
        <v>15.863059834350162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0</v>
      </c>
      <c r="BE96" s="13">
        <f>BD96*VLOOKUP('Données projet'!$B$11,Paramètres!$A$1:$I$89,3,0)*VLOOKUP('Données projet'!$B$11,Paramètres!$A$1:$I$89,5,0)</f>
        <v>0</v>
      </c>
      <c r="BF96" s="13" t="e">
        <f t="shared" si="91"/>
        <v>#NUM!</v>
      </c>
      <c r="BG96" s="20" t="e">
        <f t="shared" si="61"/>
        <v>#NUM!</v>
      </c>
      <c r="BH96" s="59" t="e">
        <f t="shared" si="62"/>
        <v>#NUM!</v>
      </c>
      <c r="BI96" s="59">
        <f ca="1">AVERAGE(OFFSET($BH$3,0,0,'Données projet'!$E$11+1,1))-AVERAGE(OFFSET($H$3,0,0,'Données projet'!$E$11+1,1))</f>
        <v>112.82287576550925</v>
      </c>
      <c r="BJ96" s="59">
        <f t="shared" si="92"/>
        <v>317.78570695363294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14.167099187969789</v>
      </c>
      <c r="BQ96" s="21">
        <f>EXP(-LN(2)/25)*BQ95+(1-EXP(-LN(2)/25))/(LN(2)/25)*Calculateur!BL96*Calculateur!BN96*VLOOKUP('Données projet'!$B$11,Paramètres!$A$1:$I$89,3,0)*0.475*44/12</f>
        <v>1.6959606461917487</v>
      </c>
      <c r="BR96" s="21">
        <f>EXP(-LN(2)/2)*BR95+(1-EXP(-LN(2)/2))/(LN(2)/2)*BL96*BO96*VLOOKUP('Données projet'!$B$11,Paramètres!$A$1:$I$89,3,0)*0.475*44/12</f>
        <v>1.886243718921005E-10</v>
      </c>
      <c r="BS96" s="22">
        <f t="shared" si="63"/>
        <v>15.863059834350162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>
        <f>BY96*VLOOKUP('Données projet'!$B$12,Paramètres!$A$1:$I$89,3,0)*VLOOKUP('Données projet'!$B$12,Paramètres!$A$1:$I$89,5,0)</f>
        <v>0</v>
      </c>
      <c r="CA96" s="13" t="e">
        <f t="shared" si="93"/>
        <v>#NUM!</v>
      </c>
      <c r="CB96" s="20" t="e">
        <f t="shared" si="64"/>
        <v>#NUM!</v>
      </c>
      <c r="CC96" s="59" t="e">
        <f t="shared" si="65"/>
        <v>#NUM!</v>
      </c>
      <c r="CD96" s="59">
        <f ca="1">AVERAGE(OFFSET($CC$3,0,0,'Données projet'!$E$12+1,1))-AVERAGE(OFFSET($H$3,0,0,'Données projet'!$E$12+1,1))</f>
        <v>112.82287576550925</v>
      </c>
      <c r="CE96" s="59">
        <f t="shared" si="94"/>
        <v>317.78570695363294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>
        <f>EXP(-LN(2)/35)*CK95+(1-EXP(-LN(2)/35))/(LN(2)/35)*CG96*CH96*VLOOKUP('Données projet'!$B$12,Paramètres!$A$1:$I$89,3,0)*0.475*44/12</f>
        <v>14.167099187969789</v>
      </c>
      <c r="CL96" s="21">
        <f>EXP(-LN(2)/25)*CL95+(1-EXP(-LN(2)/25))/(LN(2)/25)*Calculateur!CG96*Calculateur!CI96*VLOOKUP('Données projet'!$B$12,Paramètres!$A$1:$I$89,3,0)*0.475*44/12</f>
        <v>1.6959606461917487</v>
      </c>
      <c r="CM96" s="21">
        <f>EXP(-LN(2)/2)*CM95+(1-EXP(-LN(2)/2))/(LN(2)/2)*CG96*CJ96*VLOOKUP('Données projet'!$B$12,Paramètres!$A$1:$I$89,3,0)*0.475*44/12</f>
        <v>1.886243718921005E-10</v>
      </c>
      <c r="CN96" s="22">
        <f t="shared" si="66"/>
        <v>15.863059834350162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5">
      <c r="A97" s="10">
        <f t="shared" si="85"/>
        <v>94</v>
      </c>
      <c r="B97" s="73">
        <f>'Scénario référence'!$B$16*5+'Scénario référence'!$B$17*0+'Scénario référence'!$B$18*5</f>
        <v>5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1">
        <f t="shared" si="86"/>
        <v>0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7" s="11">
        <f>IF(OR('Scénario référence'!$F$8&gt;0,'Scénario référence'!$F$9&gt;0),('Scénario référence'!$F$8+'Scénario référence'!$F$9)*10,0)</f>
        <v>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18.333333333333332</v>
      </c>
      <c r="H97" s="67">
        <f t="shared" si="56"/>
        <v>183.33333333333334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0</v>
      </c>
      <c r="O97" s="13">
        <f>N97*VLOOKUP('Données projet'!$B$9,Paramètres!$A$1:$I$89,3,0)*VLOOKUP('Données projet'!$B$9,Paramètres!$A$1:$I$89,5,0)</f>
        <v>0</v>
      </c>
      <c r="P97" s="13" t="e">
        <f t="shared" si="87"/>
        <v>#NUM!</v>
      </c>
      <c r="Q97" s="20" t="e">
        <f t="shared" si="54"/>
        <v>#NUM!</v>
      </c>
      <c r="R97" s="59" t="e">
        <f t="shared" si="55"/>
        <v>#NUM!</v>
      </c>
      <c r="S97" s="59">
        <f ca="1">AVERAGE(OFFSET($R$3,0,0,'Données projet'!$E$9+1,1))-AVERAGE(OFFSET($H$3,0,0,'Données projet'!$E$9+1,1))</f>
        <v>112.82287576550925</v>
      </c>
      <c r="T97" s="59">
        <f t="shared" si="88"/>
        <v>317.78570695363294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13.88929101397097</v>
      </c>
      <c r="AA97" s="21">
        <f>EXP(-LN(2)/25)*AA96+(1-EXP(-LN(2)/25))/(LN(2)/25)*Calculateur!V97*Calculateur!X97*VLOOKUP('Données projet'!$B$9,Paramètres!$A$1:$I$89,3,0)*0.475*44/12</f>
        <v>1.6495845131349411</v>
      </c>
      <c r="AB97" s="21">
        <f>EXP(-LN(2)/2)*AB96+(1-EXP(-LN(2)/2))/(LN(2)/2)*V97*Y97*VLOOKUP('Données projet'!$B$9,Paramètres!$A$1:$I$89,3,0)*0.475*44/12</f>
        <v>1.3337757246195747E-10</v>
      </c>
      <c r="AC97" s="22">
        <f t="shared" si="57"/>
        <v>15.53887552723929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0</v>
      </c>
      <c r="AJ97" s="13">
        <f>AI97*VLOOKUP('Données projet'!$B$10,Paramètres!$A$1:$I$89,3,0)*VLOOKUP('Données projet'!$B$10,Paramètres!$A$1:$I$89,5,0)</f>
        <v>0</v>
      </c>
      <c r="AK97" s="13" t="e">
        <f t="shared" si="89"/>
        <v>#NUM!</v>
      </c>
      <c r="AL97" s="20" t="e">
        <f t="shared" si="58"/>
        <v>#NUM!</v>
      </c>
      <c r="AM97" s="59" t="e">
        <f t="shared" si="59"/>
        <v>#NUM!</v>
      </c>
      <c r="AN97" s="59">
        <f ca="1">AVERAGE(OFFSET($AM$3,0,0,'Données projet'!$E$10+1,1))-AVERAGE(OFFSET($H$3,0,0,'Données projet'!$E$10+1,1))</f>
        <v>112.82287576550925</v>
      </c>
      <c r="AO97" s="59">
        <f t="shared" si="90"/>
        <v>317.78570695363294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13.88929101397097</v>
      </c>
      <c r="AV97" s="21">
        <f>EXP(-LN(2)/25)*AV96+(1-EXP(-LN(2)/25))/(LN(2)/25)*Calculateur!AQ97*Calculateur!AS97*VLOOKUP('Données projet'!$B$10,Paramètres!$A$1:$I$89,3,0)*0.475*44/12</f>
        <v>1.6495845131349411</v>
      </c>
      <c r="AW97" s="21">
        <f>EXP(-LN(2)/2)*AW96+(1-EXP(-LN(2)/2))/(LN(2)/2)*AQ97*AT97*VLOOKUP('Données projet'!$B$10,Paramètres!$A$1:$I$89,3,0)*0.475*44/12</f>
        <v>1.3337757246195747E-10</v>
      </c>
      <c r="AX97" s="21">
        <f t="shared" si="60"/>
        <v>15.53887552723929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0</v>
      </c>
      <c r="BE97" s="13">
        <f>BD97*VLOOKUP('Données projet'!$B$11,Paramètres!$A$1:$I$89,3,0)*VLOOKUP('Données projet'!$B$11,Paramètres!$A$1:$I$89,5,0)</f>
        <v>0</v>
      </c>
      <c r="BF97" s="13" t="e">
        <f t="shared" si="91"/>
        <v>#NUM!</v>
      </c>
      <c r="BG97" s="20" t="e">
        <f t="shared" si="61"/>
        <v>#NUM!</v>
      </c>
      <c r="BH97" s="59" t="e">
        <f t="shared" si="62"/>
        <v>#NUM!</v>
      </c>
      <c r="BI97" s="59">
        <f ca="1">AVERAGE(OFFSET($BH$3,0,0,'Données projet'!$E$11+1,1))-AVERAGE(OFFSET($H$3,0,0,'Données projet'!$E$11+1,1))</f>
        <v>112.82287576550925</v>
      </c>
      <c r="BJ97" s="59">
        <f t="shared" si="92"/>
        <v>317.78570695363294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13.88929101397097</v>
      </c>
      <c r="BQ97" s="21">
        <f>EXP(-LN(2)/25)*BQ96+(1-EXP(-LN(2)/25))/(LN(2)/25)*Calculateur!BL97*Calculateur!BN97*VLOOKUP('Données projet'!$B$11,Paramètres!$A$1:$I$89,3,0)*0.475*44/12</f>
        <v>1.6495845131349411</v>
      </c>
      <c r="BR97" s="21">
        <f>EXP(-LN(2)/2)*BR96+(1-EXP(-LN(2)/2))/(LN(2)/2)*BL97*BO97*VLOOKUP('Données projet'!$B$11,Paramètres!$A$1:$I$89,3,0)*0.475*44/12</f>
        <v>1.3337757246195747E-10</v>
      </c>
      <c r="BS97" s="22">
        <f t="shared" si="63"/>
        <v>15.53887552723929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>
        <f>BY97*VLOOKUP('Données projet'!$B$12,Paramètres!$A$1:$I$89,3,0)*VLOOKUP('Données projet'!$B$12,Paramètres!$A$1:$I$89,5,0)</f>
        <v>0</v>
      </c>
      <c r="CA97" s="13" t="e">
        <f t="shared" si="93"/>
        <v>#NUM!</v>
      </c>
      <c r="CB97" s="20" t="e">
        <f t="shared" si="64"/>
        <v>#NUM!</v>
      </c>
      <c r="CC97" s="59" t="e">
        <f t="shared" si="65"/>
        <v>#NUM!</v>
      </c>
      <c r="CD97" s="59">
        <f ca="1">AVERAGE(OFFSET($CC$3,0,0,'Données projet'!$E$12+1,1))-AVERAGE(OFFSET($H$3,0,0,'Données projet'!$E$12+1,1))</f>
        <v>112.82287576550925</v>
      </c>
      <c r="CE97" s="59">
        <f t="shared" si="94"/>
        <v>317.78570695363294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>
        <f>EXP(-LN(2)/35)*CK96+(1-EXP(-LN(2)/35))/(LN(2)/35)*CG97*CH97*VLOOKUP('Données projet'!$B$12,Paramètres!$A$1:$I$89,3,0)*0.475*44/12</f>
        <v>13.88929101397097</v>
      </c>
      <c r="CL97" s="21">
        <f>EXP(-LN(2)/25)*CL96+(1-EXP(-LN(2)/25))/(LN(2)/25)*Calculateur!CG97*Calculateur!CI97*VLOOKUP('Données projet'!$B$12,Paramètres!$A$1:$I$89,3,0)*0.475*44/12</f>
        <v>1.6495845131349411</v>
      </c>
      <c r="CM97" s="21">
        <f>EXP(-LN(2)/2)*CM96+(1-EXP(-LN(2)/2))/(LN(2)/2)*CG97*CJ97*VLOOKUP('Données projet'!$B$12,Paramètres!$A$1:$I$89,3,0)*0.475*44/12</f>
        <v>1.3337757246195747E-10</v>
      </c>
      <c r="CN97" s="22">
        <f t="shared" si="66"/>
        <v>15.53887552723929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5">
      <c r="A98" s="10">
        <f t="shared" si="85"/>
        <v>95</v>
      </c>
      <c r="B98" s="73">
        <f>'Scénario référence'!$B$16*5+'Scénario référence'!$B$17*0+'Scénario référence'!$B$18*5</f>
        <v>5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1">
        <f t="shared" si="86"/>
        <v>0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8" s="11">
        <f>IF(OR('Scénario référence'!$F$8&gt;0,'Scénario référence'!$F$9&gt;0),('Scénario référence'!$F$8+'Scénario référence'!$F$9)*10,0)</f>
        <v>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18.333333333333332</v>
      </c>
      <c r="H98" s="67">
        <f t="shared" si="56"/>
        <v>183.33333333333334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0</v>
      </c>
      <c r="O98" s="13">
        <f>N98*VLOOKUP('Données projet'!$B$9,Paramètres!$A$1:$I$89,3,0)*VLOOKUP('Données projet'!$B$9,Paramètres!$A$1:$I$89,5,0)</f>
        <v>0</v>
      </c>
      <c r="P98" s="13" t="e">
        <f t="shared" si="87"/>
        <v>#NUM!</v>
      </c>
      <c r="Q98" s="20" t="e">
        <f t="shared" si="54"/>
        <v>#NUM!</v>
      </c>
      <c r="R98" s="59" t="e">
        <f t="shared" si="55"/>
        <v>#NUM!</v>
      </c>
      <c r="S98" s="59">
        <f ca="1">AVERAGE(OFFSET($R$3,0,0,'Données projet'!$E$9+1,1))-AVERAGE(OFFSET($H$3,0,0,'Données projet'!$E$9+1,1))</f>
        <v>112.82287576550925</v>
      </c>
      <c r="T98" s="59">
        <f t="shared" si="88"/>
        <v>317.78570695363294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13.616930488818014</v>
      </c>
      <c r="AA98" s="21">
        <f>EXP(-LN(2)/25)*AA97+(1-EXP(-LN(2)/25))/(LN(2)/25)*Calculateur!V98*Calculateur!X98*VLOOKUP('Données projet'!$B$9,Paramètres!$A$1:$I$89,3,0)*0.475*44/12</f>
        <v>1.6044765378753869</v>
      </c>
      <c r="AB98" s="21">
        <f>EXP(-LN(2)/2)*AB97+(1-EXP(-LN(2)/2))/(LN(2)/2)*V98*Y98*VLOOKUP('Données projet'!$B$9,Paramètres!$A$1:$I$89,3,0)*0.475*44/12</f>
        <v>9.431218594605025E-11</v>
      </c>
      <c r="AC98" s="22">
        <f t="shared" si="57"/>
        <v>15.221407026787713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0</v>
      </c>
      <c r="AJ98" s="13">
        <f>AI98*VLOOKUP('Données projet'!$B$10,Paramètres!$A$1:$I$89,3,0)*VLOOKUP('Données projet'!$B$10,Paramètres!$A$1:$I$89,5,0)</f>
        <v>0</v>
      </c>
      <c r="AK98" s="13" t="e">
        <f t="shared" si="89"/>
        <v>#NUM!</v>
      </c>
      <c r="AL98" s="20" t="e">
        <f t="shared" si="58"/>
        <v>#NUM!</v>
      </c>
      <c r="AM98" s="59" t="e">
        <f t="shared" si="59"/>
        <v>#NUM!</v>
      </c>
      <c r="AN98" s="59">
        <f ca="1">AVERAGE(OFFSET($AM$3,0,0,'Données projet'!$E$10+1,1))-AVERAGE(OFFSET($H$3,0,0,'Données projet'!$E$10+1,1))</f>
        <v>112.82287576550925</v>
      </c>
      <c r="AO98" s="59">
        <f t="shared" si="90"/>
        <v>317.78570695363294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13.616930488818014</v>
      </c>
      <c r="AV98" s="21">
        <f>EXP(-LN(2)/25)*AV97+(1-EXP(-LN(2)/25))/(LN(2)/25)*Calculateur!AQ98*Calculateur!AS98*VLOOKUP('Données projet'!$B$10,Paramètres!$A$1:$I$89,3,0)*0.475*44/12</f>
        <v>1.6044765378753869</v>
      </c>
      <c r="AW98" s="21">
        <f>EXP(-LN(2)/2)*AW97+(1-EXP(-LN(2)/2))/(LN(2)/2)*AQ98*AT98*VLOOKUP('Données projet'!$B$10,Paramètres!$A$1:$I$89,3,0)*0.475*44/12</f>
        <v>9.431218594605025E-11</v>
      </c>
      <c r="AX98" s="21">
        <f t="shared" si="60"/>
        <v>15.221407026787713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0</v>
      </c>
      <c r="BE98" s="13">
        <f>BD98*VLOOKUP('Données projet'!$B$11,Paramètres!$A$1:$I$89,3,0)*VLOOKUP('Données projet'!$B$11,Paramètres!$A$1:$I$89,5,0)</f>
        <v>0</v>
      </c>
      <c r="BF98" s="13" t="e">
        <f t="shared" si="91"/>
        <v>#NUM!</v>
      </c>
      <c r="BG98" s="20" t="e">
        <f t="shared" si="61"/>
        <v>#NUM!</v>
      </c>
      <c r="BH98" s="59" t="e">
        <f t="shared" si="62"/>
        <v>#NUM!</v>
      </c>
      <c r="BI98" s="59">
        <f ca="1">AVERAGE(OFFSET($BH$3,0,0,'Données projet'!$E$11+1,1))-AVERAGE(OFFSET($H$3,0,0,'Données projet'!$E$11+1,1))</f>
        <v>112.82287576550925</v>
      </c>
      <c r="BJ98" s="59">
        <f t="shared" si="92"/>
        <v>317.78570695363294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13.616930488818014</v>
      </c>
      <c r="BQ98" s="21">
        <f>EXP(-LN(2)/25)*BQ97+(1-EXP(-LN(2)/25))/(LN(2)/25)*Calculateur!BL98*Calculateur!BN98*VLOOKUP('Données projet'!$B$11,Paramètres!$A$1:$I$89,3,0)*0.475*44/12</f>
        <v>1.6044765378753869</v>
      </c>
      <c r="BR98" s="21">
        <f>EXP(-LN(2)/2)*BR97+(1-EXP(-LN(2)/2))/(LN(2)/2)*BL98*BO98*VLOOKUP('Données projet'!$B$11,Paramètres!$A$1:$I$89,3,0)*0.475*44/12</f>
        <v>9.431218594605025E-11</v>
      </c>
      <c r="BS98" s="22">
        <f t="shared" si="63"/>
        <v>15.221407026787713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>
        <f>BY98*VLOOKUP('Données projet'!$B$12,Paramètres!$A$1:$I$89,3,0)*VLOOKUP('Données projet'!$B$12,Paramètres!$A$1:$I$89,5,0)</f>
        <v>0</v>
      </c>
      <c r="CA98" s="13" t="e">
        <f t="shared" si="93"/>
        <v>#NUM!</v>
      </c>
      <c r="CB98" s="20" t="e">
        <f t="shared" si="64"/>
        <v>#NUM!</v>
      </c>
      <c r="CC98" s="59" t="e">
        <f t="shared" si="65"/>
        <v>#NUM!</v>
      </c>
      <c r="CD98" s="59">
        <f ca="1">AVERAGE(OFFSET($CC$3,0,0,'Données projet'!$E$12+1,1))-AVERAGE(OFFSET($H$3,0,0,'Données projet'!$E$12+1,1))</f>
        <v>112.82287576550925</v>
      </c>
      <c r="CE98" s="59">
        <f t="shared" si="94"/>
        <v>317.78570695363294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>
        <f>EXP(-LN(2)/35)*CK97+(1-EXP(-LN(2)/35))/(LN(2)/35)*CG98*CH98*VLOOKUP('Données projet'!$B$12,Paramètres!$A$1:$I$89,3,0)*0.475*44/12</f>
        <v>13.616930488818014</v>
      </c>
      <c r="CL98" s="21">
        <f>EXP(-LN(2)/25)*CL97+(1-EXP(-LN(2)/25))/(LN(2)/25)*Calculateur!CG98*Calculateur!CI98*VLOOKUP('Données projet'!$B$12,Paramètres!$A$1:$I$89,3,0)*0.475*44/12</f>
        <v>1.6044765378753869</v>
      </c>
      <c r="CM98" s="21">
        <f>EXP(-LN(2)/2)*CM97+(1-EXP(-LN(2)/2))/(LN(2)/2)*CG98*CJ98*VLOOKUP('Données projet'!$B$12,Paramètres!$A$1:$I$89,3,0)*0.475*44/12</f>
        <v>9.431218594605025E-11</v>
      </c>
      <c r="CN98" s="22">
        <f t="shared" si="66"/>
        <v>15.221407026787713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5">
      <c r="A99" s="10">
        <f t="shared" si="85"/>
        <v>96</v>
      </c>
      <c r="B99" s="73">
        <f>'Scénario référence'!$B$16*5+'Scénario référence'!$B$17*0+'Scénario référence'!$B$18*5</f>
        <v>5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1">
        <f t="shared" si="86"/>
        <v>0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99" s="11">
        <f>IF(OR('Scénario référence'!$F$8&gt;0,'Scénario référence'!$F$9&gt;0),('Scénario référence'!$F$8+'Scénario référence'!$F$9)*10,0)</f>
        <v>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18.333333333333332</v>
      </c>
      <c r="H99" s="67">
        <f t="shared" si="56"/>
        <v>183.33333333333334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0</v>
      </c>
      <c r="O99" s="13">
        <f>N99*VLOOKUP('Données projet'!$B$9,Paramètres!$A$1:$I$89,3,0)*VLOOKUP('Données projet'!$B$9,Paramètres!$A$1:$I$89,5,0)</f>
        <v>0</v>
      </c>
      <c r="P99" s="13" t="e">
        <f t="shared" si="87"/>
        <v>#NUM!</v>
      </c>
      <c r="Q99" s="20" t="e">
        <f t="shared" ref="Q99:Q130" si="107">(O99+P99)*0.475*44/12</f>
        <v>#NUM!</v>
      </c>
      <c r="R99" s="59" t="e">
        <f t="shared" si="55"/>
        <v>#NUM!</v>
      </c>
      <c r="S99" s="59">
        <f ca="1">AVERAGE(OFFSET($R$3,0,0,'Données projet'!$E$9+1,1))-AVERAGE(OFFSET($H$3,0,0,'Données projet'!$E$9+1,1))</f>
        <v>112.82287576550925</v>
      </c>
      <c r="T99" s="59">
        <f t="shared" si="88"/>
        <v>317.78570695363294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13.349910787439789</v>
      </c>
      <c r="AA99" s="21">
        <f>EXP(-LN(2)/25)*AA98+(1-EXP(-LN(2)/25))/(LN(2)/25)*Calculateur!V99*Calculateur!X99*VLOOKUP('Données projet'!$B$9,Paramètres!$A$1:$I$89,3,0)*0.475*44/12</f>
        <v>1.5606020425714304</v>
      </c>
      <c r="AB99" s="21">
        <f>EXP(-LN(2)/2)*AB98+(1-EXP(-LN(2)/2))/(LN(2)/2)*V99*Y99*VLOOKUP('Données projet'!$B$9,Paramètres!$A$1:$I$89,3,0)*0.475*44/12</f>
        <v>6.6688786230978736E-11</v>
      </c>
      <c r="AC99" s="22">
        <f t="shared" si="57"/>
        <v>14.910512830077908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0</v>
      </c>
      <c r="AJ99" s="13">
        <f>AI99*VLOOKUP('Données projet'!$B$10,Paramètres!$A$1:$I$89,3,0)*VLOOKUP('Données projet'!$B$10,Paramètres!$A$1:$I$89,5,0)</f>
        <v>0</v>
      </c>
      <c r="AK99" s="13" t="e">
        <f t="shared" si="89"/>
        <v>#NUM!</v>
      </c>
      <c r="AL99" s="20" t="e">
        <f t="shared" si="58"/>
        <v>#NUM!</v>
      </c>
      <c r="AM99" s="59" t="e">
        <f t="shared" si="59"/>
        <v>#NUM!</v>
      </c>
      <c r="AN99" s="59">
        <f ca="1">AVERAGE(OFFSET($AM$3,0,0,'Données projet'!$E$10+1,1))-AVERAGE(OFFSET($H$3,0,0,'Données projet'!$E$10+1,1))</f>
        <v>112.82287576550925</v>
      </c>
      <c r="AO99" s="59">
        <f t="shared" si="90"/>
        <v>317.78570695363294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13.349910787439789</v>
      </c>
      <c r="AV99" s="21">
        <f>EXP(-LN(2)/25)*AV98+(1-EXP(-LN(2)/25))/(LN(2)/25)*Calculateur!AQ99*Calculateur!AS99*VLOOKUP('Données projet'!$B$10,Paramètres!$A$1:$I$89,3,0)*0.475*44/12</f>
        <v>1.5606020425714304</v>
      </c>
      <c r="AW99" s="21">
        <f>EXP(-LN(2)/2)*AW98+(1-EXP(-LN(2)/2))/(LN(2)/2)*AQ99*AT99*VLOOKUP('Données projet'!$B$10,Paramètres!$A$1:$I$89,3,0)*0.475*44/12</f>
        <v>6.6688786230978736E-11</v>
      </c>
      <c r="AX99" s="21">
        <f t="shared" si="60"/>
        <v>14.910512830077908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0</v>
      </c>
      <c r="BE99" s="13">
        <f>BD99*VLOOKUP('Données projet'!$B$11,Paramètres!$A$1:$I$89,3,0)*VLOOKUP('Données projet'!$B$11,Paramètres!$A$1:$I$89,5,0)</f>
        <v>0</v>
      </c>
      <c r="BF99" s="13" t="e">
        <f t="shared" si="91"/>
        <v>#NUM!</v>
      </c>
      <c r="BG99" s="20" t="e">
        <f t="shared" si="61"/>
        <v>#NUM!</v>
      </c>
      <c r="BH99" s="59" t="e">
        <f t="shared" si="62"/>
        <v>#NUM!</v>
      </c>
      <c r="BI99" s="59">
        <f ca="1">AVERAGE(OFFSET($BH$3,0,0,'Données projet'!$E$11+1,1))-AVERAGE(OFFSET($H$3,0,0,'Données projet'!$E$11+1,1))</f>
        <v>112.82287576550925</v>
      </c>
      <c r="BJ99" s="59">
        <f t="shared" si="92"/>
        <v>317.78570695363294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13.349910787439789</v>
      </c>
      <c r="BQ99" s="21">
        <f>EXP(-LN(2)/25)*BQ98+(1-EXP(-LN(2)/25))/(LN(2)/25)*Calculateur!BL99*Calculateur!BN99*VLOOKUP('Données projet'!$B$11,Paramètres!$A$1:$I$89,3,0)*0.475*44/12</f>
        <v>1.5606020425714304</v>
      </c>
      <c r="BR99" s="21">
        <f>EXP(-LN(2)/2)*BR98+(1-EXP(-LN(2)/2))/(LN(2)/2)*BL99*BO99*VLOOKUP('Données projet'!$B$11,Paramètres!$A$1:$I$89,3,0)*0.475*44/12</f>
        <v>6.6688786230978736E-11</v>
      </c>
      <c r="BS99" s="22">
        <f t="shared" si="63"/>
        <v>14.910512830077908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>
        <f>BY99*VLOOKUP('Données projet'!$B$12,Paramètres!$A$1:$I$89,3,0)*VLOOKUP('Données projet'!$B$12,Paramètres!$A$1:$I$89,5,0)</f>
        <v>0</v>
      </c>
      <c r="CA99" s="13" t="e">
        <f t="shared" si="93"/>
        <v>#NUM!</v>
      </c>
      <c r="CB99" s="20" t="e">
        <f t="shared" si="64"/>
        <v>#NUM!</v>
      </c>
      <c r="CC99" s="59" t="e">
        <f t="shared" si="65"/>
        <v>#NUM!</v>
      </c>
      <c r="CD99" s="59">
        <f ca="1">AVERAGE(OFFSET($CC$3,0,0,'Données projet'!$E$12+1,1))-AVERAGE(OFFSET($H$3,0,0,'Données projet'!$E$12+1,1))</f>
        <v>112.82287576550925</v>
      </c>
      <c r="CE99" s="59">
        <f t="shared" si="94"/>
        <v>317.78570695363294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>
        <f>EXP(-LN(2)/35)*CK98+(1-EXP(-LN(2)/35))/(LN(2)/35)*CG99*CH99*VLOOKUP('Données projet'!$B$12,Paramètres!$A$1:$I$89,3,0)*0.475*44/12</f>
        <v>13.349910787439789</v>
      </c>
      <c r="CL99" s="21">
        <f>EXP(-LN(2)/25)*CL98+(1-EXP(-LN(2)/25))/(LN(2)/25)*Calculateur!CG99*Calculateur!CI99*VLOOKUP('Données projet'!$B$12,Paramètres!$A$1:$I$89,3,0)*0.475*44/12</f>
        <v>1.5606020425714304</v>
      </c>
      <c r="CM99" s="21">
        <f>EXP(-LN(2)/2)*CM98+(1-EXP(-LN(2)/2))/(LN(2)/2)*CG99*CJ99*VLOOKUP('Données projet'!$B$12,Paramètres!$A$1:$I$89,3,0)*0.475*44/12</f>
        <v>6.6688786230978736E-11</v>
      </c>
      <c r="CN99" s="22">
        <f t="shared" si="66"/>
        <v>14.910512830077908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5">
      <c r="A100" s="10">
        <f t="shared" si="85"/>
        <v>97</v>
      </c>
      <c r="B100" s="73">
        <f>'Scénario référence'!$B$16*5+'Scénario référence'!$B$17*0+'Scénario référence'!$B$18*5</f>
        <v>5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1">
        <f t="shared" si="86"/>
        <v>0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0" s="11">
        <f>IF(OR('Scénario référence'!$F$8&gt;0,'Scénario référence'!$F$9&gt;0),('Scénario référence'!$F$8+'Scénario référence'!$F$9)*10,0)</f>
        <v>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18.333333333333332</v>
      </c>
      <c r="H100" s="67">
        <f t="shared" si="56"/>
        <v>183.33333333333334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0</v>
      </c>
      <c r="O100" s="13">
        <f>N100*VLOOKUP('Données projet'!$B$9,Paramètres!$A$1:$I$89,3,0)*VLOOKUP('Données projet'!$B$9,Paramètres!$A$1:$I$89,5,0)</f>
        <v>0</v>
      </c>
      <c r="P100" s="13" t="e">
        <f t="shared" si="87"/>
        <v>#NUM!</v>
      </c>
      <c r="Q100" s="20" t="e">
        <f t="shared" si="107"/>
        <v>#NUM!</v>
      </c>
      <c r="R100" s="59" t="e">
        <f t="shared" si="55"/>
        <v>#NUM!</v>
      </c>
      <c r="S100" s="59">
        <f ca="1">AVERAGE(OFFSET($R$3,0,0,'Données projet'!$E$9+1,1))-AVERAGE(OFFSET($H$3,0,0,'Données projet'!$E$9+1,1))</f>
        <v>112.82287576550925</v>
      </c>
      <c r="T100" s="59">
        <f t="shared" si="88"/>
        <v>317.78570695363294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13.088127179539656</v>
      </c>
      <c r="AA100" s="21">
        <f>EXP(-LN(2)/25)*AA99+(1-EXP(-LN(2)/25))/(LN(2)/25)*Calculateur!V100*Calculateur!X100*VLOOKUP('Données projet'!$B$9,Paramètres!$A$1:$I$89,3,0)*0.475*44/12</f>
        <v>1.5179272976488201</v>
      </c>
      <c r="AB100" s="21">
        <f>EXP(-LN(2)/2)*AB99+(1-EXP(-LN(2)/2))/(LN(2)/2)*V100*Y100*VLOOKUP('Données projet'!$B$9,Paramètres!$A$1:$I$89,3,0)*0.475*44/12</f>
        <v>4.7156092973025125E-11</v>
      </c>
      <c r="AC100" s="22">
        <f t="shared" si="57"/>
        <v>14.606054477235633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0</v>
      </c>
      <c r="AJ100" s="13">
        <f>AI100*VLOOKUP('Données projet'!$B$10,Paramètres!$A$1:$I$89,3,0)*VLOOKUP('Données projet'!$B$10,Paramètres!$A$1:$I$89,5,0)</f>
        <v>0</v>
      </c>
      <c r="AK100" s="13" t="e">
        <f t="shared" si="89"/>
        <v>#NUM!</v>
      </c>
      <c r="AL100" s="20" t="e">
        <f t="shared" si="58"/>
        <v>#NUM!</v>
      </c>
      <c r="AM100" s="59" t="e">
        <f t="shared" si="59"/>
        <v>#NUM!</v>
      </c>
      <c r="AN100" s="59">
        <f ca="1">AVERAGE(OFFSET($AM$3,0,0,'Données projet'!$E$10+1,1))-AVERAGE(OFFSET($H$3,0,0,'Données projet'!$E$10+1,1))</f>
        <v>112.82287576550925</v>
      </c>
      <c r="AO100" s="59">
        <f t="shared" si="90"/>
        <v>317.78570695363294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13.088127179539656</v>
      </c>
      <c r="AV100" s="21">
        <f>EXP(-LN(2)/25)*AV99+(1-EXP(-LN(2)/25))/(LN(2)/25)*Calculateur!AQ100*Calculateur!AS100*VLOOKUP('Données projet'!$B$10,Paramètres!$A$1:$I$89,3,0)*0.475*44/12</f>
        <v>1.5179272976488201</v>
      </c>
      <c r="AW100" s="21">
        <f>EXP(-LN(2)/2)*AW99+(1-EXP(-LN(2)/2))/(LN(2)/2)*AQ100*AT100*VLOOKUP('Données projet'!$B$10,Paramètres!$A$1:$I$89,3,0)*0.475*44/12</f>
        <v>4.7156092973025125E-11</v>
      </c>
      <c r="AX100" s="21">
        <f t="shared" si="60"/>
        <v>14.606054477235633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0</v>
      </c>
      <c r="BE100" s="13">
        <f>BD100*VLOOKUP('Données projet'!$B$11,Paramètres!$A$1:$I$89,3,0)*VLOOKUP('Données projet'!$B$11,Paramètres!$A$1:$I$89,5,0)</f>
        <v>0</v>
      </c>
      <c r="BF100" s="13" t="e">
        <f t="shared" si="91"/>
        <v>#NUM!</v>
      </c>
      <c r="BG100" s="20" t="e">
        <f t="shared" si="61"/>
        <v>#NUM!</v>
      </c>
      <c r="BH100" s="59" t="e">
        <f t="shared" si="62"/>
        <v>#NUM!</v>
      </c>
      <c r="BI100" s="59">
        <f ca="1">AVERAGE(OFFSET($BH$3,0,0,'Données projet'!$E$11+1,1))-AVERAGE(OFFSET($H$3,0,0,'Données projet'!$E$11+1,1))</f>
        <v>112.82287576550925</v>
      </c>
      <c r="BJ100" s="59">
        <f t="shared" si="92"/>
        <v>317.78570695363294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13.088127179539656</v>
      </c>
      <c r="BQ100" s="21">
        <f>EXP(-LN(2)/25)*BQ99+(1-EXP(-LN(2)/25))/(LN(2)/25)*Calculateur!BL100*Calculateur!BN100*VLOOKUP('Données projet'!$B$11,Paramètres!$A$1:$I$89,3,0)*0.475*44/12</f>
        <v>1.5179272976488201</v>
      </c>
      <c r="BR100" s="21">
        <f>EXP(-LN(2)/2)*BR99+(1-EXP(-LN(2)/2))/(LN(2)/2)*BL100*BO100*VLOOKUP('Données projet'!$B$11,Paramètres!$A$1:$I$89,3,0)*0.475*44/12</f>
        <v>4.7156092973025125E-11</v>
      </c>
      <c r="BS100" s="22">
        <f t="shared" si="63"/>
        <v>14.606054477235633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>
        <f>BY100*VLOOKUP('Données projet'!$B$12,Paramètres!$A$1:$I$89,3,0)*VLOOKUP('Données projet'!$B$12,Paramètres!$A$1:$I$89,5,0)</f>
        <v>0</v>
      </c>
      <c r="CA100" s="13" t="e">
        <f t="shared" si="93"/>
        <v>#NUM!</v>
      </c>
      <c r="CB100" s="20" t="e">
        <f t="shared" si="64"/>
        <v>#NUM!</v>
      </c>
      <c r="CC100" s="59" t="e">
        <f t="shared" si="65"/>
        <v>#NUM!</v>
      </c>
      <c r="CD100" s="59">
        <f ca="1">AVERAGE(OFFSET($CC$3,0,0,'Données projet'!$E$12+1,1))-AVERAGE(OFFSET($H$3,0,0,'Données projet'!$E$12+1,1))</f>
        <v>112.82287576550925</v>
      </c>
      <c r="CE100" s="59">
        <f t="shared" si="94"/>
        <v>317.78570695363294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>
        <f>EXP(-LN(2)/35)*CK99+(1-EXP(-LN(2)/35))/(LN(2)/35)*CG100*CH100*VLOOKUP('Données projet'!$B$12,Paramètres!$A$1:$I$89,3,0)*0.475*44/12</f>
        <v>13.088127179539656</v>
      </c>
      <c r="CL100" s="21">
        <f>EXP(-LN(2)/25)*CL99+(1-EXP(-LN(2)/25))/(LN(2)/25)*Calculateur!CG100*Calculateur!CI100*VLOOKUP('Données projet'!$B$12,Paramètres!$A$1:$I$89,3,0)*0.475*44/12</f>
        <v>1.5179272976488201</v>
      </c>
      <c r="CM100" s="21">
        <f>EXP(-LN(2)/2)*CM99+(1-EXP(-LN(2)/2))/(LN(2)/2)*CG100*CJ100*VLOOKUP('Données projet'!$B$12,Paramètres!$A$1:$I$89,3,0)*0.475*44/12</f>
        <v>4.7156092973025125E-11</v>
      </c>
      <c r="CN100" s="22">
        <f t="shared" si="66"/>
        <v>14.606054477235633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5">
      <c r="A101" s="10">
        <f t="shared" si="85"/>
        <v>98</v>
      </c>
      <c r="B101" s="73">
        <f>'Scénario référence'!$B$16*5+'Scénario référence'!$B$17*0+'Scénario référence'!$B$18*5</f>
        <v>5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1">
        <f t="shared" si="86"/>
        <v>0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1" s="11">
        <f>IF(OR('Scénario référence'!$F$8&gt;0,'Scénario référence'!$F$9&gt;0),('Scénario référence'!$F$8+'Scénario référence'!$F$9)*10,0)</f>
        <v>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18.333333333333332</v>
      </c>
      <c r="H101" s="67">
        <f t="shared" si="56"/>
        <v>183.33333333333334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0</v>
      </c>
      <c r="O101" s="13">
        <f>N101*VLOOKUP('Données projet'!$B$9,Paramètres!$A$1:$I$89,3,0)*VLOOKUP('Données projet'!$B$9,Paramètres!$A$1:$I$89,5,0)</f>
        <v>0</v>
      </c>
      <c r="P101" s="13" t="e">
        <f t="shared" si="87"/>
        <v>#NUM!</v>
      </c>
      <c r="Q101" s="20" t="e">
        <f t="shared" si="107"/>
        <v>#NUM!</v>
      </c>
      <c r="R101" s="59" t="e">
        <f t="shared" si="55"/>
        <v>#NUM!</v>
      </c>
      <c r="S101" s="59">
        <f ca="1">AVERAGE(OFFSET($R$3,0,0,'Données projet'!$E$9+1,1))-AVERAGE(OFFSET($H$3,0,0,'Données projet'!$E$9+1,1))</f>
        <v>112.82287576550925</v>
      </c>
      <c r="T101" s="59">
        <f t="shared" si="88"/>
        <v>317.78570695363294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12.83147698851821</v>
      </c>
      <c r="AA101" s="21">
        <f>EXP(-LN(2)/25)*AA100+(1-EXP(-LN(2)/25))/(LN(2)/25)*Calculateur!V101*Calculateur!X101*VLOOKUP('Données projet'!$B$9,Paramètres!$A$1:$I$89,3,0)*0.475*44/12</f>
        <v>1.4764194958702859</v>
      </c>
      <c r="AB101" s="21">
        <f>EXP(-LN(2)/2)*AB100+(1-EXP(-LN(2)/2))/(LN(2)/2)*V101*Y101*VLOOKUP('Données projet'!$B$9,Paramètres!$A$1:$I$89,3,0)*0.475*44/12</f>
        <v>3.3344393115489368E-11</v>
      </c>
      <c r="AC101" s="22">
        <f t="shared" si="57"/>
        <v>14.307896484421839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0</v>
      </c>
      <c r="AJ101" s="13">
        <f>AI101*VLOOKUP('Données projet'!$B$10,Paramètres!$A$1:$I$89,3,0)*VLOOKUP('Données projet'!$B$10,Paramètres!$A$1:$I$89,5,0)</f>
        <v>0</v>
      </c>
      <c r="AK101" s="13" t="e">
        <f t="shared" si="89"/>
        <v>#NUM!</v>
      </c>
      <c r="AL101" s="20" t="e">
        <f t="shared" si="58"/>
        <v>#NUM!</v>
      </c>
      <c r="AM101" s="59" t="e">
        <f t="shared" si="59"/>
        <v>#NUM!</v>
      </c>
      <c r="AN101" s="59">
        <f ca="1">AVERAGE(OFFSET($AM$3,0,0,'Données projet'!$E$10+1,1))-AVERAGE(OFFSET($H$3,0,0,'Données projet'!$E$10+1,1))</f>
        <v>112.82287576550925</v>
      </c>
      <c r="AO101" s="59">
        <f t="shared" si="90"/>
        <v>317.78570695363294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12.83147698851821</v>
      </c>
      <c r="AV101" s="21">
        <f>EXP(-LN(2)/25)*AV100+(1-EXP(-LN(2)/25))/(LN(2)/25)*Calculateur!AQ101*Calculateur!AS101*VLOOKUP('Données projet'!$B$10,Paramètres!$A$1:$I$89,3,0)*0.475*44/12</f>
        <v>1.4764194958702859</v>
      </c>
      <c r="AW101" s="21">
        <f>EXP(-LN(2)/2)*AW100+(1-EXP(-LN(2)/2))/(LN(2)/2)*AQ101*AT101*VLOOKUP('Données projet'!$B$10,Paramètres!$A$1:$I$89,3,0)*0.475*44/12</f>
        <v>3.3344393115489368E-11</v>
      </c>
      <c r="AX101" s="21">
        <f t="shared" si="60"/>
        <v>14.307896484421839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0</v>
      </c>
      <c r="BE101" s="13">
        <f>BD101*VLOOKUP('Données projet'!$B$11,Paramètres!$A$1:$I$89,3,0)*VLOOKUP('Données projet'!$B$11,Paramètres!$A$1:$I$89,5,0)</f>
        <v>0</v>
      </c>
      <c r="BF101" s="13" t="e">
        <f t="shared" si="91"/>
        <v>#NUM!</v>
      </c>
      <c r="BG101" s="20" t="e">
        <f t="shared" si="61"/>
        <v>#NUM!</v>
      </c>
      <c r="BH101" s="59" t="e">
        <f t="shared" si="62"/>
        <v>#NUM!</v>
      </c>
      <c r="BI101" s="59">
        <f ca="1">AVERAGE(OFFSET($BH$3,0,0,'Données projet'!$E$11+1,1))-AVERAGE(OFFSET($H$3,0,0,'Données projet'!$E$11+1,1))</f>
        <v>112.82287576550925</v>
      </c>
      <c r="BJ101" s="59">
        <f t="shared" si="92"/>
        <v>317.78570695363294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12.83147698851821</v>
      </c>
      <c r="BQ101" s="21">
        <f>EXP(-LN(2)/25)*BQ100+(1-EXP(-LN(2)/25))/(LN(2)/25)*Calculateur!BL101*Calculateur!BN101*VLOOKUP('Données projet'!$B$11,Paramètres!$A$1:$I$89,3,0)*0.475*44/12</f>
        <v>1.4764194958702859</v>
      </c>
      <c r="BR101" s="21">
        <f>EXP(-LN(2)/2)*BR100+(1-EXP(-LN(2)/2))/(LN(2)/2)*BL101*BO101*VLOOKUP('Données projet'!$B$11,Paramètres!$A$1:$I$89,3,0)*0.475*44/12</f>
        <v>3.3344393115489368E-11</v>
      </c>
      <c r="BS101" s="22">
        <f t="shared" si="63"/>
        <v>14.307896484421839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>
        <f>BY101*VLOOKUP('Données projet'!$B$12,Paramètres!$A$1:$I$89,3,0)*VLOOKUP('Données projet'!$B$12,Paramètres!$A$1:$I$89,5,0)</f>
        <v>0</v>
      </c>
      <c r="CA101" s="13" t="e">
        <f t="shared" si="93"/>
        <v>#NUM!</v>
      </c>
      <c r="CB101" s="20" t="e">
        <f t="shared" si="64"/>
        <v>#NUM!</v>
      </c>
      <c r="CC101" s="59" t="e">
        <f t="shared" si="65"/>
        <v>#NUM!</v>
      </c>
      <c r="CD101" s="59">
        <f ca="1">AVERAGE(OFFSET($CC$3,0,0,'Données projet'!$E$12+1,1))-AVERAGE(OFFSET($H$3,0,0,'Données projet'!$E$12+1,1))</f>
        <v>112.82287576550925</v>
      </c>
      <c r="CE101" s="59">
        <f t="shared" si="94"/>
        <v>317.78570695363294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>
        <f>EXP(-LN(2)/35)*CK100+(1-EXP(-LN(2)/35))/(LN(2)/35)*CG101*CH101*VLOOKUP('Données projet'!$B$12,Paramètres!$A$1:$I$89,3,0)*0.475*44/12</f>
        <v>12.83147698851821</v>
      </c>
      <c r="CL101" s="21">
        <f>EXP(-LN(2)/25)*CL100+(1-EXP(-LN(2)/25))/(LN(2)/25)*Calculateur!CG101*Calculateur!CI101*VLOOKUP('Données projet'!$B$12,Paramètres!$A$1:$I$89,3,0)*0.475*44/12</f>
        <v>1.4764194958702859</v>
      </c>
      <c r="CM101" s="21">
        <f>EXP(-LN(2)/2)*CM100+(1-EXP(-LN(2)/2))/(LN(2)/2)*CG101*CJ101*VLOOKUP('Données projet'!$B$12,Paramètres!$A$1:$I$89,3,0)*0.475*44/12</f>
        <v>3.3344393115489368E-11</v>
      </c>
      <c r="CN101" s="22">
        <f t="shared" si="66"/>
        <v>14.307896484421839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5">
      <c r="A102" s="10">
        <f t="shared" si="85"/>
        <v>99</v>
      </c>
      <c r="B102" s="73">
        <f>'Scénario référence'!$B$16*5+'Scénario référence'!$B$17*0+'Scénario référence'!$B$18*5</f>
        <v>5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1">
        <f t="shared" si="86"/>
        <v>0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2" s="11">
        <f>IF(OR('Scénario référence'!$F$8&gt;0,'Scénario référence'!$F$9&gt;0),('Scénario référence'!$F$8+'Scénario référence'!$F$9)*10,0)</f>
        <v>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18.333333333333332</v>
      </c>
      <c r="H102" s="67">
        <f t="shared" si="56"/>
        <v>183.33333333333334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0</v>
      </c>
      <c r="O102" s="13">
        <f>N102*VLOOKUP('Données projet'!$B$9,Paramètres!$A$1:$I$89,3,0)*VLOOKUP('Données projet'!$B$9,Paramètres!$A$1:$I$89,5,0)</f>
        <v>0</v>
      </c>
      <c r="P102" s="13" t="e">
        <f t="shared" si="87"/>
        <v>#NUM!</v>
      </c>
      <c r="Q102" s="20" t="e">
        <f t="shared" si="107"/>
        <v>#NUM!</v>
      </c>
      <c r="R102" s="59" t="e">
        <f t="shared" si="55"/>
        <v>#NUM!</v>
      </c>
      <c r="S102" s="59">
        <f ca="1">AVERAGE(OFFSET($R$3,0,0,'Données projet'!$E$9+1,1))-AVERAGE(OFFSET($H$3,0,0,'Données projet'!$E$9+1,1))</f>
        <v>112.82287576550925</v>
      </c>
      <c r="T102" s="59">
        <f t="shared" si="88"/>
        <v>317.78570695363294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12.579859551201535</v>
      </c>
      <c r="AA102" s="21">
        <f>EXP(-LN(2)/25)*AA101+(1-EXP(-LN(2)/25))/(LN(2)/25)*Calculateur!V102*Calculateur!X102*VLOOKUP('Données projet'!$B$9,Paramètres!$A$1:$I$89,3,0)*0.475*44/12</f>
        <v>1.4360467271141861</v>
      </c>
      <c r="AB102" s="21">
        <f>EXP(-LN(2)/2)*AB101+(1-EXP(-LN(2)/2))/(LN(2)/2)*V102*Y102*VLOOKUP('Données projet'!$B$9,Paramètres!$A$1:$I$89,3,0)*0.475*44/12</f>
        <v>2.3578046486512563E-11</v>
      </c>
      <c r="AC102" s="22">
        <f t="shared" si="57"/>
        <v>14.015906278339299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0</v>
      </c>
      <c r="AJ102" s="13">
        <f>AI102*VLOOKUP('Données projet'!$B$10,Paramètres!$A$1:$I$89,3,0)*VLOOKUP('Données projet'!$B$10,Paramètres!$A$1:$I$89,5,0)</f>
        <v>0</v>
      </c>
      <c r="AK102" s="13" t="e">
        <f t="shared" si="89"/>
        <v>#NUM!</v>
      </c>
      <c r="AL102" s="20" t="e">
        <f t="shared" si="58"/>
        <v>#NUM!</v>
      </c>
      <c r="AM102" s="59" t="e">
        <f t="shared" si="59"/>
        <v>#NUM!</v>
      </c>
      <c r="AN102" s="59">
        <f ca="1">AVERAGE(OFFSET($AM$3,0,0,'Données projet'!$E$10+1,1))-AVERAGE(OFFSET($H$3,0,0,'Données projet'!$E$10+1,1))</f>
        <v>112.82287576550925</v>
      </c>
      <c r="AO102" s="59">
        <f t="shared" si="90"/>
        <v>317.78570695363294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12.579859551201535</v>
      </c>
      <c r="AV102" s="21">
        <f>EXP(-LN(2)/25)*AV101+(1-EXP(-LN(2)/25))/(LN(2)/25)*Calculateur!AQ102*Calculateur!AS102*VLOOKUP('Données projet'!$B$10,Paramètres!$A$1:$I$89,3,0)*0.475*44/12</f>
        <v>1.4360467271141861</v>
      </c>
      <c r="AW102" s="21">
        <f>EXP(-LN(2)/2)*AW101+(1-EXP(-LN(2)/2))/(LN(2)/2)*AQ102*AT102*VLOOKUP('Données projet'!$B$10,Paramètres!$A$1:$I$89,3,0)*0.475*44/12</f>
        <v>2.3578046486512563E-11</v>
      </c>
      <c r="AX102" s="21">
        <f t="shared" si="60"/>
        <v>14.015906278339299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0</v>
      </c>
      <c r="BE102" s="13">
        <f>BD102*VLOOKUP('Données projet'!$B$11,Paramètres!$A$1:$I$89,3,0)*VLOOKUP('Données projet'!$B$11,Paramètres!$A$1:$I$89,5,0)</f>
        <v>0</v>
      </c>
      <c r="BF102" s="13" t="e">
        <f t="shared" si="91"/>
        <v>#NUM!</v>
      </c>
      <c r="BG102" s="20" t="e">
        <f t="shared" si="61"/>
        <v>#NUM!</v>
      </c>
      <c r="BH102" s="59" t="e">
        <f t="shared" si="62"/>
        <v>#NUM!</v>
      </c>
      <c r="BI102" s="59">
        <f ca="1">AVERAGE(OFFSET($BH$3,0,0,'Données projet'!$E$11+1,1))-AVERAGE(OFFSET($H$3,0,0,'Données projet'!$E$11+1,1))</f>
        <v>112.82287576550925</v>
      </c>
      <c r="BJ102" s="59">
        <f t="shared" si="92"/>
        <v>317.78570695363294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12.579859551201535</v>
      </c>
      <c r="BQ102" s="21">
        <f>EXP(-LN(2)/25)*BQ101+(1-EXP(-LN(2)/25))/(LN(2)/25)*Calculateur!BL102*Calculateur!BN102*VLOOKUP('Données projet'!$B$11,Paramètres!$A$1:$I$89,3,0)*0.475*44/12</f>
        <v>1.4360467271141861</v>
      </c>
      <c r="BR102" s="21">
        <f>EXP(-LN(2)/2)*BR101+(1-EXP(-LN(2)/2))/(LN(2)/2)*BL102*BO102*VLOOKUP('Données projet'!$B$11,Paramètres!$A$1:$I$89,3,0)*0.475*44/12</f>
        <v>2.3578046486512563E-11</v>
      </c>
      <c r="BS102" s="22">
        <f t="shared" si="63"/>
        <v>14.015906278339299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>
        <f>BY102*VLOOKUP('Données projet'!$B$12,Paramètres!$A$1:$I$89,3,0)*VLOOKUP('Données projet'!$B$12,Paramètres!$A$1:$I$89,5,0)</f>
        <v>0</v>
      </c>
      <c r="CA102" s="13" t="e">
        <f t="shared" si="93"/>
        <v>#NUM!</v>
      </c>
      <c r="CB102" s="20" t="e">
        <f t="shared" si="64"/>
        <v>#NUM!</v>
      </c>
      <c r="CC102" s="59" t="e">
        <f t="shared" si="65"/>
        <v>#NUM!</v>
      </c>
      <c r="CD102" s="59">
        <f ca="1">AVERAGE(OFFSET($CC$3,0,0,'Données projet'!$E$12+1,1))-AVERAGE(OFFSET($H$3,0,0,'Données projet'!$E$12+1,1))</f>
        <v>112.82287576550925</v>
      </c>
      <c r="CE102" s="59">
        <f t="shared" si="94"/>
        <v>317.78570695363294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>
        <f>EXP(-LN(2)/35)*CK101+(1-EXP(-LN(2)/35))/(LN(2)/35)*CG102*CH102*VLOOKUP('Données projet'!$B$12,Paramètres!$A$1:$I$89,3,0)*0.475*44/12</f>
        <v>12.579859551201535</v>
      </c>
      <c r="CL102" s="21">
        <f>EXP(-LN(2)/25)*CL101+(1-EXP(-LN(2)/25))/(LN(2)/25)*Calculateur!CG102*Calculateur!CI102*VLOOKUP('Données projet'!$B$12,Paramètres!$A$1:$I$89,3,0)*0.475*44/12</f>
        <v>1.4360467271141861</v>
      </c>
      <c r="CM102" s="21">
        <f>EXP(-LN(2)/2)*CM101+(1-EXP(-LN(2)/2))/(LN(2)/2)*CG102*CJ102*VLOOKUP('Données projet'!$B$12,Paramètres!$A$1:$I$89,3,0)*0.475*44/12</f>
        <v>2.3578046486512563E-11</v>
      </c>
      <c r="CN102" s="22">
        <f t="shared" si="66"/>
        <v>14.015906278339299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5">
      <c r="A103" s="10">
        <f t="shared" si="85"/>
        <v>100</v>
      </c>
      <c r="B103" s="73">
        <f>'Scénario référence'!$B$16*5+'Scénario référence'!$B$17*0+'Scénario référence'!$B$18*5</f>
        <v>5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1">
        <f t="shared" si="86"/>
        <v>0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3" s="11">
        <f>IF(OR('Scénario référence'!$F$8&gt;0,'Scénario référence'!$F$9&gt;0),('Scénario référence'!$F$8+'Scénario référence'!$F$9)*10,0)</f>
        <v>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18.333333333333332</v>
      </c>
      <c r="H103" s="67">
        <f t="shared" si="56"/>
        <v>183.33333333333334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0</v>
      </c>
      <c r="O103" s="13">
        <f>N103*VLOOKUP('Données projet'!$B$9,Paramètres!$A$1:$I$89,3,0)*VLOOKUP('Données projet'!$B$9,Paramètres!$A$1:$I$89,5,0)</f>
        <v>0</v>
      </c>
      <c r="P103" s="13" t="e">
        <f t="shared" si="87"/>
        <v>#NUM!</v>
      </c>
      <c r="Q103" s="20" t="e">
        <f t="shared" si="107"/>
        <v>#NUM!</v>
      </c>
      <c r="R103" s="59" t="e">
        <f t="shared" si="55"/>
        <v>#NUM!</v>
      </c>
      <c r="S103" s="59">
        <f ca="1">AVERAGE(OFFSET($R$3,0,0,'Données projet'!$E$9+1,1))-AVERAGE(OFFSET($H$3,0,0,'Données projet'!$E$9+1,1))</f>
        <v>112.82287576550925</v>
      </c>
      <c r="T103" s="59">
        <f t="shared" si="88"/>
        <v>317.78570695363294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12.333176178359157</v>
      </c>
      <c r="AA103" s="21">
        <f>EXP(-LN(2)/25)*AA102+(1-EXP(-LN(2)/25))/(LN(2)/25)*Calculateur!V103*Calculateur!X103*VLOOKUP('Données projet'!$B$9,Paramètres!$A$1:$I$89,3,0)*0.475*44/12</f>
        <v>1.3967779538428335</v>
      </c>
      <c r="AB103" s="21">
        <f>EXP(-LN(2)/2)*AB102+(1-EXP(-LN(2)/2))/(LN(2)/2)*V103*Y103*VLOOKUP('Données projet'!$B$9,Paramètres!$A$1:$I$89,3,0)*0.475*44/12</f>
        <v>1.6672196557744684E-11</v>
      </c>
      <c r="AC103" s="22">
        <f t="shared" si="57"/>
        <v>13.729954132218664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0</v>
      </c>
      <c r="AJ103" s="13">
        <f>AI103*VLOOKUP('Données projet'!$B$10,Paramètres!$A$1:$I$89,3,0)*VLOOKUP('Données projet'!$B$10,Paramètres!$A$1:$I$89,5,0)</f>
        <v>0</v>
      </c>
      <c r="AK103" s="13" t="e">
        <f t="shared" si="89"/>
        <v>#NUM!</v>
      </c>
      <c r="AL103" s="20" t="e">
        <f t="shared" si="58"/>
        <v>#NUM!</v>
      </c>
      <c r="AM103" s="59" t="e">
        <f t="shared" si="59"/>
        <v>#NUM!</v>
      </c>
      <c r="AN103" s="59">
        <f ca="1">AVERAGE(OFFSET($AM$3,0,0,'Données projet'!$E$10+1,1))-AVERAGE(OFFSET($H$3,0,0,'Données projet'!$E$10+1,1))</f>
        <v>112.82287576550925</v>
      </c>
      <c r="AO103" s="59">
        <f t="shared" si="90"/>
        <v>317.78570695363294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12.333176178359157</v>
      </c>
      <c r="AV103" s="21">
        <f>EXP(-LN(2)/25)*AV102+(1-EXP(-LN(2)/25))/(LN(2)/25)*Calculateur!AQ103*Calculateur!AS103*VLOOKUP('Données projet'!$B$10,Paramètres!$A$1:$I$89,3,0)*0.475*44/12</f>
        <v>1.3967779538428335</v>
      </c>
      <c r="AW103" s="21">
        <f>EXP(-LN(2)/2)*AW102+(1-EXP(-LN(2)/2))/(LN(2)/2)*AQ103*AT103*VLOOKUP('Données projet'!$B$10,Paramètres!$A$1:$I$89,3,0)*0.475*44/12</f>
        <v>1.6672196557744684E-11</v>
      </c>
      <c r="AX103" s="21">
        <f t="shared" si="60"/>
        <v>13.729954132218664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0</v>
      </c>
      <c r="BE103" s="13">
        <f>BD103*VLOOKUP('Données projet'!$B$11,Paramètres!$A$1:$I$89,3,0)*VLOOKUP('Données projet'!$B$11,Paramètres!$A$1:$I$89,5,0)</f>
        <v>0</v>
      </c>
      <c r="BF103" s="13" t="e">
        <f t="shared" si="91"/>
        <v>#NUM!</v>
      </c>
      <c r="BG103" s="20" t="e">
        <f t="shared" si="61"/>
        <v>#NUM!</v>
      </c>
      <c r="BH103" s="59" t="e">
        <f t="shared" si="62"/>
        <v>#NUM!</v>
      </c>
      <c r="BI103" s="59">
        <f ca="1">AVERAGE(OFFSET($BH$3,0,0,'Données projet'!$E$11+1,1))-AVERAGE(OFFSET($H$3,0,0,'Données projet'!$E$11+1,1))</f>
        <v>112.82287576550925</v>
      </c>
      <c r="BJ103" s="59">
        <f t="shared" si="92"/>
        <v>317.78570695363294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12.333176178359157</v>
      </c>
      <c r="BQ103" s="21">
        <f>EXP(-LN(2)/25)*BQ102+(1-EXP(-LN(2)/25))/(LN(2)/25)*Calculateur!BL103*Calculateur!BN103*VLOOKUP('Données projet'!$B$11,Paramètres!$A$1:$I$89,3,0)*0.475*44/12</f>
        <v>1.3967779538428335</v>
      </c>
      <c r="BR103" s="21">
        <f>EXP(-LN(2)/2)*BR102+(1-EXP(-LN(2)/2))/(LN(2)/2)*BL103*BO103*VLOOKUP('Données projet'!$B$11,Paramètres!$A$1:$I$89,3,0)*0.475*44/12</f>
        <v>1.6672196557744684E-11</v>
      </c>
      <c r="BS103" s="22">
        <f t="shared" si="63"/>
        <v>13.729954132218664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>
        <f>BY103*VLOOKUP('Données projet'!$B$12,Paramètres!$A$1:$I$89,3,0)*VLOOKUP('Données projet'!$B$12,Paramètres!$A$1:$I$89,5,0)</f>
        <v>0</v>
      </c>
      <c r="CA103" s="13" t="e">
        <f t="shared" si="93"/>
        <v>#NUM!</v>
      </c>
      <c r="CB103" s="20" t="e">
        <f t="shared" si="64"/>
        <v>#NUM!</v>
      </c>
      <c r="CC103" s="59" t="e">
        <f t="shared" si="65"/>
        <v>#NUM!</v>
      </c>
      <c r="CD103" s="59">
        <f ca="1">AVERAGE(OFFSET($CC$3,0,0,'Données projet'!$E$12+1,1))-AVERAGE(OFFSET($H$3,0,0,'Données projet'!$E$12+1,1))</f>
        <v>112.82287576550925</v>
      </c>
      <c r="CE103" s="59">
        <f t="shared" si="94"/>
        <v>317.78570695363294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>
        <f>EXP(-LN(2)/35)*CK102+(1-EXP(-LN(2)/35))/(LN(2)/35)*CG103*CH103*VLOOKUP('Données projet'!$B$12,Paramètres!$A$1:$I$89,3,0)*0.475*44/12</f>
        <v>12.333176178359157</v>
      </c>
      <c r="CL103" s="21">
        <f>EXP(-LN(2)/25)*CL102+(1-EXP(-LN(2)/25))/(LN(2)/25)*Calculateur!CG103*Calculateur!CI103*VLOOKUP('Données projet'!$B$12,Paramètres!$A$1:$I$89,3,0)*0.475*44/12</f>
        <v>1.3967779538428335</v>
      </c>
      <c r="CM103" s="21">
        <f>EXP(-LN(2)/2)*CM102+(1-EXP(-LN(2)/2))/(LN(2)/2)*CG103*CJ103*VLOOKUP('Données projet'!$B$12,Paramètres!$A$1:$I$89,3,0)*0.475*44/12</f>
        <v>1.6672196557744684E-11</v>
      </c>
      <c r="CN103" s="22">
        <f t="shared" si="66"/>
        <v>13.729954132218664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5">
      <c r="A104" s="10">
        <f t="shared" si="85"/>
        <v>101</v>
      </c>
      <c r="B104" s="73">
        <f>'Scénario référence'!$B$16*5+'Scénario référence'!$B$17*0+'Scénario référence'!$B$18*5</f>
        <v>5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1">
        <f t="shared" si="86"/>
        <v>0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4" s="11">
        <f>IF(OR('Scénario référence'!$F$8&gt;0,'Scénario référence'!$F$9&gt;0),('Scénario référence'!$F$8+'Scénario référence'!$F$9)*10,0)</f>
        <v>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18.333333333333332</v>
      </c>
      <c r="H104" s="67">
        <f t="shared" si="56"/>
        <v>183.33333333333334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0</v>
      </c>
      <c r="O104" s="13">
        <f>N104*VLOOKUP('Données projet'!$B$9,Paramètres!$A$1:$I$89,3,0)*VLOOKUP('Données projet'!$B$9,Paramètres!$A$1:$I$89,5,0)</f>
        <v>0</v>
      </c>
      <c r="P104" s="13" t="e">
        <f t="shared" si="87"/>
        <v>#NUM!</v>
      </c>
      <c r="Q104" s="20" t="e">
        <f t="shared" si="107"/>
        <v>#NUM!</v>
      </c>
      <c r="R104" s="59" t="e">
        <f t="shared" si="55"/>
        <v>#NUM!</v>
      </c>
      <c r="S104" s="59">
        <f ca="1">AVERAGE(OFFSET($R$3,0,0,'Données projet'!$E$9+1,1))-AVERAGE(OFFSET($H$3,0,0,'Données projet'!$E$9+1,1))</f>
        <v>112.82287576550925</v>
      </c>
      <c r="T104" s="59">
        <f t="shared" si="88"/>
        <v>317.78570695363294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12.091330115996218</v>
      </c>
      <c r="AA104" s="21">
        <f>EXP(-LN(2)/25)*AA103+(1-EXP(-LN(2)/25))/(LN(2)/25)*Calculateur!V104*Calculateur!X104*VLOOKUP('Données projet'!$B$9,Paramètres!$A$1:$I$89,3,0)*0.475*44/12</f>
        <v>1.3585829872416411</v>
      </c>
      <c r="AB104" s="21">
        <f>EXP(-LN(2)/2)*AB103+(1-EXP(-LN(2)/2))/(LN(2)/2)*V104*Y104*VLOOKUP('Données projet'!$B$9,Paramètres!$A$1:$I$89,3,0)*0.475*44/12</f>
        <v>1.1789023243256281E-11</v>
      </c>
      <c r="AC104" s="22">
        <f t="shared" si="57"/>
        <v>13.449913103249649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0</v>
      </c>
      <c r="AJ104" s="13">
        <f>AI104*VLOOKUP('Données projet'!$B$10,Paramètres!$A$1:$I$89,3,0)*VLOOKUP('Données projet'!$B$10,Paramètres!$A$1:$I$89,5,0)</f>
        <v>0</v>
      </c>
      <c r="AK104" s="13" t="e">
        <f t="shared" si="89"/>
        <v>#NUM!</v>
      </c>
      <c r="AL104" s="20" t="e">
        <f t="shared" si="58"/>
        <v>#NUM!</v>
      </c>
      <c r="AM104" s="59" t="e">
        <f t="shared" si="59"/>
        <v>#NUM!</v>
      </c>
      <c r="AN104" s="59">
        <f ca="1">AVERAGE(OFFSET($AM$3,0,0,'Données projet'!$E$10+1,1))-AVERAGE(OFFSET($H$3,0,0,'Données projet'!$E$10+1,1))</f>
        <v>112.82287576550925</v>
      </c>
      <c r="AO104" s="59">
        <f t="shared" si="90"/>
        <v>317.78570695363294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12.091330115996218</v>
      </c>
      <c r="AV104" s="21">
        <f>EXP(-LN(2)/25)*AV103+(1-EXP(-LN(2)/25))/(LN(2)/25)*Calculateur!AQ104*Calculateur!AS104*VLOOKUP('Données projet'!$B$10,Paramètres!$A$1:$I$89,3,0)*0.475*44/12</f>
        <v>1.3585829872416411</v>
      </c>
      <c r="AW104" s="21">
        <f>EXP(-LN(2)/2)*AW103+(1-EXP(-LN(2)/2))/(LN(2)/2)*AQ104*AT104*VLOOKUP('Données projet'!$B$10,Paramètres!$A$1:$I$89,3,0)*0.475*44/12</f>
        <v>1.1789023243256281E-11</v>
      </c>
      <c r="AX104" s="21">
        <f t="shared" si="60"/>
        <v>13.449913103249649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0</v>
      </c>
      <c r="BE104" s="13">
        <f>BD104*VLOOKUP('Données projet'!$B$11,Paramètres!$A$1:$I$89,3,0)*VLOOKUP('Données projet'!$B$11,Paramètres!$A$1:$I$89,5,0)</f>
        <v>0</v>
      </c>
      <c r="BF104" s="13" t="e">
        <f t="shared" si="91"/>
        <v>#NUM!</v>
      </c>
      <c r="BG104" s="20" t="e">
        <f t="shared" si="61"/>
        <v>#NUM!</v>
      </c>
      <c r="BH104" s="59" t="e">
        <f t="shared" si="62"/>
        <v>#NUM!</v>
      </c>
      <c r="BI104" s="59">
        <f ca="1">AVERAGE(OFFSET($BH$3,0,0,'Données projet'!$E$11+1,1))-AVERAGE(OFFSET($H$3,0,0,'Données projet'!$E$11+1,1))</f>
        <v>112.82287576550925</v>
      </c>
      <c r="BJ104" s="59">
        <f t="shared" si="92"/>
        <v>317.78570695363294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12.091330115996218</v>
      </c>
      <c r="BQ104" s="21">
        <f>EXP(-LN(2)/25)*BQ103+(1-EXP(-LN(2)/25))/(LN(2)/25)*Calculateur!BL104*Calculateur!BN104*VLOOKUP('Données projet'!$B$11,Paramètres!$A$1:$I$89,3,0)*0.475*44/12</f>
        <v>1.3585829872416411</v>
      </c>
      <c r="BR104" s="21">
        <f>EXP(-LN(2)/2)*BR103+(1-EXP(-LN(2)/2))/(LN(2)/2)*BL104*BO104*VLOOKUP('Données projet'!$B$11,Paramètres!$A$1:$I$89,3,0)*0.475*44/12</f>
        <v>1.1789023243256281E-11</v>
      </c>
      <c r="BS104" s="22">
        <f t="shared" si="63"/>
        <v>13.449913103249649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>
        <f>BY104*VLOOKUP('Données projet'!$B$12,Paramètres!$A$1:$I$89,3,0)*VLOOKUP('Données projet'!$B$12,Paramètres!$A$1:$I$89,5,0)</f>
        <v>0</v>
      </c>
      <c r="CA104" s="13" t="e">
        <f t="shared" si="93"/>
        <v>#NUM!</v>
      </c>
      <c r="CB104" s="20" t="e">
        <f t="shared" si="64"/>
        <v>#NUM!</v>
      </c>
      <c r="CC104" s="59" t="e">
        <f t="shared" si="65"/>
        <v>#NUM!</v>
      </c>
      <c r="CD104" s="59">
        <f ca="1">AVERAGE(OFFSET($CC$3,0,0,'Données projet'!$E$12+1,1))-AVERAGE(OFFSET($H$3,0,0,'Données projet'!$E$12+1,1))</f>
        <v>112.82287576550925</v>
      </c>
      <c r="CE104" s="59">
        <f t="shared" si="94"/>
        <v>317.78570695363294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>
        <f>EXP(-LN(2)/35)*CK103+(1-EXP(-LN(2)/35))/(LN(2)/35)*CG104*CH104*VLOOKUP('Données projet'!$B$12,Paramètres!$A$1:$I$89,3,0)*0.475*44/12</f>
        <v>12.091330115996218</v>
      </c>
      <c r="CL104" s="21">
        <f>EXP(-LN(2)/25)*CL103+(1-EXP(-LN(2)/25))/(LN(2)/25)*Calculateur!CG104*Calculateur!CI104*VLOOKUP('Données projet'!$B$12,Paramètres!$A$1:$I$89,3,0)*0.475*44/12</f>
        <v>1.3585829872416411</v>
      </c>
      <c r="CM104" s="21">
        <f>EXP(-LN(2)/2)*CM103+(1-EXP(-LN(2)/2))/(LN(2)/2)*CG104*CJ104*VLOOKUP('Données projet'!$B$12,Paramètres!$A$1:$I$89,3,0)*0.475*44/12</f>
        <v>1.1789023243256281E-11</v>
      </c>
      <c r="CN104" s="22">
        <f t="shared" si="66"/>
        <v>13.449913103249649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5">
      <c r="A105" s="10">
        <f t="shared" si="85"/>
        <v>102</v>
      </c>
      <c r="B105" s="73">
        <f>'Scénario référence'!$B$16*5+'Scénario référence'!$B$17*0+'Scénario référence'!$B$18*5</f>
        <v>5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1">
        <f t="shared" si="86"/>
        <v>0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5" s="11">
        <f>IF(OR('Scénario référence'!$F$8&gt;0,'Scénario référence'!$F$9&gt;0),('Scénario référence'!$F$8+'Scénario référence'!$F$9)*10,0)</f>
        <v>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18.333333333333332</v>
      </c>
      <c r="H105" s="67">
        <f t="shared" si="56"/>
        <v>183.33333333333334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0</v>
      </c>
      <c r="O105" s="13">
        <f>N105*VLOOKUP('Données projet'!$B$9,Paramètres!$A$1:$I$89,3,0)*VLOOKUP('Données projet'!$B$9,Paramètres!$A$1:$I$89,5,0)</f>
        <v>0</v>
      </c>
      <c r="P105" s="13" t="e">
        <f t="shared" si="87"/>
        <v>#NUM!</v>
      </c>
      <c r="Q105" s="20" t="e">
        <f t="shared" si="107"/>
        <v>#NUM!</v>
      </c>
      <c r="R105" s="59" t="e">
        <f t="shared" si="55"/>
        <v>#NUM!</v>
      </c>
      <c r="S105" s="59">
        <f ca="1">AVERAGE(OFFSET($R$3,0,0,'Données projet'!$E$9+1,1))-AVERAGE(OFFSET($H$3,0,0,'Données projet'!$E$9+1,1))</f>
        <v>112.82287576550925</v>
      </c>
      <c r="T105" s="59">
        <f t="shared" si="88"/>
        <v>317.78570695363294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11.854226507404684</v>
      </c>
      <c r="AA105" s="21">
        <f>EXP(-LN(2)/25)*AA104+(1-EXP(-LN(2)/25))/(LN(2)/25)*Calculateur!V105*Calculateur!X105*VLOOKUP('Données projet'!$B$9,Paramètres!$A$1:$I$89,3,0)*0.475*44/12</f>
        <v>1.3214324640107442</v>
      </c>
      <c r="AB105" s="21">
        <f>EXP(-LN(2)/2)*AB104+(1-EXP(-LN(2)/2))/(LN(2)/2)*V105*Y105*VLOOKUP('Données projet'!$B$9,Paramètres!$A$1:$I$89,3,0)*0.475*44/12</f>
        <v>8.336098278872342E-12</v>
      </c>
      <c r="AC105" s="22">
        <f t="shared" si="57"/>
        <v>13.175658971423765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0</v>
      </c>
      <c r="AJ105" s="13">
        <f>AI105*VLOOKUP('Données projet'!$B$10,Paramètres!$A$1:$I$89,3,0)*VLOOKUP('Données projet'!$B$10,Paramètres!$A$1:$I$89,5,0)</f>
        <v>0</v>
      </c>
      <c r="AK105" s="13" t="e">
        <f t="shared" si="89"/>
        <v>#NUM!</v>
      </c>
      <c r="AL105" s="20" t="e">
        <f t="shared" si="58"/>
        <v>#NUM!</v>
      </c>
      <c r="AM105" s="59" t="e">
        <f t="shared" si="59"/>
        <v>#NUM!</v>
      </c>
      <c r="AN105" s="59">
        <f ca="1">AVERAGE(OFFSET($AM$3,0,0,'Données projet'!$E$10+1,1))-AVERAGE(OFFSET($H$3,0,0,'Données projet'!$E$10+1,1))</f>
        <v>112.82287576550925</v>
      </c>
      <c r="AO105" s="59">
        <f t="shared" si="90"/>
        <v>317.78570695363294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11.854226507404684</v>
      </c>
      <c r="AV105" s="21">
        <f>EXP(-LN(2)/25)*AV104+(1-EXP(-LN(2)/25))/(LN(2)/25)*Calculateur!AQ105*Calculateur!AS105*VLOOKUP('Données projet'!$B$10,Paramètres!$A$1:$I$89,3,0)*0.475*44/12</f>
        <v>1.3214324640107442</v>
      </c>
      <c r="AW105" s="21">
        <f>EXP(-LN(2)/2)*AW104+(1-EXP(-LN(2)/2))/(LN(2)/2)*AQ105*AT105*VLOOKUP('Données projet'!$B$10,Paramètres!$A$1:$I$89,3,0)*0.475*44/12</f>
        <v>8.336098278872342E-12</v>
      </c>
      <c r="AX105" s="21">
        <f t="shared" si="60"/>
        <v>13.175658971423765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0</v>
      </c>
      <c r="BE105" s="13">
        <f>BD105*VLOOKUP('Données projet'!$B$11,Paramètres!$A$1:$I$89,3,0)*VLOOKUP('Données projet'!$B$11,Paramètres!$A$1:$I$89,5,0)</f>
        <v>0</v>
      </c>
      <c r="BF105" s="13" t="e">
        <f t="shared" si="91"/>
        <v>#NUM!</v>
      </c>
      <c r="BG105" s="20" t="e">
        <f t="shared" si="61"/>
        <v>#NUM!</v>
      </c>
      <c r="BH105" s="59" t="e">
        <f t="shared" si="62"/>
        <v>#NUM!</v>
      </c>
      <c r="BI105" s="59">
        <f ca="1">AVERAGE(OFFSET($BH$3,0,0,'Données projet'!$E$11+1,1))-AVERAGE(OFFSET($H$3,0,0,'Données projet'!$E$11+1,1))</f>
        <v>112.82287576550925</v>
      </c>
      <c r="BJ105" s="59">
        <f t="shared" si="92"/>
        <v>317.78570695363294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11.854226507404684</v>
      </c>
      <c r="BQ105" s="21">
        <f>EXP(-LN(2)/25)*BQ104+(1-EXP(-LN(2)/25))/(LN(2)/25)*Calculateur!BL105*Calculateur!BN105*VLOOKUP('Données projet'!$B$11,Paramètres!$A$1:$I$89,3,0)*0.475*44/12</f>
        <v>1.3214324640107442</v>
      </c>
      <c r="BR105" s="21">
        <f>EXP(-LN(2)/2)*BR104+(1-EXP(-LN(2)/2))/(LN(2)/2)*BL105*BO105*VLOOKUP('Données projet'!$B$11,Paramètres!$A$1:$I$89,3,0)*0.475*44/12</f>
        <v>8.336098278872342E-12</v>
      </c>
      <c r="BS105" s="22">
        <f t="shared" si="63"/>
        <v>13.175658971423765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>
        <f>BY105*VLOOKUP('Données projet'!$B$12,Paramètres!$A$1:$I$89,3,0)*VLOOKUP('Données projet'!$B$12,Paramètres!$A$1:$I$89,5,0)</f>
        <v>0</v>
      </c>
      <c r="CA105" s="13" t="e">
        <f t="shared" si="93"/>
        <v>#NUM!</v>
      </c>
      <c r="CB105" s="20" t="e">
        <f t="shared" si="64"/>
        <v>#NUM!</v>
      </c>
      <c r="CC105" s="59" t="e">
        <f t="shared" si="65"/>
        <v>#NUM!</v>
      </c>
      <c r="CD105" s="59">
        <f ca="1">AVERAGE(OFFSET($CC$3,0,0,'Données projet'!$E$12+1,1))-AVERAGE(OFFSET($H$3,0,0,'Données projet'!$E$12+1,1))</f>
        <v>112.82287576550925</v>
      </c>
      <c r="CE105" s="59">
        <f t="shared" si="94"/>
        <v>317.78570695363294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>
        <f>EXP(-LN(2)/35)*CK104+(1-EXP(-LN(2)/35))/(LN(2)/35)*CG105*CH105*VLOOKUP('Données projet'!$B$12,Paramètres!$A$1:$I$89,3,0)*0.475*44/12</f>
        <v>11.854226507404684</v>
      </c>
      <c r="CL105" s="21">
        <f>EXP(-LN(2)/25)*CL104+(1-EXP(-LN(2)/25))/(LN(2)/25)*Calculateur!CG105*Calculateur!CI105*VLOOKUP('Données projet'!$B$12,Paramètres!$A$1:$I$89,3,0)*0.475*44/12</f>
        <v>1.3214324640107442</v>
      </c>
      <c r="CM105" s="21">
        <f>EXP(-LN(2)/2)*CM104+(1-EXP(-LN(2)/2))/(LN(2)/2)*CG105*CJ105*VLOOKUP('Données projet'!$B$12,Paramètres!$A$1:$I$89,3,0)*0.475*44/12</f>
        <v>8.336098278872342E-12</v>
      </c>
      <c r="CN105" s="22">
        <f t="shared" si="66"/>
        <v>13.175658971423765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5">
      <c r="A106" s="10">
        <f t="shared" si="85"/>
        <v>103</v>
      </c>
      <c r="B106" s="73">
        <f>'Scénario référence'!$B$16*5+'Scénario référence'!$B$17*0+'Scénario référence'!$B$18*5</f>
        <v>5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1">
        <f t="shared" si="86"/>
        <v>0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6" s="11">
        <f>IF(OR('Scénario référence'!$F$8&gt;0,'Scénario référence'!$F$9&gt;0),('Scénario référence'!$F$8+'Scénario référence'!$F$9)*10,0)</f>
        <v>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18.333333333333332</v>
      </c>
      <c r="H106" s="67">
        <f t="shared" si="56"/>
        <v>183.33333333333334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0</v>
      </c>
      <c r="O106" s="13">
        <f>N106*VLOOKUP('Données projet'!$B$9,Paramètres!$A$1:$I$89,3,0)*VLOOKUP('Données projet'!$B$9,Paramètres!$A$1:$I$89,5,0)</f>
        <v>0</v>
      </c>
      <c r="P106" s="13" t="e">
        <f t="shared" si="87"/>
        <v>#NUM!</v>
      </c>
      <c r="Q106" s="20" t="e">
        <f t="shared" si="107"/>
        <v>#NUM!</v>
      </c>
      <c r="R106" s="59" t="e">
        <f t="shared" si="55"/>
        <v>#NUM!</v>
      </c>
      <c r="S106" s="59">
        <f ca="1">AVERAGE(OFFSET($R$3,0,0,'Données projet'!$E$9+1,1))-AVERAGE(OFFSET($H$3,0,0,'Données projet'!$E$9+1,1))</f>
        <v>112.82287576550925</v>
      </c>
      <c r="T106" s="59">
        <f t="shared" si="88"/>
        <v>317.78570695363294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11.621772355958708</v>
      </c>
      <c r="AA106" s="21">
        <f>EXP(-LN(2)/25)*AA105+(1-EXP(-LN(2)/25))/(LN(2)/25)*Calculateur!V106*Calculateur!X106*VLOOKUP('Données projet'!$B$9,Paramètres!$A$1:$I$89,3,0)*0.475*44/12</f>
        <v>1.2852978237912573</v>
      </c>
      <c r="AB106" s="21">
        <f>EXP(-LN(2)/2)*AB105+(1-EXP(-LN(2)/2))/(LN(2)/2)*V106*Y106*VLOOKUP('Données projet'!$B$9,Paramètres!$A$1:$I$89,3,0)*0.475*44/12</f>
        <v>5.8945116216281406E-12</v>
      </c>
      <c r="AC106" s="22">
        <f t="shared" si="57"/>
        <v>12.907070179755859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0</v>
      </c>
      <c r="AJ106" s="13">
        <f>AI106*VLOOKUP('Données projet'!$B$10,Paramètres!$A$1:$I$89,3,0)*VLOOKUP('Données projet'!$B$10,Paramètres!$A$1:$I$89,5,0)</f>
        <v>0</v>
      </c>
      <c r="AK106" s="13" t="e">
        <f t="shared" si="89"/>
        <v>#NUM!</v>
      </c>
      <c r="AL106" s="20" t="e">
        <f t="shared" si="58"/>
        <v>#NUM!</v>
      </c>
      <c r="AM106" s="59" t="e">
        <f t="shared" si="59"/>
        <v>#NUM!</v>
      </c>
      <c r="AN106" s="59">
        <f ca="1">AVERAGE(OFFSET($AM$3,0,0,'Données projet'!$E$10+1,1))-AVERAGE(OFFSET($H$3,0,0,'Données projet'!$E$10+1,1))</f>
        <v>112.82287576550925</v>
      </c>
      <c r="AO106" s="59">
        <f t="shared" si="90"/>
        <v>317.78570695363294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11.621772355958708</v>
      </c>
      <c r="AV106" s="21">
        <f>EXP(-LN(2)/25)*AV105+(1-EXP(-LN(2)/25))/(LN(2)/25)*Calculateur!AQ106*Calculateur!AS106*VLOOKUP('Données projet'!$B$10,Paramètres!$A$1:$I$89,3,0)*0.475*44/12</f>
        <v>1.2852978237912573</v>
      </c>
      <c r="AW106" s="21">
        <f>EXP(-LN(2)/2)*AW105+(1-EXP(-LN(2)/2))/(LN(2)/2)*AQ106*AT106*VLOOKUP('Données projet'!$B$10,Paramètres!$A$1:$I$89,3,0)*0.475*44/12</f>
        <v>5.8945116216281406E-12</v>
      </c>
      <c r="AX106" s="21">
        <f t="shared" si="60"/>
        <v>12.907070179755859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0</v>
      </c>
      <c r="BE106" s="13">
        <f>BD106*VLOOKUP('Données projet'!$B$11,Paramètres!$A$1:$I$89,3,0)*VLOOKUP('Données projet'!$B$11,Paramètres!$A$1:$I$89,5,0)</f>
        <v>0</v>
      </c>
      <c r="BF106" s="13" t="e">
        <f t="shared" si="91"/>
        <v>#NUM!</v>
      </c>
      <c r="BG106" s="20" t="e">
        <f t="shared" si="61"/>
        <v>#NUM!</v>
      </c>
      <c r="BH106" s="59" t="e">
        <f t="shared" si="62"/>
        <v>#NUM!</v>
      </c>
      <c r="BI106" s="59">
        <f ca="1">AVERAGE(OFFSET($BH$3,0,0,'Données projet'!$E$11+1,1))-AVERAGE(OFFSET($H$3,0,0,'Données projet'!$E$11+1,1))</f>
        <v>112.82287576550925</v>
      </c>
      <c r="BJ106" s="59">
        <f t="shared" si="92"/>
        <v>317.78570695363294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11.621772355958708</v>
      </c>
      <c r="BQ106" s="21">
        <f>EXP(-LN(2)/25)*BQ105+(1-EXP(-LN(2)/25))/(LN(2)/25)*Calculateur!BL106*Calculateur!BN106*VLOOKUP('Données projet'!$B$11,Paramètres!$A$1:$I$89,3,0)*0.475*44/12</f>
        <v>1.2852978237912573</v>
      </c>
      <c r="BR106" s="21">
        <f>EXP(-LN(2)/2)*BR105+(1-EXP(-LN(2)/2))/(LN(2)/2)*BL106*BO106*VLOOKUP('Données projet'!$B$11,Paramètres!$A$1:$I$89,3,0)*0.475*44/12</f>
        <v>5.8945116216281406E-12</v>
      </c>
      <c r="BS106" s="22">
        <f t="shared" si="63"/>
        <v>12.907070179755859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>
        <f>BY106*VLOOKUP('Données projet'!$B$12,Paramètres!$A$1:$I$89,3,0)*VLOOKUP('Données projet'!$B$12,Paramètres!$A$1:$I$89,5,0)</f>
        <v>0</v>
      </c>
      <c r="CA106" s="13" t="e">
        <f t="shared" si="93"/>
        <v>#NUM!</v>
      </c>
      <c r="CB106" s="20" t="e">
        <f t="shared" si="64"/>
        <v>#NUM!</v>
      </c>
      <c r="CC106" s="59" t="e">
        <f t="shared" si="65"/>
        <v>#NUM!</v>
      </c>
      <c r="CD106" s="59">
        <f ca="1">AVERAGE(OFFSET($CC$3,0,0,'Données projet'!$E$12+1,1))-AVERAGE(OFFSET($H$3,0,0,'Données projet'!$E$12+1,1))</f>
        <v>112.82287576550925</v>
      </c>
      <c r="CE106" s="59">
        <f t="shared" si="94"/>
        <v>317.78570695363294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>
        <f>EXP(-LN(2)/35)*CK105+(1-EXP(-LN(2)/35))/(LN(2)/35)*CG106*CH106*VLOOKUP('Données projet'!$B$12,Paramètres!$A$1:$I$89,3,0)*0.475*44/12</f>
        <v>11.621772355958708</v>
      </c>
      <c r="CL106" s="21">
        <f>EXP(-LN(2)/25)*CL105+(1-EXP(-LN(2)/25))/(LN(2)/25)*Calculateur!CG106*Calculateur!CI106*VLOOKUP('Données projet'!$B$12,Paramètres!$A$1:$I$89,3,0)*0.475*44/12</f>
        <v>1.2852978237912573</v>
      </c>
      <c r="CM106" s="21">
        <f>EXP(-LN(2)/2)*CM105+(1-EXP(-LN(2)/2))/(LN(2)/2)*CG106*CJ106*VLOOKUP('Données projet'!$B$12,Paramètres!$A$1:$I$89,3,0)*0.475*44/12</f>
        <v>5.8945116216281406E-12</v>
      </c>
      <c r="CN106" s="22">
        <f t="shared" si="66"/>
        <v>12.907070179755859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5">
      <c r="A107" s="10">
        <f t="shared" si="85"/>
        <v>104</v>
      </c>
      <c r="B107" s="73">
        <f>'Scénario référence'!$B$16*5+'Scénario référence'!$B$17*0+'Scénario référence'!$B$18*5</f>
        <v>5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1">
        <f t="shared" si="86"/>
        <v>0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7" s="11">
        <f>IF(OR('Scénario référence'!$F$8&gt;0,'Scénario référence'!$F$9&gt;0),('Scénario référence'!$F$8+'Scénario référence'!$F$9)*10,0)</f>
        <v>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18.333333333333332</v>
      </c>
      <c r="H107" s="67">
        <f t="shared" si="56"/>
        <v>183.33333333333334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0</v>
      </c>
      <c r="O107" s="13">
        <f>N107*VLOOKUP('Données projet'!$B$9,Paramètres!$A$1:$I$89,3,0)*VLOOKUP('Données projet'!$B$9,Paramètres!$A$1:$I$89,5,0)</f>
        <v>0</v>
      </c>
      <c r="P107" s="13" t="e">
        <f t="shared" si="87"/>
        <v>#NUM!</v>
      </c>
      <c r="Q107" s="20" t="e">
        <f t="shared" si="107"/>
        <v>#NUM!</v>
      </c>
      <c r="R107" s="59" t="e">
        <f t="shared" si="55"/>
        <v>#NUM!</v>
      </c>
      <c r="S107" s="59">
        <f ca="1">AVERAGE(OFFSET($R$3,0,0,'Données projet'!$E$9+1,1))-AVERAGE(OFFSET($H$3,0,0,'Données projet'!$E$9+1,1))</f>
        <v>112.82287576550925</v>
      </c>
      <c r="T107" s="59">
        <f t="shared" si="88"/>
        <v>317.78570695363294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11.393876488639556</v>
      </c>
      <c r="AA107" s="21">
        <f>EXP(-LN(2)/25)*AA106+(1-EXP(-LN(2)/25))/(LN(2)/25)*Calculateur!V107*Calculateur!X107*VLOOKUP('Données projet'!$B$9,Paramètres!$A$1:$I$89,3,0)*0.475*44/12</f>
        <v>1.2501512872088105</v>
      </c>
      <c r="AB107" s="21">
        <f>EXP(-LN(2)/2)*AB106+(1-EXP(-LN(2)/2))/(LN(2)/2)*V107*Y107*VLOOKUP('Données projet'!$B$9,Paramètres!$A$1:$I$89,3,0)*0.475*44/12</f>
        <v>4.168049139436171E-12</v>
      </c>
      <c r="AC107" s="22">
        <f t="shared" si="57"/>
        <v>12.644027775852534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0</v>
      </c>
      <c r="AJ107" s="13">
        <f>AI107*VLOOKUP('Données projet'!$B$10,Paramètres!$A$1:$I$89,3,0)*VLOOKUP('Données projet'!$B$10,Paramètres!$A$1:$I$89,5,0)</f>
        <v>0</v>
      </c>
      <c r="AK107" s="13" t="e">
        <f t="shared" si="89"/>
        <v>#NUM!</v>
      </c>
      <c r="AL107" s="20" t="e">
        <f t="shared" si="58"/>
        <v>#NUM!</v>
      </c>
      <c r="AM107" s="59" t="e">
        <f t="shared" si="59"/>
        <v>#NUM!</v>
      </c>
      <c r="AN107" s="59">
        <f ca="1">AVERAGE(OFFSET($AM$3,0,0,'Données projet'!$E$10+1,1))-AVERAGE(OFFSET($H$3,0,0,'Données projet'!$E$10+1,1))</f>
        <v>112.82287576550925</v>
      </c>
      <c r="AO107" s="59">
        <f t="shared" si="90"/>
        <v>317.78570695363294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11.393876488639556</v>
      </c>
      <c r="AV107" s="21">
        <f>EXP(-LN(2)/25)*AV106+(1-EXP(-LN(2)/25))/(LN(2)/25)*Calculateur!AQ107*Calculateur!AS107*VLOOKUP('Données projet'!$B$10,Paramètres!$A$1:$I$89,3,0)*0.475*44/12</f>
        <v>1.2501512872088105</v>
      </c>
      <c r="AW107" s="21">
        <f>EXP(-LN(2)/2)*AW106+(1-EXP(-LN(2)/2))/(LN(2)/2)*AQ107*AT107*VLOOKUP('Données projet'!$B$10,Paramètres!$A$1:$I$89,3,0)*0.475*44/12</f>
        <v>4.168049139436171E-12</v>
      </c>
      <c r="AX107" s="21">
        <f t="shared" si="60"/>
        <v>12.644027775852534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0</v>
      </c>
      <c r="BE107" s="13">
        <f>BD107*VLOOKUP('Données projet'!$B$11,Paramètres!$A$1:$I$89,3,0)*VLOOKUP('Données projet'!$B$11,Paramètres!$A$1:$I$89,5,0)</f>
        <v>0</v>
      </c>
      <c r="BF107" s="13" t="e">
        <f t="shared" si="91"/>
        <v>#NUM!</v>
      </c>
      <c r="BG107" s="20" t="e">
        <f t="shared" si="61"/>
        <v>#NUM!</v>
      </c>
      <c r="BH107" s="59" t="e">
        <f t="shared" si="62"/>
        <v>#NUM!</v>
      </c>
      <c r="BI107" s="59">
        <f ca="1">AVERAGE(OFFSET($BH$3,0,0,'Données projet'!$E$11+1,1))-AVERAGE(OFFSET($H$3,0,0,'Données projet'!$E$11+1,1))</f>
        <v>112.82287576550925</v>
      </c>
      <c r="BJ107" s="59">
        <f t="shared" si="92"/>
        <v>317.78570695363294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11.393876488639556</v>
      </c>
      <c r="BQ107" s="21">
        <f>EXP(-LN(2)/25)*BQ106+(1-EXP(-LN(2)/25))/(LN(2)/25)*Calculateur!BL107*Calculateur!BN107*VLOOKUP('Données projet'!$B$11,Paramètres!$A$1:$I$89,3,0)*0.475*44/12</f>
        <v>1.2501512872088105</v>
      </c>
      <c r="BR107" s="21">
        <f>EXP(-LN(2)/2)*BR106+(1-EXP(-LN(2)/2))/(LN(2)/2)*BL107*BO107*VLOOKUP('Données projet'!$B$11,Paramètres!$A$1:$I$89,3,0)*0.475*44/12</f>
        <v>4.168049139436171E-12</v>
      </c>
      <c r="BS107" s="22">
        <f t="shared" si="63"/>
        <v>12.644027775852534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>
        <f>BY107*VLOOKUP('Données projet'!$B$12,Paramètres!$A$1:$I$89,3,0)*VLOOKUP('Données projet'!$B$12,Paramètres!$A$1:$I$89,5,0)</f>
        <v>0</v>
      </c>
      <c r="CA107" s="13" t="e">
        <f t="shared" si="93"/>
        <v>#NUM!</v>
      </c>
      <c r="CB107" s="20" t="e">
        <f t="shared" si="64"/>
        <v>#NUM!</v>
      </c>
      <c r="CC107" s="59" t="e">
        <f t="shared" si="65"/>
        <v>#NUM!</v>
      </c>
      <c r="CD107" s="59">
        <f ca="1">AVERAGE(OFFSET($CC$3,0,0,'Données projet'!$E$12+1,1))-AVERAGE(OFFSET($H$3,0,0,'Données projet'!$E$12+1,1))</f>
        <v>112.82287576550925</v>
      </c>
      <c r="CE107" s="59">
        <f t="shared" si="94"/>
        <v>317.78570695363294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>
        <f>EXP(-LN(2)/35)*CK106+(1-EXP(-LN(2)/35))/(LN(2)/35)*CG107*CH107*VLOOKUP('Données projet'!$B$12,Paramètres!$A$1:$I$89,3,0)*0.475*44/12</f>
        <v>11.393876488639556</v>
      </c>
      <c r="CL107" s="21">
        <f>EXP(-LN(2)/25)*CL106+(1-EXP(-LN(2)/25))/(LN(2)/25)*Calculateur!CG107*Calculateur!CI107*VLOOKUP('Données projet'!$B$12,Paramètres!$A$1:$I$89,3,0)*0.475*44/12</f>
        <v>1.2501512872088105</v>
      </c>
      <c r="CM107" s="21">
        <f>EXP(-LN(2)/2)*CM106+(1-EXP(-LN(2)/2))/(LN(2)/2)*CG107*CJ107*VLOOKUP('Données projet'!$B$12,Paramètres!$A$1:$I$89,3,0)*0.475*44/12</f>
        <v>4.168049139436171E-12</v>
      </c>
      <c r="CN107" s="22">
        <f t="shared" si="66"/>
        <v>12.644027775852534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5">
      <c r="A108" s="10">
        <f t="shared" si="85"/>
        <v>105</v>
      </c>
      <c r="B108" s="73">
        <f>'Scénario référence'!$B$16*5+'Scénario référence'!$B$17*0+'Scénario référence'!$B$18*5</f>
        <v>5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1">
        <f t="shared" si="86"/>
        <v>0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8" s="11">
        <f>IF(OR('Scénario référence'!$F$8&gt;0,'Scénario référence'!$F$9&gt;0),('Scénario référence'!$F$8+'Scénario référence'!$F$9)*10,0)</f>
        <v>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18.333333333333332</v>
      </c>
      <c r="H108" s="67">
        <f t="shared" si="56"/>
        <v>183.33333333333334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0</v>
      </c>
      <c r="O108" s="13">
        <f>N108*VLOOKUP('Données projet'!$B$9,Paramètres!$A$1:$I$89,3,0)*VLOOKUP('Données projet'!$B$9,Paramètres!$A$1:$I$89,5,0)</f>
        <v>0</v>
      </c>
      <c r="P108" s="13" t="e">
        <f t="shared" si="87"/>
        <v>#NUM!</v>
      </c>
      <c r="Q108" s="20" t="e">
        <f t="shared" si="107"/>
        <v>#NUM!</v>
      </c>
      <c r="R108" s="59" t="e">
        <f t="shared" si="55"/>
        <v>#NUM!</v>
      </c>
      <c r="S108" s="59">
        <f ca="1">AVERAGE(OFFSET($R$3,0,0,'Données projet'!$E$9+1,1))-AVERAGE(OFFSET($H$3,0,0,'Données projet'!$E$9+1,1))</f>
        <v>112.82287576550925</v>
      </c>
      <c r="T108" s="59">
        <f t="shared" si="88"/>
        <v>317.78570695363294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11.170449520275779</v>
      </c>
      <c r="AA108" s="21">
        <f>EXP(-LN(2)/25)*AA107+(1-EXP(-LN(2)/25))/(LN(2)/25)*Calculateur!V108*Calculateur!X108*VLOOKUP('Données projet'!$B$9,Paramètres!$A$1:$I$89,3,0)*0.475*44/12</f>
        <v>1.2159658345174866</v>
      </c>
      <c r="AB108" s="21">
        <f>EXP(-LN(2)/2)*AB107+(1-EXP(-LN(2)/2))/(LN(2)/2)*V108*Y108*VLOOKUP('Données projet'!$B$9,Paramètres!$A$1:$I$89,3,0)*0.475*44/12</f>
        <v>2.9472558108140703E-12</v>
      </c>
      <c r="AC108" s="22">
        <f t="shared" si="57"/>
        <v>12.386415354796213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0</v>
      </c>
      <c r="AJ108" s="13">
        <f>AI108*VLOOKUP('Données projet'!$B$10,Paramètres!$A$1:$I$89,3,0)*VLOOKUP('Données projet'!$B$10,Paramètres!$A$1:$I$89,5,0)</f>
        <v>0</v>
      </c>
      <c r="AK108" s="13" t="e">
        <f t="shared" si="89"/>
        <v>#NUM!</v>
      </c>
      <c r="AL108" s="20" t="e">
        <f t="shared" si="58"/>
        <v>#NUM!</v>
      </c>
      <c r="AM108" s="59" t="e">
        <f t="shared" si="59"/>
        <v>#NUM!</v>
      </c>
      <c r="AN108" s="59">
        <f ca="1">AVERAGE(OFFSET($AM$3,0,0,'Données projet'!$E$10+1,1))-AVERAGE(OFFSET($H$3,0,0,'Données projet'!$E$10+1,1))</f>
        <v>112.82287576550925</v>
      </c>
      <c r="AO108" s="59">
        <f t="shared" si="90"/>
        <v>317.78570695363294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11.170449520275779</v>
      </c>
      <c r="AV108" s="21">
        <f>EXP(-LN(2)/25)*AV107+(1-EXP(-LN(2)/25))/(LN(2)/25)*Calculateur!AQ108*Calculateur!AS108*VLOOKUP('Données projet'!$B$10,Paramètres!$A$1:$I$89,3,0)*0.475*44/12</f>
        <v>1.2159658345174866</v>
      </c>
      <c r="AW108" s="21">
        <f>EXP(-LN(2)/2)*AW107+(1-EXP(-LN(2)/2))/(LN(2)/2)*AQ108*AT108*VLOOKUP('Données projet'!$B$10,Paramètres!$A$1:$I$89,3,0)*0.475*44/12</f>
        <v>2.9472558108140703E-12</v>
      </c>
      <c r="AX108" s="21">
        <f t="shared" si="60"/>
        <v>12.386415354796213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0</v>
      </c>
      <c r="BE108" s="13">
        <f>BD108*VLOOKUP('Données projet'!$B$11,Paramètres!$A$1:$I$89,3,0)*VLOOKUP('Données projet'!$B$11,Paramètres!$A$1:$I$89,5,0)</f>
        <v>0</v>
      </c>
      <c r="BF108" s="13" t="e">
        <f t="shared" si="91"/>
        <v>#NUM!</v>
      </c>
      <c r="BG108" s="20" t="e">
        <f t="shared" si="61"/>
        <v>#NUM!</v>
      </c>
      <c r="BH108" s="59" t="e">
        <f t="shared" si="62"/>
        <v>#NUM!</v>
      </c>
      <c r="BI108" s="59">
        <f ca="1">AVERAGE(OFFSET($BH$3,0,0,'Données projet'!$E$11+1,1))-AVERAGE(OFFSET($H$3,0,0,'Données projet'!$E$11+1,1))</f>
        <v>112.82287576550925</v>
      </c>
      <c r="BJ108" s="59">
        <f t="shared" si="92"/>
        <v>317.78570695363294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11.170449520275779</v>
      </c>
      <c r="BQ108" s="21">
        <f>EXP(-LN(2)/25)*BQ107+(1-EXP(-LN(2)/25))/(LN(2)/25)*Calculateur!BL108*Calculateur!BN108*VLOOKUP('Données projet'!$B$11,Paramètres!$A$1:$I$89,3,0)*0.475*44/12</f>
        <v>1.2159658345174866</v>
      </c>
      <c r="BR108" s="21">
        <f>EXP(-LN(2)/2)*BR107+(1-EXP(-LN(2)/2))/(LN(2)/2)*BL108*BO108*VLOOKUP('Données projet'!$B$11,Paramètres!$A$1:$I$89,3,0)*0.475*44/12</f>
        <v>2.9472558108140703E-12</v>
      </c>
      <c r="BS108" s="22">
        <f t="shared" si="63"/>
        <v>12.386415354796213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>
        <f>BY108*VLOOKUP('Données projet'!$B$12,Paramètres!$A$1:$I$89,3,0)*VLOOKUP('Données projet'!$B$12,Paramètres!$A$1:$I$89,5,0)</f>
        <v>0</v>
      </c>
      <c r="CA108" s="13" t="e">
        <f t="shared" si="93"/>
        <v>#NUM!</v>
      </c>
      <c r="CB108" s="20" t="e">
        <f t="shared" si="64"/>
        <v>#NUM!</v>
      </c>
      <c r="CC108" s="59" t="e">
        <f t="shared" si="65"/>
        <v>#NUM!</v>
      </c>
      <c r="CD108" s="59">
        <f ca="1">AVERAGE(OFFSET($CC$3,0,0,'Données projet'!$E$12+1,1))-AVERAGE(OFFSET($H$3,0,0,'Données projet'!$E$12+1,1))</f>
        <v>112.82287576550925</v>
      </c>
      <c r="CE108" s="59">
        <f t="shared" si="94"/>
        <v>317.78570695363294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>
        <f>EXP(-LN(2)/35)*CK107+(1-EXP(-LN(2)/35))/(LN(2)/35)*CG108*CH108*VLOOKUP('Données projet'!$B$12,Paramètres!$A$1:$I$89,3,0)*0.475*44/12</f>
        <v>11.170449520275779</v>
      </c>
      <c r="CL108" s="21">
        <f>EXP(-LN(2)/25)*CL107+(1-EXP(-LN(2)/25))/(LN(2)/25)*Calculateur!CG108*Calculateur!CI108*VLOOKUP('Données projet'!$B$12,Paramètres!$A$1:$I$89,3,0)*0.475*44/12</f>
        <v>1.2159658345174866</v>
      </c>
      <c r="CM108" s="21">
        <f>EXP(-LN(2)/2)*CM107+(1-EXP(-LN(2)/2))/(LN(2)/2)*CG108*CJ108*VLOOKUP('Données projet'!$B$12,Paramètres!$A$1:$I$89,3,0)*0.475*44/12</f>
        <v>2.9472558108140703E-12</v>
      </c>
      <c r="CN108" s="22">
        <f t="shared" si="66"/>
        <v>12.386415354796213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5">
      <c r="A109" s="10">
        <f t="shared" si="85"/>
        <v>106</v>
      </c>
      <c r="B109" s="73">
        <f>'Scénario référence'!$B$16*5+'Scénario référence'!$B$17*0+'Scénario référence'!$B$18*5</f>
        <v>5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1">
        <f t="shared" si="86"/>
        <v>0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9" s="11">
        <f>IF(OR('Scénario référence'!$F$8&gt;0,'Scénario référence'!$F$9&gt;0),('Scénario référence'!$F$8+'Scénario référence'!$F$9)*10,0)</f>
        <v>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18.333333333333332</v>
      </c>
      <c r="H109" s="67">
        <f t="shared" si="56"/>
        <v>183.33333333333334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0</v>
      </c>
      <c r="O109" s="13">
        <f>N109*VLOOKUP('Données projet'!$B$9,Paramètres!$A$1:$I$89,3,0)*VLOOKUP('Données projet'!$B$9,Paramètres!$A$1:$I$89,5,0)</f>
        <v>0</v>
      </c>
      <c r="P109" s="13" t="e">
        <f t="shared" si="87"/>
        <v>#NUM!</v>
      </c>
      <c r="Q109" s="20" t="e">
        <f t="shared" si="107"/>
        <v>#NUM!</v>
      </c>
      <c r="R109" s="59" t="e">
        <f t="shared" si="55"/>
        <v>#NUM!</v>
      </c>
      <c r="S109" s="59">
        <f ca="1">AVERAGE(OFFSET($R$3,0,0,'Données projet'!$E$9+1,1))-AVERAGE(OFFSET($H$3,0,0,'Données projet'!$E$9+1,1))</f>
        <v>112.82287576550925</v>
      </c>
      <c r="T109" s="59">
        <f t="shared" si="88"/>
        <v>317.78570695363294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10.951403818484621</v>
      </c>
      <c r="AA109" s="21">
        <f>EXP(-LN(2)/25)*AA108+(1-EXP(-LN(2)/25))/(LN(2)/25)*Calculateur!V109*Calculateur!X109*VLOOKUP('Données projet'!$B$9,Paramètres!$A$1:$I$89,3,0)*0.475*44/12</f>
        <v>1.182715184827742</v>
      </c>
      <c r="AB109" s="21">
        <f>EXP(-LN(2)/2)*AB108+(1-EXP(-LN(2)/2))/(LN(2)/2)*V109*Y109*VLOOKUP('Données projet'!$B$9,Paramètres!$A$1:$I$89,3,0)*0.475*44/12</f>
        <v>2.0840245697180855E-12</v>
      </c>
      <c r="AC109" s="22">
        <f t="shared" si="57"/>
        <v>12.134119003314447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0</v>
      </c>
      <c r="AJ109" s="13">
        <f>AI109*VLOOKUP('Données projet'!$B$10,Paramètres!$A$1:$I$89,3,0)*VLOOKUP('Données projet'!$B$10,Paramètres!$A$1:$I$89,5,0)</f>
        <v>0</v>
      </c>
      <c r="AK109" s="13" t="e">
        <f t="shared" si="89"/>
        <v>#NUM!</v>
      </c>
      <c r="AL109" s="20" t="e">
        <f t="shared" si="58"/>
        <v>#NUM!</v>
      </c>
      <c r="AM109" s="59" t="e">
        <f t="shared" si="59"/>
        <v>#NUM!</v>
      </c>
      <c r="AN109" s="59">
        <f ca="1">AVERAGE(OFFSET($AM$3,0,0,'Données projet'!$E$10+1,1))-AVERAGE(OFFSET($H$3,0,0,'Données projet'!$E$10+1,1))</f>
        <v>112.82287576550925</v>
      </c>
      <c r="AO109" s="59">
        <f t="shared" si="90"/>
        <v>317.78570695363294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10.951403818484621</v>
      </c>
      <c r="AV109" s="21">
        <f>EXP(-LN(2)/25)*AV108+(1-EXP(-LN(2)/25))/(LN(2)/25)*Calculateur!AQ109*Calculateur!AS109*VLOOKUP('Données projet'!$B$10,Paramètres!$A$1:$I$89,3,0)*0.475*44/12</f>
        <v>1.182715184827742</v>
      </c>
      <c r="AW109" s="21">
        <f>EXP(-LN(2)/2)*AW108+(1-EXP(-LN(2)/2))/(LN(2)/2)*AQ109*AT109*VLOOKUP('Données projet'!$B$10,Paramètres!$A$1:$I$89,3,0)*0.475*44/12</f>
        <v>2.0840245697180855E-12</v>
      </c>
      <c r="AX109" s="21">
        <f t="shared" si="60"/>
        <v>12.134119003314447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0</v>
      </c>
      <c r="BE109" s="13">
        <f>BD109*VLOOKUP('Données projet'!$B$11,Paramètres!$A$1:$I$89,3,0)*VLOOKUP('Données projet'!$B$11,Paramètres!$A$1:$I$89,5,0)</f>
        <v>0</v>
      </c>
      <c r="BF109" s="13" t="e">
        <f t="shared" si="91"/>
        <v>#NUM!</v>
      </c>
      <c r="BG109" s="20" t="e">
        <f t="shared" si="61"/>
        <v>#NUM!</v>
      </c>
      <c r="BH109" s="59" t="e">
        <f t="shared" si="62"/>
        <v>#NUM!</v>
      </c>
      <c r="BI109" s="59">
        <f ca="1">AVERAGE(OFFSET($BH$3,0,0,'Données projet'!$E$11+1,1))-AVERAGE(OFFSET($H$3,0,0,'Données projet'!$E$11+1,1))</f>
        <v>112.82287576550925</v>
      </c>
      <c r="BJ109" s="59">
        <f t="shared" si="92"/>
        <v>317.78570695363294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10.951403818484621</v>
      </c>
      <c r="BQ109" s="21">
        <f>EXP(-LN(2)/25)*BQ108+(1-EXP(-LN(2)/25))/(LN(2)/25)*Calculateur!BL109*Calculateur!BN109*VLOOKUP('Données projet'!$B$11,Paramètres!$A$1:$I$89,3,0)*0.475*44/12</f>
        <v>1.182715184827742</v>
      </c>
      <c r="BR109" s="21">
        <f>EXP(-LN(2)/2)*BR108+(1-EXP(-LN(2)/2))/(LN(2)/2)*BL109*BO109*VLOOKUP('Données projet'!$B$11,Paramètres!$A$1:$I$89,3,0)*0.475*44/12</f>
        <v>2.0840245697180855E-12</v>
      </c>
      <c r="BS109" s="22">
        <f t="shared" si="63"/>
        <v>12.134119003314447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>
        <f>BY109*VLOOKUP('Données projet'!$B$12,Paramètres!$A$1:$I$89,3,0)*VLOOKUP('Données projet'!$B$12,Paramètres!$A$1:$I$89,5,0)</f>
        <v>0</v>
      </c>
      <c r="CA109" s="13" t="e">
        <f t="shared" si="93"/>
        <v>#NUM!</v>
      </c>
      <c r="CB109" s="20" t="e">
        <f t="shared" si="64"/>
        <v>#NUM!</v>
      </c>
      <c r="CC109" s="59" t="e">
        <f t="shared" si="65"/>
        <v>#NUM!</v>
      </c>
      <c r="CD109" s="59">
        <f ca="1">AVERAGE(OFFSET($CC$3,0,0,'Données projet'!$E$12+1,1))-AVERAGE(OFFSET($H$3,0,0,'Données projet'!$E$12+1,1))</f>
        <v>112.82287576550925</v>
      </c>
      <c r="CE109" s="59">
        <f t="shared" si="94"/>
        <v>317.78570695363294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>
        <f>EXP(-LN(2)/35)*CK108+(1-EXP(-LN(2)/35))/(LN(2)/35)*CG109*CH109*VLOOKUP('Données projet'!$B$12,Paramètres!$A$1:$I$89,3,0)*0.475*44/12</f>
        <v>10.951403818484621</v>
      </c>
      <c r="CL109" s="21">
        <f>EXP(-LN(2)/25)*CL108+(1-EXP(-LN(2)/25))/(LN(2)/25)*Calculateur!CG109*Calculateur!CI109*VLOOKUP('Données projet'!$B$12,Paramètres!$A$1:$I$89,3,0)*0.475*44/12</f>
        <v>1.182715184827742</v>
      </c>
      <c r="CM109" s="21">
        <f>EXP(-LN(2)/2)*CM108+(1-EXP(-LN(2)/2))/(LN(2)/2)*CG109*CJ109*VLOOKUP('Données projet'!$B$12,Paramètres!$A$1:$I$89,3,0)*0.475*44/12</f>
        <v>2.0840245697180855E-12</v>
      </c>
      <c r="CN109" s="22">
        <f t="shared" si="66"/>
        <v>12.134119003314447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5">
      <c r="A110" s="10">
        <f t="shared" si="85"/>
        <v>107</v>
      </c>
      <c r="B110" s="73">
        <f>'Scénario référence'!$B$16*5+'Scénario référence'!$B$17*0+'Scénario référence'!$B$18*5</f>
        <v>5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1">
        <f t="shared" si="86"/>
        <v>0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0" s="11">
        <f>IF(OR('Scénario référence'!$F$8&gt;0,'Scénario référence'!$F$9&gt;0),('Scénario référence'!$F$8+'Scénario référence'!$F$9)*10,0)</f>
        <v>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18.333333333333332</v>
      </c>
      <c r="H110" s="67">
        <f t="shared" si="56"/>
        <v>183.33333333333334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0</v>
      </c>
      <c r="O110" s="13">
        <f>N110*VLOOKUP('Données projet'!$B$9,Paramètres!$A$1:$I$89,3,0)*VLOOKUP('Données projet'!$B$9,Paramètres!$A$1:$I$89,5,0)</f>
        <v>0</v>
      </c>
      <c r="P110" s="13" t="e">
        <f t="shared" si="87"/>
        <v>#NUM!</v>
      </c>
      <c r="Q110" s="20" t="e">
        <f t="shared" si="107"/>
        <v>#NUM!</v>
      </c>
      <c r="R110" s="59" t="e">
        <f t="shared" si="55"/>
        <v>#NUM!</v>
      </c>
      <c r="S110" s="59">
        <f ca="1">AVERAGE(OFFSET($R$3,0,0,'Données projet'!$E$9+1,1))-AVERAGE(OFFSET($H$3,0,0,'Données projet'!$E$9+1,1))</f>
        <v>112.82287576550925</v>
      </c>
      <c r="T110" s="59">
        <f t="shared" si="88"/>
        <v>317.78570695363294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10.736653469300903</v>
      </c>
      <c r="AA110" s="21">
        <f>EXP(-LN(2)/25)*AA109+(1-EXP(-LN(2)/25))/(LN(2)/25)*Calculateur!V110*Calculateur!X110*VLOOKUP('Données projet'!$B$9,Paramètres!$A$1:$I$89,3,0)*0.475*44/12</f>
        <v>1.1503737759023389</v>
      </c>
      <c r="AB110" s="21">
        <f>EXP(-LN(2)/2)*AB109+(1-EXP(-LN(2)/2))/(LN(2)/2)*V110*Y110*VLOOKUP('Données projet'!$B$9,Paramètres!$A$1:$I$89,3,0)*0.475*44/12</f>
        <v>1.4736279054070352E-12</v>
      </c>
      <c r="AC110" s="22">
        <f t="shared" si="57"/>
        <v>11.887027245204717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0</v>
      </c>
      <c r="AJ110" s="13">
        <f>AI110*VLOOKUP('Données projet'!$B$10,Paramètres!$A$1:$I$89,3,0)*VLOOKUP('Données projet'!$B$10,Paramètres!$A$1:$I$89,5,0)</f>
        <v>0</v>
      </c>
      <c r="AK110" s="13" t="e">
        <f t="shared" si="89"/>
        <v>#NUM!</v>
      </c>
      <c r="AL110" s="20" t="e">
        <f t="shared" si="58"/>
        <v>#NUM!</v>
      </c>
      <c r="AM110" s="59" t="e">
        <f t="shared" si="59"/>
        <v>#NUM!</v>
      </c>
      <c r="AN110" s="59">
        <f ca="1">AVERAGE(OFFSET($AM$3,0,0,'Données projet'!$E$10+1,1))-AVERAGE(OFFSET($H$3,0,0,'Données projet'!$E$10+1,1))</f>
        <v>112.82287576550925</v>
      </c>
      <c r="AO110" s="59">
        <f t="shared" si="90"/>
        <v>317.78570695363294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10.736653469300903</v>
      </c>
      <c r="AV110" s="21">
        <f>EXP(-LN(2)/25)*AV109+(1-EXP(-LN(2)/25))/(LN(2)/25)*Calculateur!AQ110*Calculateur!AS110*VLOOKUP('Données projet'!$B$10,Paramètres!$A$1:$I$89,3,0)*0.475*44/12</f>
        <v>1.1503737759023389</v>
      </c>
      <c r="AW110" s="21">
        <f>EXP(-LN(2)/2)*AW109+(1-EXP(-LN(2)/2))/(LN(2)/2)*AQ110*AT110*VLOOKUP('Données projet'!$B$10,Paramètres!$A$1:$I$89,3,0)*0.475*44/12</f>
        <v>1.4736279054070352E-12</v>
      </c>
      <c r="AX110" s="21">
        <f t="shared" si="60"/>
        <v>11.887027245204717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0</v>
      </c>
      <c r="BE110" s="13">
        <f>BD110*VLOOKUP('Données projet'!$B$11,Paramètres!$A$1:$I$89,3,0)*VLOOKUP('Données projet'!$B$11,Paramètres!$A$1:$I$89,5,0)</f>
        <v>0</v>
      </c>
      <c r="BF110" s="13" t="e">
        <f t="shared" si="91"/>
        <v>#NUM!</v>
      </c>
      <c r="BG110" s="20" t="e">
        <f t="shared" si="61"/>
        <v>#NUM!</v>
      </c>
      <c r="BH110" s="59" t="e">
        <f t="shared" si="62"/>
        <v>#NUM!</v>
      </c>
      <c r="BI110" s="59">
        <f ca="1">AVERAGE(OFFSET($BH$3,0,0,'Données projet'!$E$11+1,1))-AVERAGE(OFFSET($H$3,0,0,'Données projet'!$E$11+1,1))</f>
        <v>112.82287576550925</v>
      </c>
      <c r="BJ110" s="59">
        <f t="shared" si="92"/>
        <v>317.78570695363294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10.736653469300903</v>
      </c>
      <c r="BQ110" s="21">
        <f>EXP(-LN(2)/25)*BQ109+(1-EXP(-LN(2)/25))/(LN(2)/25)*Calculateur!BL110*Calculateur!BN110*VLOOKUP('Données projet'!$B$11,Paramètres!$A$1:$I$89,3,0)*0.475*44/12</f>
        <v>1.1503737759023389</v>
      </c>
      <c r="BR110" s="21">
        <f>EXP(-LN(2)/2)*BR109+(1-EXP(-LN(2)/2))/(LN(2)/2)*BL110*BO110*VLOOKUP('Données projet'!$B$11,Paramètres!$A$1:$I$89,3,0)*0.475*44/12</f>
        <v>1.4736279054070352E-12</v>
      </c>
      <c r="BS110" s="22">
        <f t="shared" si="63"/>
        <v>11.887027245204717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>
        <f>BY110*VLOOKUP('Données projet'!$B$12,Paramètres!$A$1:$I$89,3,0)*VLOOKUP('Données projet'!$B$12,Paramètres!$A$1:$I$89,5,0)</f>
        <v>0</v>
      </c>
      <c r="CA110" s="13" t="e">
        <f t="shared" si="93"/>
        <v>#NUM!</v>
      </c>
      <c r="CB110" s="20" t="e">
        <f t="shared" si="64"/>
        <v>#NUM!</v>
      </c>
      <c r="CC110" s="59" t="e">
        <f t="shared" si="65"/>
        <v>#NUM!</v>
      </c>
      <c r="CD110" s="59">
        <f ca="1">AVERAGE(OFFSET($CC$3,0,0,'Données projet'!$E$12+1,1))-AVERAGE(OFFSET($H$3,0,0,'Données projet'!$E$12+1,1))</f>
        <v>112.82287576550925</v>
      </c>
      <c r="CE110" s="59">
        <f t="shared" si="94"/>
        <v>317.78570695363294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>
        <f>EXP(-LN(2)/35)*CK109+(1-EXP(-LN(2)/35))/(LN(2)/35)*CG110*CH110*VLOOKUP('Données projet'!$B$12,Paramètres!$A$1:$I$89,3,0)*0.475*44/12</f>
        <v>10.736653469300903</v>
      </c>
      <c r="CL110" s="21">
        <f>EXP(-LN(2)/25)*CL109+(1-EXP(-LN(2)/25))/(LN(2)/25)*Calculateur!CG110*Calculateur!CI110*VLOOKUP('Données projet'!$B$12,Paramètres!$A$1:$I$89,3,0)*0.475*44/12</f>
        <v>1.1503737759023389</v>
      </c>
      <c r="CM110" s="21">
        <f>EXP(-LN(2)/2)*CM109+(1-EXP(-LN(2)/2))/(LN(2)/2)*CG110*CJ110*VLOOKUP('Données projet'!$B$12,Paramètres!$A$1:$I$89,3,0)*0.475*44/12</f>
        <v>1.4736279054070352E-12</v>
      </c>
      <c r="CN110" s="22">
        <f t="shared" si="66"/>
        <v>11.887027245204717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5">
      <c r="A111" s="10">
        <f t="shared" si="85"/>
        <v>108</v>
      </c>
      <c r="B111" s="73">
        <f>'Scénario référence'!$B$16*5+'Scénario référence'!$B$17*0+'Scénario référence'!$B$18*5</f>
        <v>5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1">
        <f t="shared" si="86"/>
        <v>0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1" s="11">
        <f>IF(OR('Scénario référence'!$F$8&gt;0,'Scénario référence'!$F$9&gt;0),('Scénario référence'!$F$8+'Scénario référence'!$F$9)*10,0)</f>
        <v>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18.333333333333332</v>
      </c>
      <c r="H111" s="67">
        <f t="shared" si="56"/>
        <v>183.33333333333334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0</v>
      </c>
      <c r="O111" s="13">
        <f>N111*VLOOKUP('Données projet'!$B$9,Paramètres!$A$1:$I$89,3,0)*VLOOKUP('Données projet'!$B$9,Paramètres!$A$1:$I$89,5,0)</f>
        <v>0</v>
      </c>
      <c r="P111" s="13" t="e">
        <f t="shared" si="87"/>
        <v>#NUM!</v>
      </c>
      <c r="Q111" s="20" t="e">
        <f t="shared" si="107"/>
        <v>#NUM!</v>
      </c>
      <c r="R111" s="59" t="e">
        <f t="shared" si="55"/>
        <v>#NUM!</v>
      </c>
      <c r="S111" s="59">
        <f ca="1">AVERAGE(OFFSET($R$3,0,0,'Données projet'!$E$9+1,1))-AVERAGE(OFFSET($H$3,0,0,'Données projet'!$E$9+1,1))</f>
        <v>112.82287576550925</v>
      </c>
      <c r="T111" s="59">
        <f t="shared" si="88"/>
        <v>317.78570695363294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10.526114243479897</v>
      </c>
      <c r="AA111" s="21">
        <f>EXP(-LN(2)/25)*AA110+(1-EXP(-LN(2)/25))/(LN(2)/25)*Calculateur!V111*Calculateur!X111*VLOOKUP('Données projet'!$B$9,Paramètres!$A$1:$I$89,3,0)*0.475*44/12</f>
        <v>1.1189167445047619</v>
      </c>
      <c r="AB111" s="21">
        <f>EXP(-LN(2)/2)*AB110+(1-EXP(-LN(2)/2))/(LN(2)/2)*V111*Y111*VLOOKUP('Données projet'!$B$9,Paramètres!$A$1:$I$89,3,0)*0.475*44/12</f>
        <v>1.0420122848590428E-12</v>
      </c>
      <c r="AC111" s="22">
        <f t="shared" si="57"/>
        <v>11.645030987985702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0</v>
      </c>
      <c r="AJ111" s="13">
        <f>AI111*VLOOKUP('Données projet'!$B$10,Paramètres!$A$1:$I$89,3,0)*VLOOKUP('Données projet'!$B$10,Paramètres!$A$1:$I$89,5,0)</f>
        <v>0</v>
      </c>
      <c r="AK111" s="13" t="e">
        <f t="shared" si="89"/>
        <v>#NUM!</v>
      </c>
      <c r="AL111" s="20" t="e">
        <f t="shared" si="58"/>
        <v>#NUM!</v>
      </c>
      <c r="AM111" s="59" t="e">
        <f t="shared" si="59"/>
        <v>#NUM!</v>
      </c>
      <c r="AN111" s="59">
        <f ca="1">AVERAGE(OFFSET($AM$3,0,0,'Données projet'!$E$10+1,1))-AVERAGE(OFFSET($H$3,0,0,'Données projet'!$E$10+1,1))</f>
        <v>112.82287576550925</v>
      </c>
      <c r="AO111" s="59">
        <f t="shared" si="90"/>
        <v>317.78570695363294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10.526114243479897</v>
      </c>
      <c r="AV111" s="21">
        <f>EXP(-LN(2)/25)*AV110+(1-EXP(-LN(2)/25))/(LN(2)/25)*Calculateur!AQ111*Calculateur!AS111*VLOOKUP('Données projet'!$B$10,Paramètres!$A$1:$I$89,3,0)*0.475*44/12</f>
        <v>1.1189167445047619</v>
      </c>
      <c r="AW111" s="21">
        <f>EXP(-LN(2)/2)*AW110+(1-EXP(-LN(2)/2))/(LN(2)/2)*AQ111*AT111*VLOOKUP('Données projet'!$B$10,Paramètres!$A$1:$I$89,3,0)*0.475*44/12</f>
        <v>1.0420122848590428E-12</v>
      </c>
      <c r="AX111" s="21">
        <f t="shared" si="60"/>
        <v>11.645030987985702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0</v>
      </c>
      <c r="BE111" s="13">
        <f>BD111*VLOOKUP('Données projet'!$B$11,Paramètres!$A$1:$I$89,3,0)*VLOOKUP('Données projet'!$B$11,Paramètres!$A$1:$I$89,5,0)</f>
        <v>0</v>
      </c>
      <c r="BF111" s="13" t="e">
        <f t="shared" si="91"/>
        <v>#NUM!</v>
      </c>
      <c r="BG111" s="20" t="e">
        <f t="shared" si="61"/>
        <v>#NUM!</v>
      </c>
      <c r="BH111" s="59" t="e">
        <f t="shared" si="62"/>
        <v>#NUM!</v>
      </c>
      <c r="BI111" s="59">
        <f ca="1">AVERAGE(OFFSET($BH$3,0,0,'Données projet'!$E$11+1,1))-AVERAGE(OFFSET($H$3,0,0,'Données projet'!$E$11+1,1))</f>
        <v>112.82287576550925</v>
      </c>
      <c r="BJ111" s="59">
        <f t="shared" si="92"/>
        <v>317.78570695363294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10.526114243479897</v>
      </c>
      <c r="BQ111" s="21">
        <f>EXP(-LN(2)/25)*BQ110+(1-EXP(-LN(2)/25))/(LN(2)/25)*Calculateur!BL111*Calculateur!BN111*VLOOKUP('Données projet'!$B$11,Paramètres!$A$1:$I$89,3,0)*0.475*44/12</f>
        <v>1.1189167445047619</v>
      </c>
      <c r="BR111" s="21">
        <f>EXP(-LN(2)/2)*BR110+(1-EXP(-LN(2)/2))/(LN(2)/2)*BL111*BO111*VLOOKUP('Données projet'!$B$11,Paramètres!$A$1:$I$89,3,0)*0.475*44/12</f>
        <v>1.0420122848590428E-12</v>
      </c>
      <c r="BS111" s="22">
        <f t="shared" si="63"/>
        <v>11.645030987985702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>
        <f>BY111*VLOOKUP('Données projet'!$B$12,Paramètres!$A$1:$I$89,3,0)*VLOOKUP('Données projet'!$B$12,Paramètres!$A$1:$I$89,5,0)</f>
        <v>0</v>
      </c>
      <c r="CA111" s="13" t="e">
        <f t="shared" si="93"/>
        <v>#NUM!</v>
      </c>
      <c r="CB111" s="20" t="e">
        <f t="shared" si="64"/>
        <v>#NUM!</v>
      </c>
      <c r="CC111" s="59" t="e">
        <f t="shared" si="65"/>
        <v>#NUM!</v>
      </c>
      <c r="CD111" s="59">
        <f ca="1">AVERAGE(OFFSET($CC$3,0,0,'Données projet'!$E$12+1,1))-AVERAGE(OFFSET($H$3,0,0,'Données projet'!$E$12+1,1))</f>
        <v>112.82287576550925</v>
      </c>
      <c r="CE111" s="59">
        <f t="shared" si="94"/>
        <v>317.78570695363294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>
        <f>EXP(-LN(2)/35)*CK110+(1-EXP(-LN(2)/35))/(LN(2)/35)*CG111*CH111*VLOOKUP('Données projet'!$B$12,Paramètres!$A$1:$I$89,3,0)*0.475*44/12</f>
        <v>10.526114243479897</v>
      </c>
      <c r="CL111" s="21">
        <f>EXP(-LN(2)/25)*CL110+(1-EXP(-LN(2)/25))/(LN(2)/25)*Calculateur!CG111*Calculateur!CI111*VLOOKUP('Données projet'!$B$12,Paramètres!$A$1:$I$89,3,0)*0.475*44/12</f>
        <v>1.1189167445047619</v>
      </c>
      <c r="CM111" s="21">
        <f>EXP(-LN(2)/2)*CM110+(1-EXP(-LN(2)/2))/(LN(2)/2)*CG111*CJ111*VLOOKUP('Données projet'!$B$12,Paramètres!$A$1:$I$89,3,0)*0.475*44/12</f>
        <v>1.0420122848590428E-12</v>
      </c>
      <c r="CN111" s="22">
        <f t="shared" si="66"/>
        <v>11.645030987985702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5">
      <c r="A112" s="10">
        <f t="shared" si="85"/>
        <v>109</v>
      </c>
      <c r="B112" s="73">
        <f>'Scénario référence'!$B$16*5+'Scénario référence'!$B$17*0+'Scénario référence'!$B$18*5</f>
        <v>5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1">
        <f t="shared" si="86"/>
        <v>0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2" s="11">
        <f>IF(OR('Scénario référence'!$F$8&gt;0,'Scénario référence'!$F$9&gt;0),('Scénario référence'!$F$8+'Scénario référence'!$F$9)*10,0)</f>
        <v>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18.333333333333332</v>
      </c>
      <c r="H112" s="67">
        <f t="shared" si="56"/>
        <v>183.33333333333334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0</v>
      </c>
      <c r="O112" s="13">
        <f>N112*VLOOKUP('Données projet'!$B$9,Paramètres!$A$1:$I$89,3,0)*VLOOKUP('Données projet'!$B$9,Paramètres!$A$1:$I$89,5,0)</f>
        <v>0</v>
      </c>
      <c r="P112" s="13" t="e">
        <f t="shared" si="87"/>
        <v>#NUM!</v>
      </c>
      <c r="Q112" s="20" t="e">
        <f t="shared" si="107"/>
        <v>#NUM!</v>
      </c>
      <c r="R112" s="59" t="e">
        <f t="shared" si="55"/>
        <v>#NUM!</v>
      </c>
      <c r="S112" s="59">
        <f ca="1">AVERAGE(OFFSET($R$3,0,0,'Données projet'!$E$9+1,1))-AVERAGE(OFFSET($H$3,0,0,'Données projet'!$E$9+1,1))</f>
        <v>112.82287576550925</v>
      </c>
      <c r="T112" s="59">
        <f t="shared" si="88"/>
        <v>317.78570695363294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10.319703563460994</v>
      </c>
      <c r="AA112" s="21">
        <f>EXP(-LN(2)/25)*AA111+(1-EXP(-LN(2)/25))/(LN(2)/25)*Calculateur!V112*Calculateur!X112*VLOOKUP('Données projet'!$B$9,Paramètres!$A$1:$I$89,3,0)*0.475*44/12</f>
        <v>1.0883199072850049</v>
      </c>
      <c r="AB112" s="21">
        <f>EXP(-LN(2)/2)*AB111+(1-EXP(-LN(2)/2))/(LN(2)/2)*V112*Y112*VLOOKUP('Données projet'!$B$9,Paramètres!$A$1:$I$89,3,0)*0.475*44/12</f>
        <v>7.3681395270351758E-13</v>
      </c>
      <c r="AC112" s="22">
        <f t="shared" si="57"/>
        <v>11.408023470746736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0</v>
      </c>
      <c r="AJ112" s="13">
        <f>AI112*VLOOKUP('Données projet'!$B$10,Paramètres!$A$1:$I$89,3,0)*VLOOKUP('Données projet'!$B$10,Paramètres!$A$1:$I$89,5,0)</f>
        <v>0</v>
      </c>
      <c r="AK112" s="13" t="e">
        <f t="shared" si="89"/>
        <v>#NUM!</v>
      </c>
      <c r="AL112" s="20" t="e">
        <f t="shared" si="58"/>
        <v>#NUM!</v>
      </c>
      <c r="AM112" s="59" t="e">
        <f t="shared" si="59"/>
        <v>#NUM!</v>
      </c>
      <c r="AN112" s="59">
        <f ca="1">AVERAGE(OFFSET($AM$3,0,0,'Données projet'!$E$10+1,1))-AVERAGE(OFFSET($H$3,0,0,'Données projet'!$E$10+1,1))</f>
        <v>112.82287576550925</v>
      </c>
      <c r="AO112" s="59">
        <f t="shared" si="90"/>
        <v>317.78570695363294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10.319703563460994</v>
      </c>
      <c r="AV112" s="21">
        <f>EXP(-LN(2)/25)*AV111+(1-EXP(-LN(2)/25))/(LN(2)/25)*Calculateur!AQ112*Calculateur!AS112*VLOOKUP('Données projet'!$B$10,Paramètres!$A$1:$I$89,3,0)*0.475*44/12</f>
        <v>1.0883199072850049</v>
      </c>
      <c r="AW112" s="21">
        <f>EXP(-LN(2)/2)*AW111+(1-EXP(-LN(2)/2))/(LN(2)/2)*AQ112*AT112*VLOOKUP('Données projet'!$B$10,Paramètres!$A$1:$I$89,3,0)*0.475*44/12</f>
        <v>7.3681395270351758E-13</v>
      </c>
      <c r="AX112" s="21">
        <f t="shared" si="60"/>
        <v>11.408023470746736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0</v>
      </c>
      <c r="BE112" s="13">
        <f>BD112*VLOOKUP('Données projet'!$B$11,Paramètres!$A$1:$I$89,3,0)*VLOOKUP('Données projet'!$B$11,Paramètres!$A$1:$I$89,5,0)</f>
        <v>0</v>
      </c>
      <c r="BF112" s="13" t="e">
        <f t="shared" si="91"/>
        <v>#NUM!</v>
      </c>
      <c r="BG112" s="20" t="e">
        <f t="shared" si="61"/>
        <v>#NUM!</v>
      </c>
      <c r="BH112" s="59" t="e">
        <f t="shared" si="62"/>
        <v>#NUM!</v>
      </c>
      <c r="BI112" s="59">
        <f ca="1">AVERAGE(OFFSET($BH$3,0,0,'Données projet'!$E$11+1,1))-AVERAGE(OFFSET($H$3,0,0,'Données projet'!$E$11+1,1))</f>
        <v>112.82287576550925</v>
      </c>
      <c r="BJ112" s="59">
        <f t="shared" si="92"/>
        <v>317.78570695363294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10.319703563460994</v>
      </c>
      <c r="BQ112" s="21">
        <f>EXP(-LN(2)/25)*BQ111+(1-EXP(-LN(2)/25))/(LN(2)/25)*Calculateur!BL112*Calculateur!BN112*VLOOKUP('Données projet'!$B$11,Paramètres!$A$1:$I$89,3,0)*0.475*44/12</f>
        <v>1.0883199072850049</v>
      </c>
      <c r="BR112" s="21">
        <f>EXP(-LN(2)/2)*BR111+(1-EXP(-LN(2)/2))/(LN(2)/2)*BL112*BO112*VLOOKUP('Données projet'!$B$11,Paramètres!$A$1:$I$89,3,0)*0.475*44/12</f>
        <v>7.3681395270351758E-13</v>
      </c>
      <c r="BS112" s="22">
        <f t="shared" si="63"/>
        <v>11.408023470746736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>
        <f>BY112*VLOOKUP('Données projet'!$B$12,Paramètres!$A$1:$I$89,3,0)*VLOOKUP('Données projet'!$B$12,Paramètres!$A$1:$I$89,5,0)</f>
        <v>0</v>
      </c>
      <c r="CA112" s="13" t="e">
        <f t="shared" si="93"/>
        <v>#NUM!</v>
      </c>
      <c r="CB112" s="20" t="e">
        <f t="shared" si="64"/>
        <v>#NUM!</v>
      </c>
      <c r="CC112" s="59" t="e">
        <f t="shared" si="65"/>
        <v>#NUM!</v>
      </c>
      <c r="CD112" s="59">
        <f ca="1">AVERAGE(OFFSET($CC$3,0,0,'Données projet'!$E$12+1,1))-AVERAGE(OFFSET($H$3,0,0,'Données projet'!$E$12+1,1))</f>
        <v>112.82287576550925</v>
      </c>
      <c r="CE112" s="59">
        <f t="shared" si="94"/>
        <v>317.78570695363294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>
        <f>EXP(-LN(2)/35)*CK111+(1-EXP(-LN(2)/35))/(LN(2)/35)*CG112*CH112*VLOOKUP('Données projet'!$B$12,Paramètres!$A$1:$I$89,3,0)*0.475*44/12</f>
        <v>10.319703563460994</v>
      </c>
      <c r="CL112" s="21">
        <f>EXP(-LN(2)/25)*CL111+(1-EXP(-LN(2)/25))/(LN(2)/25)*Calculateur!CG112*Calculateur!CI112*VLOOKUP('Données projet'!$B$12,Paramètres!$A$1:$I$89,3,0)*0.475*44/12</f>
        <v>1.0883199072850049</v>
      </c>
      <c r="CM112" s="21">
        <f>EXP(-LN(2)/2)*CM111+(1-EXP(-LN(2)/2))/(LN(2)/2)*CG112*CJ112*VLOOKUP('Données projet'!$B$12,Paramètres!$A$1:$I$89,3,0)*0.475*44/12</f>
        <v>7.3681395270351758E-13</v>
      </c>
      <c r="CN112" s="22">
        <f t="shared" si="66"/>
        <v>11.408023470746736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5">
      <c r="A113" s="10">
        <f t="shared" si="85"/>
        <v>110</v>
      </c>
      <c r="B113" s="73">
        <f>'Scénario référence'!$B$16*5+'Scénario référence'!$B$17*0+'Scénario référence'!$B$18*5</f>
        <v>5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1">
        <f t="shared" si="86"/>
        <v>0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3" s="11">
        <f>IF(OR('Scénario référence'!$F$8&gt;0,'Scénario référence'!$F$9&gt;0),('Scénario référence'!$F$8+'Scénario référence'!$F$9)*10,0)</f>
        <v>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18.333333333333332</v>
      </c>
      <c r="H113" s="67">
        <f t="shared" si="56"/>
        <v>183.33333333333334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0</v>
      </c>
      <c r="O113" s="13">
        <f>N113*VLOOKUP('Données projet'!$B$9,Paramètres!$A$1:$I$89,3,0)*VLOOKUP('Données projet'!$B$9,Paramètres!$A$1:$I$89,5,0)</f>
        <v>0</v>
      </c>
      <c r="P113" s="13" t="e">
        <f t="shared" si="87"/>
        <v>#NUM!</v>
      </c>
      <c r="Q113" s="20" t="e">
        <f t="shared" si="107"/>
        <v>#NUM!</v>
      </c>
      <c r="R113" s="59" t="e">
        <f t="shared" si="55"/>
        <v>#NUM!</v>
      </c>
      <c r="S113" s="59">
        <f ca="1">AVERAGE(OFFSET($R$3,0,0,'Données projet'!$E$9+1,1))-AVERAGE(OFFSET($H$3,0,0,'Données projet'!$E$9+1,1))</f>
        <v>112.82287576550925</v>
      </c>
      <c r="T113" s="59">
        <f t="shared" si="88"/>
        <v>317.78570695363294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10.117340470979178</v>
      </c>
      <c r="AA113" s="21">
        <f>EXP(-LN(2)/25)*AA112+(1-EXP(-LN(2)/25))/(LN(2)/25)*Calculateur!V113*Calculateur!X113*VLOOKUP('Données projet'!$B$9,Paramètres!$A$1:$I$89,3,0)*0.475*44/12</f>
        <v>1.0585597421880399</v>
      </c>
      <c r="AB113" s="21">
        <f>EXP(-LN(2)/2)*AB112+(1-EXP(-LN(2)/2))/(LN(2)/2)*V113*Y113*VLOOKUP('Données projet'!$B$9,Paramètres!$A$1:$I$89,3,0)*0.475*44/12</f>
        <v>5.2100614242952138E-13</v>
      </c>
      <c r="AC113" s="22">
        <f t="shared" si="57"/>
        <v>11.175900213167738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0</v>
      </c>
      <c r="AJ113" s="13">
        <f>AI113*VLOOKUP('Données projet'!$B$10,Paramètres!$A$1:$I$89,3,0)*VLOOKUP('Données projet'!$B$10,Paramètres!$A$1:$I$89,5,0)</f>
        <v>0</v>
      </c>
      <c r="AK113" s="13" t="e">
        <f t="shared" si="89"/>
        <v>#NUM!</v>
      </c>
      <c r="AL113" s="20" t="e">
        <f t="shared" si="58"/>
        <v>#NUM!</v>
      </c>
      <c r="AM113" s="59" t="e">
        <f t="shared" si="59"/>
        <v>#NUM!</v>
      </c>
      <c r="AN113" s="59">
        <f ca="1">AVERAGE(OFFSET($AM$3,0,0,'Données projet'!$E$10+1,1))-AVERAGE(OFFSET($H$3,0,0,'Données projet'!$E$10+1,1))</f>
        <v>112.82287576550925</v>
      </c>
      <c r="AO113" s="59">
        <f t="shared" si="90"/>
        <v>317.78570695363294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10.117340470979178</v>
      </c>
      <c r="AV113" s="21">
        <f>EXP(-LN(2)/25)*AV112+(1-EXP(-LN(2)/25))/(LN(2)/25)*Calculateur!AQ113*Calculateur!AS113*VLOOKUP('Données projet'!$B$10,Paramètres!$A$1:$I$89,3,0)*0.475*44/12</f>
        <v>1.0585597421880399</v>
      </c>
      <c r="AW113" s="21">
        <f>EXP(-LN(2)/2)*AW112+(1-EXP(-LN(2)/2))/(LN(2)/2)*AQ113*AT113*VLOOKUP('Données projet'!$B$10,Paramètres!$A$1:$I$89,3,0)*0.475*44/12</f>
        <v>5.2100614242952138E-13</v>
      </c>
      <c r="AX113" s="21">
        <f t="shared" si="60"/>
        <v>11.175900213167738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0</v>
      </c>
      <c r="BE113" s="13">
        <f>BD113*VLOOKUP('Données projet'!$B$11,Paramètres!$A$1:$I$89,3,0)*VLOOKUP('Données projet'!$B$11,Paramètres!$A$1:$I$89,5,0)</f>
        <v>0</v>
      </c>
      <c r="BF113" s="13" t="e">
        <f t="shared" si="91"/>
        <v>#NUM!</v>
      </c>
      <c r="BG113" s="20" t="e">
        <f t="shared" si="61"/>
        <v>#NUM!</v>
      </c>
      <c r="BH113" s="59" t="e">
        <f t="shared" si="62"/>
        <v>#NUM!</v>
      </c>
      <c r="BI113" s="59">
        <f ca="1">AVERAGE(OFFSET($BH$3,0,0,'Données projet'!$E$11+1,1))-AVERAGE(OFFSET($H$3,0,0,'Données projet'!$E$11+1,1))</f>
        <v>112.82287576550925</v>
      </c>
      <c r="BJ113" s="59">
        <f t="shared" si="92"/>
        <v>317.78570695363294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10.117340470979178</v>
      </c>
      <c r="BQ113" s="21">
        <f>EXP(-LN(2)/25)*BQ112+(1-EXP(-LN(2)/25))/(LN(2)/25)*Calculateur!BL113*Calculateur!BN113*VLOOKUP('Données projet'!$B$11,Paramètres!$A$1:$I$89,3,0)*0.475*44/12</f>
        <v>1.0585597421880399</v>
      </c>
      <c r="BR113" s="21">
        <f>EXP(-LN(2)/2)*BR112+(1-EXP(-LN(2)/2))/(LN(2)/2)*BL113*BO113*VLOOKUP('Données projet'!$B$11,Paramètres!$A$1:$I$89,3,0)*0.475*44/12</f>
        <v>5.2100614242952138E-13</v>
      </c>
      <c r="BS113" s="22">
        <f t="shared" si="63"/>
        <v>11.175900213167738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>
        <f>BY113*VLOOKUP('Données projet'!$B$12,Paramètres!$A$1:$I$89,3,0)*VLOOKUP('Données projet'!$B$12,Paramètres!$A$1:$I$89,5,0)</f>
        <v>0</v>
      </c>
      <c r="CA113" s="13" t="e">
        <f t="shared" si="93"/>
        <v>#NUM!</v>
      </c>
      <c r="CB113" s="20" t="e">
        <f t="shared" si="64"/>
        <v>#NUM!</v>
      </c>
      <c r="CC113" s="59" t="e">
        <f t="shared" si="65"/>
        <v>#NUM!</v>
      </c>
      <c r="CD113" s="59">
        <f ca="1">AVERAGE(OFFSET($CC$3,0,0,'Données projet'!$E$12+1,1))-AVERAGE(OFFSET($H$3,0,0,'Données projet'!$E$12+1,1))</f>
        <v>112.82287576550925</v>
      </c>
      <c r="CE113" s="59">
        <f t="shared" si="94"/>
        <v>317.78570695363294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>
        <f>EXP(-LN(2)/35)*CK112+(1-EXP(-LN(2)/35))/(LN(2)/35)*CG113*CH113*VLOOKUP('Données projet'!$B$12,Paramètres!$A$1:$I$89,3,0)*0.475*44/12</f>
        <v>10.117340470979178</v>
      </c>
      <c r="CL113" s="21">
        <f>EXP(-LN(2)/25)*CL112+(1-EXP(-LN(2)/25))/(LN(2)/25)*Calculateur!CG113*Calculateur!CI113*VLOOKUP('Données projet'!$B$12,Paramètres!$A$1:$I$89,3,0)*0.475*44/12</f>
        <v>1.0585597421880399</v>
      </c>
      <c r="CM113" s="21">
        <f>EXP(-LN(2)/2)*CM112+(1-EXP(-LN(2)/2))/(LN(2)/2)*CG113*CJ113*VLOOKUP('Données projet'!$B$12,Paramètres!$A$1:$I$89,3,0)*0.475*44/12</f>
        <v>5.2100614242952138E-13</v>
      </c>
      <c r="CN113" s="22">
        <f t="shared" si="66"/>
        <v>11.175900213167738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5">
      <c r="A114" s="10">
        <f t="shared" si="85"/>
        <v>111</v>
      </c>
      <c r="B114" s="73">
        <f>'Scénario référence'!$B$16*5+'Scénario référence'!$B$17*0+'Scénario référence'!$B$18*5</f>
        <v>5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1">
        <f t="shared" si="86"/>
        <v>0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4" s="11">
        <f>IF(OR('Scénario référence'!$F$8&gt;0,'Scénario référence'!$F$9&gt;0),('Scénario référence'!$F$8+'Scénario référence'!$F$9)*10,0)</f>
        <v>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18.333333333333332</v>
      </c>
      <c r="H114" s="67">
        <f t="shared" si="56"/>
        <v>183.33333333333334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0</v>
      </c>
      <c r="O114" s="13">
        <f>N114*VLOOKUP('Données projet'!$B$9,Paramètres!$A$1:$I$89,3,0)*VLOOKUP('Données projet'!$B$9,Paramètres!$A$1:$I$89,5,0)</f>
        <v>0</v>
      </c>
      <c r="P114" s="13" t="e">
        <f t="shared" si="87"/>
        <v>#NUM!</v>
      </c>
      <c r="Q114" s="20" t="e">
        <f t="shared" si="107"/>
        <v>#NUM!</v>
      </c>
      <c r="R114" s="59" t="e">
        <f t="shared" si="55"/>
        <v>#NUM!</v>
      </c>
      <c r="S114" s="59">
        <f ca="1">AVERAGE(OFFSET($R$3,0,0,'Données projet'!$E$9+1,1))-AVERAGE(OFFSET($H$3,0,0,'Données projet'!$E$9+1,1))</f>
        <v>112.82287576550925</v>
      </c>
      <c r="T114" s="59">
        <f t="shared" si="88"/>
        <v>317.78570695363294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9.9189455953116301</v>
      </c>
      <c r="AA114" s="21">
        <f>EXP(-LN(2)/25)*AA113+(1-EXP(-LN(2)/25))/(LN(2)/25)*Calculateur!V114*Calculateur!X114*VLOOKUP('Données projet'!$B$9,Paramètres!$A$1:$I$89,3,0)*0.475*44/12</f>
        <v>1.0296133703706705</v>
      </c>
      <c r="AB114" s="21">
        <f>EXP(-LN(2)/2)*AB113+(1-EXP(-LN(2)/2))/(LN(2)/2)*V114*Y114*VLOOKUP('Données projet'!$B$9,Paramètres!$A$1:$I$89,3,0)*0.475*44/12</f>
        <v>3.6840697635175879E-13</v>
      </c>
      <c r="AC114" s="22">
        <f t="shared" si="57"/>
        <v>10.948558965682668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0</v>
      </c>
      <c r="AJ114" s="13">
        <f>AI114*VLOOKUP('Données projet'!$B$10,Paramètres!$A$1:$I$89,3,0)*VLOOKUP('Données projet'!$B$10,Paramètres!$A$1:$I$89,5,0)</f>
        <v>0</v>
      </c>
      <c r="AK114" s="13" t="e">
        <f t="shared" si="89"/>
        <v>#NUM!</v>
      </c>
      <c r="AL114" s="20" t="e">
        <f t="shared" si="58"/>
        <v>#NUM!</v>
      </c>
      <c r="AM114" s="59" t="e">
        <f t="shared" si="59"/>
        <v>#NUM!</v>
      </c>
      <c r="AN114" s="59">
        <f ca="1">AVERAGE(OFFSET($AM$3,0,0,'Données projet'!$E$10+1,1))-AVERAGE(OFFSET($H$3,0,0,'Données projet'!$E$10+1,1))</f>
        <v>112.82287576550925</v>
      </c>
      <c r="AO114" s="59">
        <f t="shared" si="90"/>
        <v>317.78570695363294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9.9189455953116301</v>
      </c>
      <c r="AV114" s="21">
        <f>EXP(-LN(2)/25)*AV113+(1-EXP(-LN(2)/25))/(LN(2)/25)*Calculateur!AQ114*Calculateur!AS114*VLOOKUP('Données projet'!$B$10,Paramètres!$A$1:$I$89,3,0)*0.475*44/12</f>
        <v>1.0296133703706705</v>
      </c>
      <c r="AW114" s="21">
        <f>EXP(-LN(2)/2)*AW113+(1-EXP(-LN(2)/2))/(LN(2)/2)*AQ114*AT114*VLOOKUP('Données projet'!$B$10,Paramètres!$A$1:$I$89,3,0)*0.475*44/12</f>
        <v>3.6840697635175879E-13</v>
      </c>
      <c r="AX114" s="21">
        <f t="shared" si="60"/>
        <v>10.948558965682668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0</v>
      </c>
      <c r="BE114" s="13">
        <f>BD114*VLOOKUP('Données projet'!$B$11,Paramètres!$A$1:$I$89,3,0)*VLOOKUP('Données projet'!$B$11,Paramètres!$A$1:$I$89,5,0)</f>
        <v>0</v>
      </c>
      <c r="BF114" s="13" t="e">
        <f t="shared" si="91"/>
        <v>#NUM!</v>
      </c>
      <c r="BG114" s="20" t="e">
        <f t="shared" si="61"/>
        <v>#NUM!</v>
      </c>
      <c r="BH114" s="59" t="e">
        <f t="shared" si="62"/>
        <v>#NUM!</v>
      </c>
      <c r="BI114" s="59">
        <f ca="1">AVERAGE(OFFSET($BH$3,0,0,'Données projet'!$E$11+1,1))-AVERAGE(OFFSET($H$3,0,0,'Données projet'!$E$11+1,1))</f>
        <v>112.82287576550925</v>
      </c>
      <c r="BJ114" s="59">
        <f t="shared" si="92"/>
        <v>317.78570695363294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9.9189455953116301</v>
      </c>
      <c r="BQ114" s="21">
        <f>EXP(-LN(2)/25)*BQ113+(1-EXP(-LN(2)/25))/(LN(2)/25)*Calculateur!BL114*Calculateur!BN114*VLOOKUP('Données projet'!$B$11,Paramètres!$A$1:$I$89,3,0)*0.475*44/12</f>
        <v>1.0296133703706705</v>
      </c>
      <c r="BR114" s="21">
        <f>EXP(-LN(2)/2)*BR113+(1-EXP(-LN(2)/2))/(LN(2)/2)*BL114*BO114*VLOOKUP('Données projet'!$B$11,Paramètres!$A$1:$I$89,3,0)*0.475*44/12</f>
        <v>3.6840697635175879E-13</v>
      </c>
      <c r="BS114" s="22">
        <f t="shared" si="63"/>
        <v>10.948558965682668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>
        <f>BY114*VLOOKUP('Données projet'!$B$12,Paramètres!$A$1:$I$89,3,0)*VLOOKUP('Données projet'!$B$12,Paramètres!$A$1:$I$89,5,0)</f>
        <v>0</v>
      </c>
      <c r="CA114" s="13" t="e">
        <f t="shared" si="93"/>
        <v>#NUM!</v>
      </c>
      <c r="CB114" s="20" t="e">
        <f t="shared" si="64"/>
        <v>#NUM!</v>
      </c>
      <c r="CC114" s="59" t="e">
        <f t="shared" si="65"/>
        <v>#NUM!</v>
      </c>
      <c r="CD114" s="59">
        <f ca="1">AVERAGE(OFFSET($CC$3,0,0,'Données projet'!$E$12+1,1))-AVERAGE(OFFSET($H$3,0,0,'Données projet'!$E$12+1,1))</f>
        <v>112.82287576550925</v>
      </c>
      <c r="CE114" s="59">
        <f t="shared" si="94"/>
        <v>317.78570695363294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>
        <f>EXP(-LN(2)/35)*CK113+(1-EXP(-LN(2)/35))/(LN(2)/35)*CG114*CH114*VLOOKUP('Données projet'!$B$12,Paramètres!$A$1:$I$89,3,0)*0.475*44/12</f>
        <v>9.9189455953116301</v>
      </c>
      <c r="CL114" s="21">
        <f>EXP(-LN(2)/25)*CL113+(1-EXP(-LN(2)/25))/(LN(2)/25)*Calculateur!CG114*Calculateur!CI114*VLOOKUP('Données projet'!$B$12,Paramètres!$A$1:$I$89,3,0)*0.475*44/12</f>
        <v>1.0296133703706705</v>
      </c>
      <c r="CM114" s="21">
        <f>EXP(-LN(2)/2)*CM113+(1-EXP(-LN(2)/2))/(LN(2)/2)*CG114*CJ114*VLOOKUP('Données projet'!$B$12,Paramètres!$A$1:$I$89,3,0)*0.475*44/12</f>
        <v>3.6840697635175879E-13</v>
      </c>
      <c r="CN114" s="22">
        <f t="shared" si="66"/>
        <v>10.948558965682668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5">
      <c r="A115" s="10">
        <f t="shared" si="85"/>
        <v>112</v>
      </c>
      <c r="B115" s="73">
        <f>'Scénario référence'!$B$16*5+'Scénario référence'!$B$17*0+'Scénario référence'!$B$18*5</f>
        <v>5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1">
        <f t="shared" si="86"/>
        <v>0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5" s="11">
        <f>IF(OR('Scénario référence'!$F$8&gt;0,'Scénario référence'!$F$9&gt;0),('Scénario référence'!$F$8+'Scénario référence'!$F$9)*10,0)</f>
        <v>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18.333333333333332</v>
      </c>
      <c r="H115" s="67">
        <f t="shared" si="56"/>
        <v>183.33333333333334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0</v>
      </c>
      <c r="O115" s="13">
        <f>N115*VLOOKUP('Données projet'!$B$9,Paramètres!$A$1:$I$89,3,0)*VLOOKUP('Données projet'!$B$9,Paramètres!$A$1:$I$89,5,0)</f>
        <v>0</v>
      </c>
      <c r="P115" s="13" t="e">
        <f t="shared" si="87"/>
        <v>#NUM!</v>
      </c>
      <c r="Q115" s="20" t="e">
        <f t="shared" si="107"/>
        <v>#NUM!</v>
      </c>
      <c r="R115" s="59" t="e">
        <f t="shared" si="55"/>
        <v>#NUM!</v>
      </c>
      <c r="S115" s="59">
        <f ca="1">AVERAGE(OFFSET($R$3,0,0,'Données projet'!$E$9+1,1))-AVERAGE(OFFSET($H$3,0,0,'Données projet'!$E$9+1,1))</f>
        <v>112.82287576550925</v>
      </c>
      <c r="T115" s="59">
        <f t="shared" si="88"/>
        <v>317.78570695363294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9.7244411221469989</v>
      </c>
      <c r="AA115" s="21">
        <f>EXP(-LN(2)/25)*AA114+(1-EXP(-LN(2)/25))/(LN(2)/25)*Calculateur!V115*Calculateur!X115*VLOOKUP('Données projet'!$B$9,Paramètres!$A$1:$I$89,3,0)*0.475*44/12</f>
        <v>1.0014585386128705</v>
      </c>
      <c r="AB115" s="21">
        <f>EXP(-LN(2)/2)*AB114+(1-EXP(-LN(2)/2))/(LN(2)/2)*V115*Y115*VLOOKUP('Données projet'!$B$9,Paramètres!$A$1:$I$89,3,0)*0.475*44/12</f>
        <v>2.6050307121476069E-13</v>
      </c>
      <c r="AC115" s="22">
        <f t="shared" si="57"/>
        <v>10.725899660760131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0</v>
      </c>
      <c r="AJ115" s="13">
        <f>AI115*VLOOKUP('Données projet'!$B$10,Paramètres!$A$1:$I$89,3,0)*VLOOKUP('Données projet'!$B$10,Paramètres!$A$1:$I$89,5,0)</f>
        <v>0</v>
      </c>
      <c r="AK115" s="13" t="e">
        <f t="shared" si="89"/>
        <v>#NUM!</v>
      </c>
      <c r="AL115" s="20" t="e">
        <f t="shared" si="58"/>
        <v>#NUM!</v>
      </c>
      <c r="AM115" s="59" t="e">
        <f t="shared" si="59"/>
        <v>#NUM!</v>
      </c>
      <c r="AN115" s="59">
        <f ca="1">AVERAGE(OFFSET($AM$3,0,0,'Données projet'!$E$10+1,1))-AVERAGE(OFFSET($H$3,0,0,'Données projet'!$E$10+1,1))</f>
        <v>112.82287576550925</v>
      </c>
      <c r="AO115" s="59">
        <f t="shared" si="90"/>
        <v>317.78570695363294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9.7244411221469989</v>
      </c>
      <c r="AV115" s="21">
        <f>EXP(-LN(2)/25)*AV114+(1-EXP(-LN(2)/25))/(LN(2)/25)*Calculateur!AQ115*Calculateur!AS115*VLOOKUP('Données projet'!$B$10,Paramètres!$A$1:$I$89,3,0)*0.475*44/12</f>
        <v>1.0014585386128705</v>
      </c>
      <c r="AW115" s="21">
        <f>EXP(-LN(2)/2)*AW114+(1-EXP(-LN(2)/2))/(LN(2)/2)*AQ115*AT115*VLOOKUP('Données projet'!$B$10,Paramètres!$A$1:$I$89,3,0)*0.475*44/12</f>
        <v>2.6050307121476069E-13</v>
      </c>
      <c r="AX115" s="21">
        <f t="shared" si="60"/>
        <v>10.725899660760131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0</v>
      </c>
      <c r="BE115" s="13">
        <f>BD115*VLOOKUP('Données projet'!$B$11,Paramètres!$A$1:$I$89,3,0)*VLOOKUP('Données projet'!$B$11,Paramètres!$A$1:$I$89,5,0)</f>
        <v>0</v>
      </c>
      <c r="BF115" s="13" t="e">
        <f t="shared" si="91"/>
        <v>#NUM!</v>
      </c>
      <c r="BG115" s="20" t="e">
        <f t="shared" si="61"/>
        <v>#NUM!</v>
      </c>
      <c r="BH115" s="59" t="e">
        <f t="shared" si="62"/>
        <v>#NUM!</v>
      </c>
      <c r="BI115" s="59">
        <f ca="1">AVERAGE(OFFSET($BH$3,0,0,'Données projet'!$E$11+1,1))-AVERAGE(OFFSET($H$3,0,0,'Données projet'!$E$11+1,1))</f>
        <v>112.82287576550925</v>
      </c>
      <c r="BJ115" s="59">
        <f t="shared" si="92"/>
        <v>317.78570695363294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9.7244411221469989</v>
      </c>
      <c r="BQ115" s="21">
        <f>EXP(-LN(2)/25)*BQ114+(1-EXP(-LN(2)/25))/(LN(2)/25)*Calculateur!BL115*Calculateur!BN115*VLOOKUP('Données projet'!$B$11,Paramètres!$A$1:$I$89,3,0)*0.475*44/12</f>
        <v>1.0014585386128705</v>
      </c>
      <c r="BR115" s="21">
        <f>EXP(-LN(2)/2)*BR114+(1-EXP(-LN(2)/2))/(LN(2)/2)*BL115*BO115*VLOOKUP('Données projet'!$B$11,Paramètres!$A$1:$I$89,3,0)*0.475*44/12</f>
        <v>2.6050307121476069E-13</v>
      </c>
      <c r="BS115" s="22">
        <f t="shared" si="63"/>
        <v>10.725899660760131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>
        <f>BY115*VLOOKUP('Données projet'!$B$12,Paramètres!$A$1:$I$89,3,0)*VLOOKUP('Données projet'!$B$12,Paramètres!$A$1:$I$89,5,0)</f>
        <v>0</v>
      </c>
      <c r="CA115" s="13" t="e">
        <f t="shared" si="93"/>
        <v>#NUM!</v>
      </c>
      <c r="CB115" s="20" t="e">
        <f t="shared" si="64"/>
        <v>#NUM!</v>
      </c>
      <c r="CC115" s="59" t="e">
        <f t="shared" si="65"/>
        <v>#NUM!</v>
      </c>
      <c r="CD115" s="59">
        <f ca="1">AVERAGE(OFFSET($CC$3,0,0,'Données projet'!$E$12+1,1))-AVERAGE(OFFSET($H$3,0,0,'Données projet'!$E$12+1,1))</f>
        <v>112.82287576550925</v>
      </c>
      <c r="CE115" s="59">
        <f t="shared" si="94"/>
        <v>317.78570695363294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>
        <f>EXP(-LN(2)/35)*CK114+(1-EXP(-LN(2)/35))/(LN(2)/35)*CG115*CH115*VLOOKUP('Données projet'!$B$12,Paramètres!$A$1:$I$89,3,0)*0.475*44/12</f>
        <v>9.7244411221469989</v>
      </c>
      <c r="CL115" s="21">
        <f>EXP(-LN(2)/25)*CL114+(1-EXP(-LN(2)/25))/(LN(2)/25)*Calculateur!CG115*Calculateur!CI115*VLOOKUP('Données projet'!$B$12,Paramètres!$A$1:$I$89,3,0)*0.475*44/12</f>
        <v>1.0014585386128705</v>
      </c>
      <c r="CM115" s="21">
        <f>EXP(-LN(2)/2)*CM114+(1-EXP(-LN(2)/2))/(LN(2)/2)*CG115*CJ115*VLOOKUP('Données projet'!$B$12,Paramètres!$A$1:$I$89,3,0)*0.475*44/12</f>
        <v>2.6050307121476069E-13</v>
      </c>
      <c r="CN115" s="22">
        <f t="shared" si="66"/>
        <v>10.725899660760131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5">
      <c r="A116" s="10">
        <f t="shared" si="85"/>
        <v>113</v>
      </c>
      <c r="B116" s="73">
        <f>'Scénario référence'!$B$16*5+'Scénario référence'!$B$17*0+'Scénario référence'!$B$18*5</f>
        <v>5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1">
        <f t="shared" si="86"/>
        <v>0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6" s="11">
        <f>IF(OR('Scénario référence'!$F$8&gt;0,'Scénario référence'!$F$9&gt;0),('Scénario référence'!$F$8+'Scénario référence'!$F$9)*10,0)</f>
        <v>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18.333333333333332</v>
      </c>
      <c r="H116" s="67">
        <f t="shared" si="56"/>
        <v>183.33333333333334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0</v>
      </c>
      <c r="O116" s="13">
        <f>N116*VLOOKUP('Données projet'!$B$9,Paramètres!$A$1:$I$89,3,0)*VLOOKUP('Données projet'!$B$9,Paramètres!$A$1:$I$89,5,0)</f>
        <v>0</v>
      </c>
      <c r="P116" s="13" t="e">
        <f t="shared" si="87"/>
        <v>#NUM!</v>
      </c>
      <c r="Q116" s="20" t="e">
        <f t="shared" si="107"/>
        <v>#NUM!</v>
      </c>
      <c r="R116" s="59" t="e">
        <f t="shared" si="55"/>
        <v>#NUM!</v>
      </c>
      <c r="S116" s="59">
        <f ca="1">AVERAGE(OFFSET($R$3,0,0,'Données projet'!$E$9+1,1))-AVERAGE(OFFSET($H$3,0,0,'Données projet'!$E$9+1,1))</f>
        <v>112.82287576550925</v>
      </c>
      <c r="T116" s="59">
        <f t="shared" si="88"/>
        <v>317.78570695363294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9.533750763065111</v>
      </c>
      <c r="AA116" s="21">
        <f>EXP(-LN(2)/25)*AA115+(1-EXP(-LN(2)/25))/(LN(2)/25)*Calculateur!V116*Calculateur!X116*VLOOKUP('Données projet'!$B$9,Paramètres!$A$1:$I$89,3,0)*0.475*44/12</f>
        <v>0.97407360221008588</v>
      </c>
      <c r="AB116" s="21">
        <f>EXP(-LN(2)/2)*AB115+(1-EXP(-LN(2)/2))/(LN(2)/2)*V116*Y116*VLOOKUP('Données projet'!$B$9,Paramètres!$A$1:$I$89,3,0)*0.475*44/12</f>
        <v>1.8420348817587939E-13</v>
      </c>
      <c r="AC116" s="22">
        <f t="shared" si="57"/>
        <v>10.507824365275381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0</v>
      </c>
      <c r="AJ116" s="13">
        <f>AI116*VLOOKUP('Données projet'!$B$10,Paramètres!$A$1:$I$89,3,0)*VLOOKUP('Données projet'!$B$10,Paramètres!$A$1:$I$89,5,0)</f>
        <v>0</v>
      </c>
      <c r="AK116" s="13" t="e">
        <f t="shared" si="89"/>
        <v>#NUM!</v>
      </c>
      <c r="AL116" s="20" t="e">
        <f t="shared" si="58"/>
        <v>#NUM!</v>
      </c>
      <c r="AM116" s="59" t="e">
        <f t="shared" si="59"/>
        <v>#NUM!</v>
      </c>
      <c r="AN116" s="59">
        <f ca="1">AVERAGE(OFFSET($AM$3,0,0,'Données projet'!$E$10+1,1))-AVERAGE(OFFSET($H$3,0,0,'Données projet'!$E$10+1,1))</f>
        <v>112.82287576550925</v>
      </c>
      <c r="AO116" s="59">
        <f t="shared" si="90"/>
        <v>317.78570695363294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9.533750763065111</v>
      </c>
      <c r="AV116" s="21">
        <f>EXP(-LN(2)/25)*AV115+(1-EXP(-LN(2)/25))/(LN(2)/25)*Calculateur!AQ116*Calculateur!AS116*VLOOKUP('Données projet'!$B$10,Paramètres!$A$1:$I$89,3,0)*0.475*44/12</f>
        <v>0.97407360221008588</v>
      </c>
      <c r="AW116" s="21">
        <f>EXP(-LN(2)/2)*AW115+(1-EXP(-LN(2)/2))/(LN(2)/2)*AQ116*AT116*VLOOKUP('Données projet'!$B$10,Paramètres!$A$1:$I$89,3,0)*0.475*44/12</f>
        <v>1.8420348817587939E-13</v>
      </c>
      <c r="AX116" s="21">
        <f t="shared" si="60"/>
        <v>10.507824365275381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0</v>
      </c>
      <c r="BE116" s="13">
        <f>BD116*VLOOKUP('Données projet'!$B$11,Paramètres!$A$1:$I$89,3,0)*VLOOKUP('Données projet'!$B$11,Paramètres!$A$1:$I$89,5,0)</f>
        <v>0</v>
      </c>
      <c r="BF116" s="13" t="e">
        <f t="shared" si="91"/>
        <v>#NUM!</v>
      </c>
      <c r="BG116" s="20" t="e">
        <f t="shared" si="61"/>
        <v>#NUM!</v>
      </c>
      <c r="BH116" s="59" t="e">
        <f t="shared" si="62"/>
        <v>#NUM!</v>
      </c>
      <c r="BI116" s="59">
        <f ca="1">AVERAGE(OFFSET($BH$3,0,0,'Données projet'!$E$11+1,1))-AVERAGE(OFFSET($H$3,0,0,'Données projet'!$E$11+1,1))</f>
        <v>112.82287576550925</v>
      </c>
      <c r="BJ116" s="59">
        <f t="shared" si="92"/>
        <v>317.78570695363294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9.533750763065111</v>
      </c>
      <c r="BQ116" s="21">
        <f>EXP(-LN(2)/25)*BQ115+(1-EXP(-LN(2)/25))/(LN(2)/25)*Calculateur!BL116*Calculateur!BN116*VLOOKUP('Données projet'!$B$11,Paramètres!$A$1:$I$89,3,0)*0.475*44/12</f>
        <v>0.97407360221008588</v>
      </c>
      <c r="BR116" s="21">
        <f>EXP(-LN(2)/2)*BR115+(1-EXP(-LN(2)/2))/(LN(2)/2)*BL116*BO116*VLOOKUP('Données projet'!$B$11,Paramètres!$A$1:$I$89,3,0)*0.475*44/12</f>
        <v>1.8420348817587939E-13</v>
      </c>
      <c r="BS116" s="22">
        <f t="shared" si="63"/>
        <v>10.507824365275381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>
        <f>BY116*VLOOKUP('Données projet'!$B$12,Paramètres!$A$1:$I$89,3,0)*VLOOKUP('Données projet'!$B$12,Paramètres!$A$1:$I$89,5,0)</f>
        <v>0</v>
      </c>
      <c r="CA116" s="13" t="e">
        <f t="shared" si="93"/>
        <v>#NUM!</v>
      </c>
      <c r="CB116" s="20" t="e">
        <f t="shared" si="64"/>
        <v>#NUM!</v>
      </c>
      <c r="CC116" s="59" t="e">
        <f t="shared" si="65"/>
        <v>#NUM!</v>
      </c>
      <c r="CD116" s="59">
        <f ca="1">AVERAGE(OFFSET($CC$3,0,0,'Données projet'!$E$12+1,1))-AVERAGE(OFFSET($H$3,0,0,'Données projet'!$E$12+1,1))</f>
        <v>112.82287576550925</v>
      </c>
      <c r="CE116" s="59">
        <f t="shared" si="94"/>
        <v>317.78570695363294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>
        <f>EXP(-LN(2)/35)*CK115+(1-EXP(-LN(2)/35))/(LN(2)/35)*CG116*CH116*VLOOKUP('Données projet'!$B$12,Paramètres!$A$1:$I$89,3,0)*0.475*44/12</f>
        <v>9.533750763065111</v>
      </c>
      <c r="CL116" s="21">
        <f>EXP(-LN(2)/25)*CL115+(1-EXP(-LN(2)/25))/(LN(2)/25)*Calculateur!CG116*Calculateur!CI116*VLOOKUP('Données projet'!$B$12,Paramètres!$A$1:$I$89,3,0)*0.475*44/12</f>
        <v>0.97407360221008588</v>
      </c>
      <c r="CM116" s="21">
        <f>EXP(-LN(2)/2)*CM115+(1-EXP(-LN(2)/2))/(LN(2)/2)*CG116*CJ116*VLOOKUP('Données projet'!$B$12,Paramètres!$A$1:$I$89,3,0)*0.475*44/12</f>
        <v>1.8420348817587939E-13</v>
      </c>
      <c r="CN116" s="22">
        <f t="shared" si="66"/>
        <v>10.507824365275381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5">
      <c r="A117" s="10">
        <f t="shared" si="85"/>
        <v>114</v>
      </c>
      <c r="B117" s="73">
        <f>'Scénario référence'!$B$16*5+'Scénario référence'!$B$17*0+'Scénario référence'!$B$18*5</f>
        <v>5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1">
        <f t="shared" si="86"/>
        <v>0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7" s="11">
        <f>IF(OR('Scénario référence'!$F$8&gt;0,'Scénario référence'!$F$9&gt;0),('Scénario référence'!$F$8+'Scénario référence'!$F$9)*10,0)</f>
        <v>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18.333333333333332</v>
      </c>
      <c r="H117" s="67">
        <f t="shared" si="56"/>
        <v>183.33333333333334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0</v>
      </c>
      <c r="O117" s="13">
        <f>N117*VLOOKUP('Données projet'!$B$9,Paramètres!$A$1:$I$89,3,0)*VLOOKUP('Données projet'!$B$9,Paramètres!$A$1:$I$89,5,0)</f>
        <v>0</v>
      </c>
      <c r="P117" s="13" t="e">
        <f t="shared" si="87"/>
        <v>#NUM!</v>
      </c>
      <c r="Q117" s="20" t="e">
        <f t="shared" si="107"/>
        <v>#NUM!</v>
      </c>
      <c r="R117" s="59" t="e">
        <f t="shared" si="55"/>
        <v>#NUM!</v>
      </c>
      <c r="S117" s="59">
        <f ca="1">AVERAGE(OFFSET($R$3,0,0,'Données projet'!$E$9+1,1))-AVERAGE(OFFSET($H$3,0,0,'Données projet'!$E$9+1,1))</f>
        <v>112.82287576550925</v>
      </c>
      <c r="T117" s="59">
        <f t="shared" si="88"/>
        <v>317.78570695363294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9.3467997256151847</v>
      </c>
      <c r="AA117" s="21">
        <f>EXP(-LN(2)/25)*AA116+(1-EXP(-LN(2)/25))/(LN(2)/25)*Calculateur!V117*Calculateur!X117*VLOOKUP('Données projet'!$B$9,Paramètres!$A$1:$I$89,3,0)*0.475*44/12</f>
        <v>0.94743750833334661</v>
      </c>
      <c r="AB117" s="21">
        <f>EXP(-LN(2)/2)*AB116+(1-EXP(-LN(2)/2))/(LN(2)/2)*V117*Y117*VLOOKUP('Données projet'!$B$9,Paramètres!$A$1:$I$89,3,0)*0.475*44/12</f>
        <v>1.3025153560738034E-13</v>
      </c>
      <c r="AC117" s="22">
        <f t="shared" si="57"/>
        <v>10.29423723394866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0</v>
      </c>
      <c r="AJ117" s="13">
        <f>AI117*VLOOKUP('Données projet'!$B$10,Paramètres!$A$1:$I$89,3,0)*VLOOKUP('Données projet'!$B$10,Paramètres!$A$1:$I$89,5,0)</f>
        <v>0</v>
      </c>
      <c r="AK117" s="13" t="e">
        <f t="shared" si="89"/>
        <v>#NUM!</v>
      </c>
      <c r="AL117" s="20" t="e">
        <f t="shared" si="58"/>
        <v>#NUM!</v>
      </c>
      <c r="AM117" s="59" t="e">
        <f t="shared" si="59"/>
        <v>#NUM!</v>
      </c>
      <c r="AN117" s="59">
        <f ca="1">AVERAGE(OFFSET($AM$3,0,0,'Données projet'!$E$10+1,1))-AVERAGE(OFFSET($H$3,0,0,'Données projet'!$E$10+1,1))</f>
        <v>112.82287576550925</v>
      </c>
      <c r="AO117" s="59">
        <f t="shared" si="90"/>
        <v>317.78570695363294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9.3467997256151847</v>
      </c>
      <c r="AV117" s="21">
        <f>EXP(-LN(2)/25)*AV116+(1-EXP(-LN(2)/25))/(LN(2)/25)*Calculateur!AQ117*Calculateur!AS117*VLOOKUP('Données projet'!$B$10,Paramètres!$A$1:$I$89,3,0)*0.475*44/12</f>
        <v>0.94743750833334661</v>
      </c>
      <c r="AW117" s="21">
        <f>EXP(-LN(2)/2)*AW116+(1-EXP(-LN(2)/2))/(LN(2)/2)*AQ117*AT117*VLOOKUP('Données projet'!$B$10,Paramètres!$A$1:$I$89,3,0)*0.475*44/12</f>
        <v>1.3025153560738034E-13</v>
      </c>
      <c r="AX117" s="21">
        <f t="shared" si="60"/>
        <v>10.29423723394866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0</v>
      </c>
      <c r="BE117" s="13">
        <f>BD117*VLOOKUP('Données projet'!$B$11,Paramètres!$A$1:$I$89,3,0)*VLOOKUP('Données projet'!$B$11,Paramètres!$A$1:$I$89,5,0)</f>
        <v>0</v>
      </c>
      <c r="BF117" s="13" t="e">
        <f t="shared" si="91"/>
        <v>#NUM!</v>
      </c>
      <c r="BG117" s="20" t="e">
        <f t="shared" si="61"/>
        <v>#NUM!</v>
      </c>
      <c r="BH117" s="59" t="e">
        <f t="shared" si="62"/>
        <v>#NUM!</v>
      </c>
      <c r="BI117" s="59">
        <f ca="1">AVERAGE(OFFSET($BH$3,0,0,'Données projet'!$E$11+1,1))-AVERAGE(OFFSET($H$3,0,0,'Données projet'!$E$11+1,1))</f>
        <v>112.82287576550925</v>
      </c>
      <c r="BJ117" s="59">
        <f t="shared" si="92"/>
        <v>317.78570695363294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9.3467997256151847</v>
      </c>
      <c r="BQ117" s="21">
        <f>EXP(-LN(2)/25)*BQ116+(1-EXP(-LN(2)/25))/(LN(2)/25)*Calculateur!BL117*Calculateur!BN117*VLOOKUP('Données projet'!$B$11,Paramètres!$A$1:$I$89,3,0)*0.475*44/12</f>
        <v>0.94743750833334661</v>
      </c>
      <c r="BR117" s="21">
        <f>EXP(-LN(2)/2)*BR116+(1-EXP(-LN(2)/2))/(LN(2)/2)*BL117*BO117*VLOOKUP('Données projet'!$B$11,Paramètres!$A$1:$I$89,3,0)*0.475*44/12</f>
        <v>1.3025153560738034E-13</v>
      </c>
      <c r="BS117" s="22">
        <f t="shared" si="63"/>
        <v>10.29423723394866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>
        <f>BY117*VLOOKUP('Données projet'!$B$12,Paramètres!$A$1:$I$89,3,0)*VLOOKUP('Données projet'!$B$12,Paramètres!$A$1:$I$89,5,0)</f>
        <v>0</v>
      </c>
      <c r="CA117" s="13" t="e">
        <f t="shared" si="93"/>
        <v>#NUM!</v>
      </c>
      <c r="CB117" s="20" t="e">
        <f t="shared" si="64"/>
        <v>#NUM!</v>
      </c>
      <c r="CC117" s="59" t="e">
        <f t="shared" si="65"/>
        <v>#NUM!</v>
      </c>
      <c r="CD117" s="59">
        <f ca="1">AVERAGE(OFFSET($CC$3,0,0,'Données projet'!$E$12+1,1))-AVERAGE(OFFSET($H$3,0,0,'Données projet'!$E$12+1,1))</f>
        <v>112.82287576550925</v>
      </c>
      <c r="CE117" s="59">
        <f t="shared" si="94"/>
        <v>317.78570695363294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>
        <f>EXP(-LN(2)/35)*CK116+(1-EXP(-LN(2)/35))/(LN(2)/35)*CG117*CH117*VLOOKUP('Données projet'!$B$12,Paramètres!$A$1:$I$89,3,0)*0.475*44/12</f>
        <v>9.3467997256151847</v>
      </c>
      <c r="CL117" s="21">
        <f>EXP(-LN(2)/25)*CL116+(1-EXP(-LN(2)/25))/(LN(2)/25)*Calculateur!CG117*Calculateur!CI117*VLOOKUP('Données projet'!$B$12,Paramètres!$A$1:$I$89,3,0)*0.475*44/12</f>
        <v>0.94743750833334661</v>
      </c>
      <c r="CM117" s="21">
        <f>EXP(-LN(2)/2)*CM116+(1-EXP(-LN(2)/2))/(LN(2)/2)*CG117*CJ117*VLOOKUP('Données projet'!$B$12,Paramètres!$A$1:$I$89,3,0)*0.475*44/12</f>
        <v>1.3025153560738034E-13</v>
      </c>
      <c r="CN117" s="22">
        <f t="shared" si="66"/>
        <v>10.29423723394866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5">
      <c r="A118" s="10">
        <f t="shared" si="85"/>
        <v>115</v>
      </c>
      <c r="B118" s="73">
        <f>'Scénario référence'!$B$16*5+'Scénario référence'!$B$17*0+'Scénario référence'!$B$18*5</f>
        <v>5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1">
        <f t="shared" si="86"/>
        <v>0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8" s="11">
        <f>IF(OR('Scénario référence'!$F$8&gt;0,'Scénario référence'!$F$9&gt;0),('Scénario référence'!$F$8+'Scénario référence'!$F$9)*10,0)</f>
        <v>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18.333333333333332</v>
      </c>
      <c r="H118" s="67">
        <f t="shared" si="56"/>
        <v>183.33333333333334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0</v>
      </c>
      <c r="O118" s="13">
        <f>N118*VLOOKUP('Données projet'!$B$9,Paramètres!$A$1:$I$89,3,0)*VLOOKUP('Données projet'!$B$9,Paramètres!$A$1:$I$89,5,0)</f>
        <v>0</v>
      </c>
      <c r="P118" s="13" t="e">
        <f t="shared" si="87"/>
        <v>#NUM!</v>
      </c>
      <c r="Q118" s="20" t="e">
        <f t="shared" si="107"/>
        <v>#NUM!</v>
      </c>
      <c r="R118" s="59" t="e">
        <f t="shared" si="55"/>
        <v>#NUM!</v>
      </c>
      <c r="S118" s="59">
        <f ca="1">AVERAGE(OFFSET($R$3,0,0,'Données projet'!$E$9+1,1))-AVERAGE(OFFSET($H$3,0,0,'Données projet'!$E$9+1,1))</f>
        <v>112.82287576550925</v>
      </c>
      <c r="T118" s="59">
        <f t="shared" si="88"/>
        <v>317.78570695363294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9.1635146839807788</v>
      </c>
      <c r="AA118" s="21">
        <f>EXP(-LN(2)/25)*AA117+(1-EXP(-LN(2)/25))/(LN(2)/25)*Calculateur!V118*Calculateur!X118*VLOOKUP('Données projet'!$B$9,Paramètres!$A$1:$I$89,3,0)*0.475*44/12</f>
        <v>0.9215297798443981</v>
      </c>
      <c r="AB118" s="21">
        <f>EXP(-LN(2)/2)*AB117+(1-EXP(-LN(2)/2))/(LN(2)/2)*V118*Y118*VLOOKUP('Données projet'!$B$9,Paramètres!$A$1:$I$89,3,0)*0.475*44/12</f>
        <v>9.2101744087939697E-14</v>
      </c>
      <c r="AC118" s="22">
        <f t="shared" si="57"/>
        <v>10.08504446382527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0</v>
      </c>
      <c r="AJ118" s="13">
        <f>AI118*VLOOKUP('Données projet'!$B$10,Paramètres!$A$1:$I$89,3,0)*VLOOKUP('Données projet'!$B$10,Paramètres!$A$1:$I$89,5,0)</f>
        <v>0</v>
      </c>
      <c r="AK118" s="13" t="e">
        <f t="shared" si="89"/>
        <v>#NUM!</v>
      </c>
      <c r="AL118" s="20" t="e">
        <f t="shared" si="58"/>
        <v>#NUM!</v>
      </c>
      <c r="AM118" s="59" t="e">
        <f t="shared" si="59"/>
        <v>#NUM!</v>
      </c>
      <c r="AN118" s="59">
        <f ca="1">AVERAGE(OFFSET($AM$3,0,0,'Données projet'!$E$10+1,1))-AVERAGE(OFFSET($H$3,0,0,'Données projet'!$E$10+1,1))</f>
        <v>112.82287576550925</v>
      </c>
      <c r="AO118" s="59">
        <f t="shared" si="90"/>
        <v>317.78570695363294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9.1635146839807788</v>
      </c>
      <c r="AV118" s="21">
        <f>EXP(-LN(2)/25)*AV117+(1-EXP(-LN(2)/25))/(LN(2)/25)*Calculateur!AQ118*Calculateur!AS118*VLOOKUP('Données projet'!$B$10,Paramètres!$A$1:$I$89,3,0)*0.475*44/12</f>
        <v>0.9215297798443981</v>
      </c>
      <c r="AW118" s="21">
        <f>EXP(-LN(2)/2)*AW117+(1-EXP(-LN(2)/2))/(LN(2)/2)*AQ118*AT118*VLOOKUP('Données projet'!$B$10,Paramètres!$A$1:$I$89,3,0)*0.475*44/12</f>
        <v>9.2101744087939697E-14</v>
      </c>
      <c r="AX118" s="21">
        <f t="shared" si="60"/>
        <v>10.08504446382527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0</v>
      </c>
      <c r="BE118" s="13">
        <f>BD118*VLOOKUP('Données projet'!$B$11,Paramètres!$A$1:$I$89,3,0)*VLOOKUP('Données projet'!$B$11,Paramètres!$A$1:$I$89,5,0)</f>
        <v>0</v>
      </c>
      <c r="BF118" s="13" t="e">
        <f t="shared" si="91"/>
        <v>#NUM!</v>
      </c>
      <c r="BG118" s="20" t="e">
        <f t="shared" si="61"/>
        <v>#NUM!</v>
      </c>
      <c r="BH118" s="59" t="e">
        <f t="shared" si="62"/>
        <v>#NUM!</v>
      </c>
      <c r="BI118" s="59">
        <f ca="1">AVERAGE(OFFSET($BH$3,0,0,'Données projet'!$E$11+1,1))-AVERAGE(OFFSET($H$3,0,0,'Données projet'!$E$11+1,1))</f>
        <v>112.82287576550925</v>
      </c>
      <c r="BJ118" s="59">
        <f t="shared" si="92"/>
        <v>317.78570695363294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9.1635146839807788</v>
      </c>
      <c r="BQ118" s="21">
        <f>EXP(-LN(2)/25)*BQ117+(1-EXP(-LN(2)/25))/(LN(2)/25)*Calculateur!BL118*Calculateur!BN118*VLOOKUP('Données projet'!$B$11,Paramètres!$A$1:$I$89,3,0)*0.475*44/12</f>
        <v>0.9215297798443981</v>
      </c>
      <c r="BR118" s="21">
        <f>EXP(-LN(2)/2)*BR117+(1-EXP(-LN(2)/2))/(LN(2)/2)*BL118*BO118*VLOOKUP('Données projet'!$B$11,Paramètres!$A$1:$I$89,3,0)*0.475*44/12</f>
        <v>9.2101744087939697E-14</v>
      </c>
      <c r="BS118" s="22">
        <f t="shared" si="63"/>
        <v>10.08504446382527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>
        <f>BY118*VLOOKUP('Données projet'!$B$12,Paramètres!$A$1:$I$89,3,0)*VLOOKUP('Données projet'!$B$12,Paramètres!$A$1:$I$89,5,0)</f>
        <v>0</v>
      </c>
      <c r="CA118" s="13" t="e">
        <f t="shared" si="93"/>
        <v>#NUM!</v>
      </c>
      <c r="CB118" s="20" t="e">
        <f t="shared" si="64"/>
        <v>#NUM!</v>
      </c>
      <c r="CC118" s="59" t="e">
        <f t="shared" si="65"/>
        <v>#NUM!</v>
      </c>
      <c r="CD118" s="59">
        <f ca="1">AVERAGE(OFFSET($CC$3,0,0,'Données projet'!$E$12+1,1))-AVERAGE(OFFSET($H$3,0,0,'Données projet'!$E$12+1,1))</f>
        <v>112.82287576550925</v>
      </c>
      <c r="CE118" s="59">
        <f t="shared" si="94"/>
        <v>317.78570695363294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>
        <f>EXP(-LN(2)/35)*CK117+(1-EXP(-LN(2)/35))/(LN(2)/35)*CG118*CH118*VLOOKUP('Données projet'!$B$12,Paramètres!$A$1:$I$89,3,0)*0.475*44/12</f>
        <v>9.1635146839807788</v>
      </c>
      <c r="CL118" s="21">
        <f>EXP(-LN(2)/25)*CL117+(1-EXP(-LN(2)/25))/(LN(2)/25)*Calculateur!CG118*Calculateur!CI118*VLOOKUP('Données projet'!$B$12,Paramètres!$A$1:$I$89,3,0)*0.475*44/12</f>
        <v>0.9215297798443981</v>
      </c>
      <c r="CM118" s="21">
        <f>EXP(-LN(2)/2)*CM117+(1-EXP(-LN(2)/2))/(LN(2)/2)*CG118*CJ118*VLOOKUP('Données projet'!$B$12,Paramètres!$A$1:$I$89,3,0)*0.475*44/12</f>
        <v>9.2101744087939697E-14</v>
      </c>
      <c r="CN118" s="22">
        <f t="shared" si="66"/>
        <v>10.08504446382527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5">
      <c r="A119" s="10">
        <f t="shared" si="85"/>
        <v>116</v>
      </c>
      <c r="B119" s="73">
        <f>'Scénario référence'!$B$16*5+'Scénario référence'!$B$17*0+'Scénario référence'!$B$18*5</f>
        <v>5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1">
        <f t="shared" si="86"/>
        <v>0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9" s="11">
        <f>IF(OR('Scénario référence'!$F$8&gt;0,'Scénario référence'!$F$9&gt;0),('Scénario référence'!$F$8+'Scénario référence'!$F$9)*10,0)</f>
        <v>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18.333333333333332</v>
      </c>
      <c r="H119" s="67">
        <f t="shared" si="56"/>
        <v>183.33333333333334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0</v>
      </c>
      <c r="O119" s="13">
        <f>N119*VLOOKUP('Données projet'!$B$9,Paramètres!$A$1:$I$89,3,0)*VLOOKUP('Données projet'!$B$9,Paramètres!$A$1:$I$89,5,0)</f>
        <v>0</v>
      </c>
      <c r="P119" s="13" t="e">
        <f t="shared" si="87"/>
        <v>#NUM!</v>
      </c>
      <c r="Q119" s="20" t="e">
        <f t="shared" si="107"/>
        <v>#NUM!</v>
      </c>
      <c r="R119" s="59" t="e">
        <f t="shared" si="55"/>
        <v>#NUM!</v>
      </c>
      <c r="S119" s="59">
        <f ca="1">AVERAGE(OFFSET($R$3,0,0,'Données projet'!$E$9+1,1))-AVERAGE(OFFSET($H$3,0,0,'Données projet'!$E$9+1,1))</f>
        <v>112.82287576550925</v>
      </c>
      <c r="T119" s="59">
        <f t="shared" si="88"/>
        <v>317.78570695363294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8.9838237502199867</v>
      </c>
      <c r="AA119" s="21">
        <f>EXP(-LN(2)/25)*AA118+(1-EXP(-LN(2)/25))/(LN(2)/25)*Calculateur!V119*Calculateur!X119*VLOOKUP('Données projet'!$B$9,Paramètres!$A$1:$I$89,3,0)*0.475*44/12</f>
        <v>0.89633049955340804</v>
      </c>
      <c r="AB119" s="21">
        <f>EXP(-LN(2)/2)*AB118+(1-EXP(-LN(2)/2))/(LN(2)/2)*V119*Y119*VLOOKUP('Données projet'!$B$9,Paramètres!$A$1:$I$89,3,0)*0.475*44/12</f>
        <v>6.5125767803690172E-14</v>
      </c>
      <c r="AC119" s="22">
        <f t="shared" si="57"/>
        <v>9.8801542497734598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0</v>
      </c>
      <c r="AJ119" s="13">
        <f>AI119*VLOOKUP('Données projet'!$B$10,Paramètres!$A$1:$I$89,3,0)*VLOOKUP('Données projet'!$B$10,Paramètres!$A$1:$I$89,5,0)</f>
        <v>0</v>
      </c>
      <c r="AK119" s="13" t="e">
        <f t="shared" si="89"/>
        <v>#NUM!</v>
      </c>
      <c r="AL119" s="20" t="e">
        <f t="shared" si="58"/>
        <v>#NUM!</v>
      </c>
      <c r="AM119" s="59" t="e">
        <f t="shared" si="59"/>
        <v>#NUM!</v>
      </c>
      <c r="AN119" s="59">
        <f ca="1">AVERAGE(OFFSET($AM$3,0,0,'Données projet'!$E$10+1,1))-AVERAGE(OFFSET($H$3,0,0,'Données projet'!$E$10+1,1))</f>
        <v>112.82287576550925</v>
      </c>
      <c r="AO119" s="59">
        <f t="shared" si="90"/>
        <v>317.78570695363294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8.9838237502199867</v>
      </c>
      <c r="AV119" s="21">
        <f>EXP(-LN(2)/25)*AV118+(1-EXP(-LN(2)/25))/(LN(2)/25)*Calculateur!AQ119*Calculateur!AS119*VLOOKUP('Données projet'!$B$10,Paramètres!$A$1:$I$89,3,0)*0.475*44/12</f>
        <v>0.89633049955340804</v>
      </c>
      <c r="AW119" s="21">
        <f>EXP(-LN(2)/2)*AW118+(1-EXP(-LN(2)/2))/(LN(2)/2)*AQ119*AT119*VLOOKUP('Données projet'!$B$10,Paramètres!$A$1:$I$89,3,0)*0.475*44/12</f>
        <v>6.5125767803690172E-14</v>
      </c>
      <c r="AX119" s="21">
        <f t="shared" si="60"/>
        <v>9.8801542497734598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0</v>
      </c>
      <c r="BE119" s="13">
        <f>BD119*VLOOKUP('Données projet'!$B$11,Paramètres!$A$1:$I$89,3,0)*VLOOKUP('Données projet'!$B$11,Paramètres!$A$1:$I$89,5,0)</f>
        <v>0</v>
      </c>
      <c r="BF119" s="13" t="e">
        <f t="shared" si="91"/>
        <v>#NUM!</v>
      </c>
      <c r="BG119" s="20" t="e">
        <f t="shared" si="61"/>
        <v>#NUM!</v>
      </c>
      <c r="BH119" s="59" t="e">
        <f t="shared" si="62"/>
        <v>#NUM!</v>
      </c>
      <c r="BI119" s="59">
        <f ca="1">AVERAGE(OFFSET($BH$3,0,0,'Données projet'!$E$11+1,1))-AVERAGE(OFFSET($H$3,0,0,'Données projet'!$E$11+1,1))</f>
        <v>112.82287576550925</v>
      </c>
      <c r="BJ119" s="59">
        <f t="shared" si="92"/>
        <v>317.78570695363294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8.9838237502199867</v>
      </c>
      <c r="BQ119" s="21">
        <f>EXP(-LN(2)/25)*BQ118+(1-EXP(-LN(2)/25))/(LN(2)/25)*Calculateur!BL119*Calculateur!BN119*VLOOKUP('Données projet'!$B$11,Paramètres!$A$1:$I$89,3,0)*0.475*44/12</f>
        <v>0.89633049955340804</v>
      </c>
      <c r="BR119" s="21">
        <f>EXP(-LN(2)/2)*BR118+(1-EXP(-LN(2)/2))/(LN(2)/2)*BL119*BO119*VLOOKUP('Données projet'!$B$11,Paramètres!$A$1:$I$89,3,0)*0.475*44/12</f>
        <v>6.5125767803690172E-14</v>
      </c>
      <c r="BS119" s="22">
        <f t="shared" si="63"/>
        <v>9.8801542497734598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>
        <f>BY119*VLOOKUP('Données projet'!$B$12,Paramètres!$A$1:$I$89,3,0)*VLOOKUP('Données projet'!$B$12,Paramètres!$A$1:$I$89,5,0)</f>
        <v>0</v>
      </c>
      <c r="CA119" s="13" t="e">
        <f t="shared" si="93"/>
        <v>#NUM!</v>
      </c>
      <c r="CB119" s="20" t="e">
        <f t="shared" si="64"/>
        <v>#NUM!</v>
      </c>
      <c r="CC119" s="59" t="e">
        <f t="shared" si="65"/>
        <v>#NUM!</v>
      </c>
      <c r="CD119" s="59">
        <f ca="1">AVERAGE(OFFSET($CC$3,0,0,'Données projet'!$E$12+1,1))-AVERAGE(OFFSET($H$3,0,0,'Données projet'!$E$12+1,1))</f>
        <v>112.82287576550925</v>
      </c>
      <c r="CE119" s="59">
        <f t="shared" si="94"/>
        <v>317.78570695363294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>
        <f>EXP(-LN(2)/35)*CK118+(1-EXP(-LN(2)/35))/(LN(2)/35)*CG119*CH119*VLOOKUP('Données projet'!$B$12,Paramètres!$A$1:$I$89,3,0)*0.475*44/12</f>
        <v>8.9838237502199867</v>
      </c>
      <c r="CL119" s="21">
        <f>EXP(-LN(2)/25)*CL118+(1-EXP(-LN(2)/25))/(LN(2)/25)*Calculateur!CG119*Calculateur!CI119*VLOOKUP('Données projet'!$B$12,Paramètres!$A$1:$I$89,3,0)*0.475*44/12</f>
        <v>0.89633049955340804</v>
      </c>
      <c r="CM119" s="21">
        <f>EXP(-LN(2)/2)*CM118+(1-EXP(-LN(2)/2))/(LN(2)/2)*CG119*CJ119*VLOOKUP('Données projet'!$B$12,Paramètres!$A$1:$I$89,3,0)*0.475*44/12</f>
        <v>6.5125767803690172E-14</v>
      </c>
      <c r="CN119" s="22">
        <f t="shared" si="66"/>
        <v>9.8801542497734598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5">
      <c r="A120" s="10">
        <f t="shared" si="85"/>
        <v>117</v>
      </c>
      <c r="B120" s="73">
        <f>'Scénario référence'!$B$16*5+'Scénario référence'!$B$17*0+'Scénario référence'!$B$18*5</f>
        <v>5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1">
        <f t="shared" si="86"/>
        <v>0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0" s="11">
        <f>IF(OR('Scénario référence'!$F$8&gt;0,'Scénario référence'!$F$9&gt;0),('Scénario référence'!$F$8+'Scénario référence'!$F$9)*10,0)</f>
        <v>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18.333333333333332</v>
      </c>
      <c r="H120" s="67">
        <f t="shared" si="56"/>
        <v>183.33333333333334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0</v>
      </c>
      <c r="O120" s="13">
        <f>N120*VLOOKUP('Données projet'!$B$9,Paramètres!$A$1:$I$89,3,0)*VLOOKUP('Données projet'!$B$9,Paramètres!$A$1:$I$89,5,0)</f>
        <v>0</v>
      </c>
      <c r="P120" s="13" t="e">
        <f t="shared" si="87"/>
        <v>#NUM!</v>
      </c>
      <c r="Q120" s="20" t="e">
        <f t="shared" si="107"/>
        <v>#NUM!</v>
      </c>
      <c r="R120" s="59" t="e">
        <f t="shared" si="55"/>
        <v>#NUM!</v>
      </c>
      <c r="S120" s="59">
        <f ca="1">AVERAGE(OFFSET($R$3,0,0,'Données projet'!$E$9+1,1))-AVERAGE(OFFSET($H$3,0,0,'Données projet'!$E$9+1,1))</f>
        <v>112.82287576550925</v>
      </c>
      <c r="T120" s="59">
        <f t="shared" si="88"/>
        <v>317.78570695363294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8.8076564460695952</v>
      </c>
      <c r="AA120" s="21">
        <f>EXP(-LN(2)/25)*AA119+(1-EXP(-LN(2)/25))/(LN(2)/25)*Calculateur!V120*Calculateur!X120*VLOOKUP('Données projet'!$B$9,Paramètres!$A$1:$I$89,3,0)*0.475*44/12</f>
        <v>0.87182029490714774</v>
      </c>
      <c r="AB120" s="21">
        <f>EXP(-LN(2)/2)*AB119+(1-EXP(-LN(2)/2))/(LN(2)/2)*V120*Y120*VLOOKUP('Données projet'!$B$9,Paramètres!$A$1:$I$89,3,0)*0.475*44/12</f>
        <v>4.6050872043969849E-14</v>
      </c>
      <c r="AC120" s="22">
        <f t="shared" si="57"/>
        <v>9.6794767409767886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0</v>
      </c>
      <c r="AJ120" s="13">
        <f>AI120*VLOOKUP('Données projet'!$B$10,Paramètres!$A$1:$I$89,3,0)*VLOOKUP('Données projet'!$B$10,Paramètres!$A$1:$I$89,5,0)</f>
        <v>0</v>
      </c>
      <c r="AK120" s="13" t="e">
        <f t="shared" si="89"/>
        <v>#NUM!</v>
      </c>
      <c r="AL120" s="20" t="e">
        <f t="shared" si="58"/>
        <v>#NUM!</v>
      </c>
      <c r="AM120" s="59" t="e">
        <f t="shared" si="59"/>
        <v>#NUM!</v>
      </c>
      <c r="AN120" s="59">
        <f ca="1">AVERAGE(OFFSET($AM$3,0,0,'Données projet'!$E$10+1,1))-AVERAGE(OFFSET($H$3,0,0,'Données projet'!$E$10+1,1))</f>
        <v>112.82287576550925</v>
      </c>
      <c r="AO120" s="59">
        <f t="shared" si="90"/>
        <v>317.78570695363294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8.8076564460695952</v>
      </c>
      <c r="AV120" s="21">
        <f>EXP(-LN(2)/25)*AV119+(1-EXP(-LN(2)/25))/(LN(2)/25)*Calculateur!AQ120*Calculateur!AS120*VLOOKUP('Données projet'!$B$10,Paramètres!$A$1:$I$89,3,0)*0.475*44/12</f>
        <v>0.87182029490714774</v>
      </c>
      <c r="AW120" s="21">
        <f>EXP(-LN(2)/2)*AW119+(1-EXP(-LN(2)/2))/(LN(2)/2)*AQ120*AT120*VLOOKUP('Données projet'!$B$10,Paramètres!$A$1:$I$89,3,0)*0.475*44/12</f>
        <v>4.6050872043969849E-14</v>
      </c>
      <c r="AX120" s="21">
        <f t="shared" si="60"/>
        <v>9.6794767409767886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0</v>
      </c>
      <c r="BE120" s="13">
        <f>BD120*VLOOKUP('Données projet'!$B$11,Paramètres!$A$1:$I$89,3,0)*VLOOKUP('Données projet'!$B$11,Paramètres!$A$1:$I$89,5,0)</f>
        <v>0</v>
      </c>
      <c r="BF120" s="13" t="e">
        <f t="shared" si="91"/>
        <v>#NUM!</v>
      </c>
      <c r="BG120" s="20" t="e">
        <f t="shared" si="61"/>
        <v>#NUM!</v>
      </c>
      <c r="BH120" s="59" t="e">
        <f t="shared" si="62"/>
        <v>#NUM!</v>
      </c>
      <c r="BI120" s="59">
        <f ca="1">AVERAGE(OFFSET($BH$3,0,0,'Données projet'!$E$11+1,1))-AVERAGE(OFFSET($H$3,0,0,'Données projet'!$E$11+1,1))</f>
        <v>112.82287576550925</v>
      </c>
      <c r="BJ120" s="59">
        <f t="shared" si="92"/>
        <v>317.78570695363294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8.8076564460695952</v>
      </c>
      <c r="BQ120" s="21">
        <f>EXP(-LN(2)/25)*BQ119+(1-EXP(-LN(2)/25))/(LN(2)/25)*Calculateur!BL120*Calculateur!BN120*VLOOKUP('Données projet'!$B$11,Paramètres!$A$1:$I$89,3,0)*0.475*44/12</f>
        <v>0.87182029490714774</v>
      </c>
      <c r="BR120" s="21">
        <f>EXP(-LN(2)/2)*BR119+(1-EXP(-LN(2)/2))/(LN(2)/2)*BL120*BO120*VLOOKUP('Données projet'!$B$11,Paramètres!$A$1:$I$89,3,0)*0.475*44/12</f>
        <v>4.6050872043969849E-14</v>
      </c>
      <c r="BS120" s="22">
        <f t="shared" si="63"/>
        <v>9.6794767409767886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>
        <f>BY120*VLOOKUP('Données projet'!$B$12,Paramètres!$A$1:$I$89,3,0)*VLOOKUP('Données projet'!$B$12,Paramètres!$A$1:$I$89,5,0)</f>
        <v>0</v>
      </c>
      <c r="CA120" s="13" t="e">
        <f t="shared" si="93"/>
        <v>#NUM!</v>
      </c>
      <c r="CB120" s="20" t="e">
        <f t="shared" si="64"/>
        <v>#NUM!</v>
      </c>
      <c r="CC120" s="59" t="e">
        <f t="shared" si="65"/>
        <v>#NUM!</v>
      </c>
      <c r="CD120" s="59">
        <f ca="1">AVERAGE(OFFSET($CC$3,0,0,'Données projet'!$E$12+1,1))-AVERAGE(OFFSET($H$3,0,0,'Données projet'!$E$12+1,1))</f>
        <v>112.82287576550925</v>
      </c>
      <c r="CE120" s="59">
        <f t="shared" si="94"/>
        <v>317.78570695363294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>
        <f>EXP(-LN(2)/35)*CK119+(1-EXP(-LN(2)/35))/(LN(2)/35)*CG120*CH120*VLOOKUP('Données projet'!$B$12,Paramètres!$A$1:$I$89,3,0)*0.475*44/12</f>
        <v>8.8076564460695952</v>
      </c>
      <c r="CL120" s="21">
        <f>EXP(-LN(2)/25)*CL119+(1-EXP(-LN(2)/25))/(LN(2)/25)*Calculateur!CG120*Calculateur!CI120*VLOOKUP('Données projet'!$B$12,Paramètres!$A$1:$I$89,3,0)*0.475*44/12</f>
        <v>0.87182029490714774</v>
      </c>
      <c r="CM120" s="21">
        <f>EXP(-LN(2)/2)*CM119+(1-EXP(-LN(2)/2))/(LN(2)/2)*CG120*CJ120*VLOOKUP('Données projet'!$B$12,Paramètres!$A$1:$I$89,3,0)*0.475*44/12</f>
        <v>4.6050872043969849E-14</v>
      </c>
      <c r="CN120" s="22">
        <f t="shared" si="66"/>
        <v>9.6794767409767886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5">
      <c r="A121" s="10">
        <f t="shared" si="85"/>
        <v>118</v>
      </c>
      <c r="B121" s="73">
        <f>'Scénario référence'!$B$16*5+'Scénario référence'!$B$17*0+'Scénario référence'!$B$18*5</f>
        <v>5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1">
        <f t="shared" si="86"/>
        <v>0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1" s="11">
        <f>IF(OR('Scénario référence'!$F$8&gt;0,'Scénario référence'!$F$9&gt;0),('Scénario référence'!$F$8+'Scénario référence'!$F$9)*10,0)</f>
        <v>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18.333333333333332</v>
      </c>
      <c r="H121" s="67">
        <f t="shared" si="56"/>
        <v>183.33333333333334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0</v>
      </c>
      <c r="O121" s="13">
        <f>N121*VLOOKUP('Données projet'!$B$9,Paramètres!$A$1:$I$89,3,0)*VLOOKUP('Données projet'!$B$9,Paramètres!$A$1:$I$89,5,0)</f>
        <v>0</v>
      </c>
      <c r="P121" s="13" t="e">
        <f t="shared" si="87"/>
        <v>#NUM!</v>
      </c>
      <c r="Q121" s="20" t="e">
        <f t="shared" si="107"/>
        <v>#NUM!</v>
      </c>
      <c r="R121" s="59" t="e">
        <f t="shared" si="55"/>
        <v>#NUM!</v>
      </c>
      <c r="S121" s="59">
        <f ca="1">AVERAGE(OFFSET($R$3,0,0,'Données projet'!$E$9+1,1))-AVERAGE(OFFSET($H$3,0,0,'Données projet'!$E$9+1,1))</f>
        <v>112.82287576550925</v>
      </c>
      <c r="T121" s="59">
        <f t="shared" si="88"/>
        <v>317.78570695363294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8.6349436753021482</v>
      </c>
      <c r="AA121" s="21">
        <f>EXP(-LN(2)/25)*AA120+(1-EXP(-LN(2)/25))/(LN(2)/25)*Calculateur!V121*Calculateur!X121*VLOOKUP('Données projet'!$B$9,Paramètres!$A$1:$I$89,3,0)*0.475*44/12</f>
        <v>0.84798032309587501</v>
      </c>
      <c r="AB121" s="21">
        <f>EXP(-LN(2)/2)*AB120+(1-EXP(-LN(2)/2))/(LN(2)/2)*V121*Y121*VLOOKUP('Données projet'!$B$9,Paramètres!$A$1:$I$89,3,0)*0.475*44/12</f>
        <v>3.2562883901845086E-14</v>
      </c>
      <c r="AC121" s="22">
        <f t="shared" si="57"/>
        <v>9.4829239983980553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0</v>
      </c>
      <c r="AJ121" s="13">
        <f>AI121*VLOOKUP('Données projet'!$B$10,Paramètres!$A$1:$I$89,3,0)*VLOOKUP('Données projet'!$B$10,Paramètres!$A$1:$I$89,5,0)</f>
        <v>0</v>
      </c>
      <c r="AK121" s="13" t="e">
        <f t="shared" si="89"/>
        <v>#NUM!</v>
      </c>
      <c r="AL121" s="20" t="e">
        <f t="shared" si="58"/>
        <v>#NUM!</v>
      </c>
      <c r="AM121" s="59" t="e">
        <f t="shared" si="59"/>
        <v>#NUM!</v>
      </c>
      <c r="AN121" s="59">
        <f ca="1">AVERAGE(OFFSET($AM$3,0,0,'Données projet'!$E$10+1,1))-AVERAGE(OFFSET($H$3,0,0,'Données projet'!$E$10+1,1))</f>
        <v>112.82287576550925</v>
      </c>
      <c r="AO121" s="59">
        <f t="shared" si="90"/>
        <v>317.78570695363294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8.6349436753021482</v>
      </c>
      <c r="AV121" s="21">
        <f>EXP(-LN(2)/25)*AV120+(1-EXP(-LN(2)/25))/(LN(2)/25)*Calculateur!AQ121*Calculateur!AS121*VLOOKUP('Données projet'!$B$10,Paramètres!$A$1:$I$89,3,0)*0.475*44/12</f>
        <v>0.84798032309587501</v>
      </c>
      <c r="AW121" s="21">
        <f>EXP(-LN(2)/2)*AW120+(1-EXP(-LN(2)/2))/(LN(2)/2)*AQ121*AT121*VLOOKUP('Données projet'!$B$10,Paramètres!$A$1:$I$89,3,0)*0.475*44/12</f>
        <v>3.2562883901845086E-14</v>
      </c>
      <c r="AX121" s="21">
        <f t="shared" si="60"/>
        <v>9.4829239983980553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0</v>
      </c>
      <c r="BE121" s="13">
        <f>BD121*VLOOKUP('Données projet'!$B$11,Paramètres!$A$1:$I$89,3,0)*VLOOKUP('Données projet'!$B$11,Paramètres!$A$1:$I$89,5,0)</f>
        <v>0</v>
      </c>
      <c r="BF121" s="13" t="e">
        <f t="shared" si="91"/>
        <v>#NUM!</v>
      </c>
      <c r="BG121" s="20" t="e">
        <f t="shared" si="61"/>
        <v>#NUM!</v>
      </c>
      <c r="BH121" s="59" t="e">
        <f t="shared" si="62"/>
        <v>#NUM!</v>
      </c>
      <c r="BI121" s="59">
        <f ca="1">AVERAGE(OFFSET($BH$3,0,0,'Données projet'!$E$11+1,1))-AVERAGE(OFFSET($H$3,0,0,'Données projet'!$E$11+1,1))</f>
        <v>112.82287576550925</v>
      </c>
      <c r="BJ121" s="59">
        <f t="shared" si="92"/>
        <v>317.78570695363294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8.6349436753021482</v>
      </c>
      <c r="BQ121" s="21">
        <f>EXP(-LN(2)/25)*BQ120+(1-EXP(-LN(2)/25))/(LN(2)/25)*Calculateur!BL121*Calculateur!BN121*VLOOKUP('Données projet'!$B$11,Paramètres!$A$1:$I$89,3,0)*0.475*44/12</f>
        <v>0.84798032309587501</v>
      </c>
      <c r="BR121" s="21">
        <f>EXP(-LN(2)/2)*BR120+(1-EXP(-LN(2)/2))/(LN(2)/2)*BL121*BO121*VLOOKUP('Données projet'!$B$11,Paramètres!$A$1:$I$89,3,0)*0.475*44/12</f>
        <v>3.2562883901845086E-14</v>
      </c>
      <c r="BS121" s="22">
        <f t="shared" si="63"/>
        <v>9.4829239983980553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>
        <f>BY121*VLOOKUP('Données projet'!$B$12,Paramètres!$A$1:$I$89,3,0)*VLOOKUP('Données projet'!$B$12,Paramètres!$A$1:$I$89,5,0)</f>
        <v>0</v>
      </c>
      <c r="CA121" s="13" t="e">
        <f t="shared" si="93"/>
        <v>#NUM!</v>
      </c>
      <c r="CB121" s="20" t="e">
        <f t="shared" si="64"/>
        <v>#NUM!</v>
      </c>
      <c r="CC121" s="59" t="e">
        <f t="shared" si="65"/>
        <v>#NUM!</v>
      </c>
      <c r="CD121" s="59">
        <f ca="1">AVERAGE(OFFSET($CC$3,0,0,'Données projet'!$E$12+1,1))-AVERAGE(OFFSET($H$3,0,0,'Données projet'!$E$12+1,1))</f>
        <v>112.82287576550925</v>
      </c>
      <c r="CE121" s="59">
        <f t="shared" si="94"/>
        <v>317.78570695363294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>
        <f>EXP(-LN(2)/35)*CK120+(1-EXP(-LN(2)/35))/(LN(2)/35)*CG121*CH121*VLOOKUP('Données projet'!$B$12,Paramètres!$A$1:$I$89,3,0)*0.475*44/12</f>
        <v>8.6349436753021482</v>
      </c>
      <c r="CL121" s="21">
        <f>EXP(-LN(2)/25)*CL120+(1-EXP(-LN(2)/25))/(LN(2)/25)*Calculateur!CG121*Calculateur!CI121*VLOOKUP('Données projet'!$B$12,Paramètres!$A$1:$I$89,3,0)*0.475*44/12</f>
        <v>0.84798032309587501</v>
      </c>
      <c r="CM121" s="21">
        <f>EXP(-LN(2)/2)*CM120+(1-EXP(-LN(2)/2))/(LN(2)/2)*CG121*CJ121*VLOOKUP('Données projet'!$B$12,Paramètres!$A$1:$I$89,3,0)*0.475*44/12</f>
        <v>3.2562883901845086E-14</v>
      </c>
      <c r="CN121" s="22">
        <f t="shared" si="66"/>
        <v>9.4829239983980553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5">
      <c r="A122" s="10">
        <f t="shared" si="85"/>
        <v>119</v>
      </c>
      <c r="B122" s="73">
        <f>'Scénario référence'!$B$16*5+'Scénario référence'!$B$17*0+'Scénario référence'!$B$18*5</f>
        <v>5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1">
        <f t="shared" si="86"/>
        <v>0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2" s="11">
        <f>IF(OR('Scénario référence'!$F$8&gt;0,'Scénario référence'!$F$9&gt;0),('Scénario référence'!$F$8+'Scénario référence'!$F$9)*10,0)</f>
        <v>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18.333333333333332</v>
      </c>
      <c r="H122" s="67">
        <f t="shared" si="56"/>
        <v>183.33333333333334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0</v>
      </c>
      <c r="O122" s="13">
        <f>N122*VLOOKUP('Données projet'!$B$9,Paramètres!$A$1:$I$89,3,0)*VLOOKUP('Données projet'!$B$9,Paramètres!$A$1:$I$89,5,0)</f>
        <v>0</v>
      </c>
      <c r="P122" s="13" t="e">
        <f t="shared" si="87"/>
        <v>#NUM!</v>
      </c>
      <c r="Q122" s="20" t="e">
        <f t="shared" si="107"/>
        <v>#NUM!</v>
      </c>
      <c r="R122" s="59" t="e">
        <f t="shared" si="55"/>
        <v>#NUM!</v>
      </c>
      <c r="S122" s="59">
        <f ca="1">AVERAGE(OFFSET($R$3,0,0,'Données projet'!$E$9+1,1))-AVERAGE(OFFSET($H$3,0,0,'Données projet'!$E$9+1,1))</f>
        <v>112.82287576550925</v>
      </c>
      <c r="T122" s="59">
        <f t="shared" si="88"/>
        <v>317.78570695363294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8.4656176966250616</v>
      </c>
      <c r="AA122" s="21">
        <f>EXP(-LN(2)/25)*AA121+(1-EXP(-LN(2)/25))/(LN(2)/25)*Calculateur!V122*Calculateur!X122*VLOOKUP('Données projet'!$B$9,Paramètres!$A$1:$I$89,3,0)*0.475*44/12</f>
        <v>0.82479225656747124</v>
      </c>
      <c r="AB122" s="21">
        <f>EXP(-LN(2)/2)*AB121+(1-EXP(-LN(2)/2))/(LN(2)/2)*V122*Y122*VLOOKUP('Données projet'!$B$9,Paramètres!$A$1:$I$89,3,0)*0.475*44/12</f>
        <v>2.3025436021984924E-14</v>
      </c>
      <c r="AC122" s="22">
        <f t="shared" si="57"/>
        <v>9.2904099531925564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0</v>
      </c>
      <c r="AJ122" s="13">
        <f>AI122*VLOOKUP('Données projet'!$B$10,Paramètres!$A$1:$I$89,3,0)*VLOOKUP('Données projet'!$B$10,Paramètres!$A$1:$I$89,5,0)</f>
        <v>0</v>
      </c>
      <c r="AK122" s="13" t="e">
        <f t="shared" si="89"/>
        <v>#NUM!</v>
      </c>
      <c r="AL122" s="20" t="e">
        <f t="shared" si="58"/>
        <v>#NUM!</v>
      </c>
      <c r="AM122" s="59" t="e">
        <f t="shared" si="59"/>
        <v>#NUM!</v>
      </c>
      <c r="AN122" s="59">
        <f ca="1">AVERAGE(OFFSET($AM$3,0,0,'Données projet'!$E$10+1,1))-AVERAGE(OFFSET($H$3,0,0,'Données projet'!$E$10+1,1))</f>
        <v>112.82287576550925</v>
      </c>
      <c r="AO122" s="59">
        <f t="shared" si="90"/>
        <v>317.78570695363294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8.4656176966250616</v>
      </c>
      <c r="AV122" s="21">
        <f>EXP(-LN(2)/25)*AV121+(1-EXP(-LN(2)/25))/(LN(2)/25)*Calculateur!AQ122*Calculateur!AS122*VLOOKUP('Données projet'!$B$10,Paramètres!$A$1:$I$89,3,0)*0.475*44/12</f>
        <v>0.82479225656747124</v>
      </c>
      <c r="AW122" s="21">
        <f>EXP(-LN(2)/2)*AW121+(1-EXP(-LN(2)/2))/(LN(2)/2)*AQ122*AT122*VLOOKUP('Données projet'!$B$10,Paramètres!$A$1:$I$89,3,0)*0.475*44/12</f>
        <v>2.3025436021984924E-14</v>
      </c>
      <c r="AX122" s="21">
        <f t="shared" si="60"/>
        <v>9.2904099531925564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0</v>
      </c>
      <c r="BE122" s="13">
        <f>BD122*VLOOKUP('Données projet'!$B$11,Paramètres!$A$1:$I$89,3,0)*VLOOKUP('Données projet'!$B$11,Paramètres!$A$1:$I$89,5,0)</f>
        <v>0</v>
      </c>
      <c r="BF122" s="13" t="e">
        <f t="shared" si="91"/>
        <v>#NUM!</v>
      </c>
      <c r="BG122" s="20" t="e">
        <f t="shared" si="61"/>
        <v>#NUM!</v>
      </c>
      <c r="BH122" s="59" t="e">
        <f t="shared" si="62"/>
        <v>#NUM!</v>
      </c>
      <c r="BI122" s="59">
        <f ca="1">AVERAGE(OFFSET($BH$3,0,0,'Données projet'!$E$11+1,1))-AVERAGE(OFFSET($H$3,0,0,'Données projet'!$E$11+1,1))</f>
        <v>112.82287576550925</v>
      </c>
      <c r="BJ122" s="59">
        <f t="shared" si="92"/>
        <v>317.78570695363294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8.4656176966250616</v>
      </c>
      <c r="BQ122" s="21">
        <f>EXP(-LN(2)/25)*BQ121+(1-EXP(-LN(2)/25))/(LN(2)/25)*Calculateur!BL122*Calculateur!BN122*VLOOKUP('Données projet'!$B$11,Paramètres!$A$1:$I$89,3,0)*0.475*44/12</f>
        <v>0.82479225656747124</v>
      </c>
      <c r="BR122" s="21">
        <f>EXP(-LN(2)/2)*BR121+(1-EXP(-LN(2)/2))/(LN(2)/2)*BL122*BO122*VLOOKUP('Données projet'!$B$11,Paramètres!$A$1:$I$89,3,0)*0.475*44/12</f>
        <v>2.3025436021984924E-14</v>
      </c>
      <c r="BS122" s="22">
        <f t="shared" si="63"/>
        <v>9.2904099531925564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>
        <f>BY122*VLOOKUP('Données projet'!$B$12,Paramètres!$A$1:$I$89,3,0)*VLOOKUP('Données projet'!$B$12,Paramètres!$A$1:$I$89,5,0)</f>
        <v>0</v>
      </c>
      <c r="CA122" s="13" t="e">
        <f t="shared" si="93"/>
        <v>#NUM!</v>
      </c>
      <c r="CB122" s="20" t="e">
        <f t="shared" si="64"/>
        <v>#NUM!</v>
      </c>
      <c r="CC122" s="59" t="e">
        <f t="shared" si="65"/>
        <v>#NUM!</v>
      </c>
      <c r="CD122" s="59">
        <f ca="1">AVERAGE(OFFSET($CC$3,0,0,'Données projet'!$E$12+1,1))-AVERAGE(OFFSET($H$3,0,0,'Données projet'!$E$12+1,1))</f>
        <v>112.82287576550925</v>
      </c>
      <c r="CE122" s="59">
        <f t="shared" si="94"/>
        <v>317.78570695363294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>
        <f>EXP(-LN(2)/35)*CK121+(1-EXP(-LN(2)/35))/(LN(2)/35)*CG122*CH122*VLOOKUP('Données projet'!$B$12,Paramètres!$A$1:$I$89,3,0)*0.475*44/12</f>
        <v>8.4656176966250616</v>
      </c>
      <c r="CL122" s="21">
        <f>EXP(-LN(2)/25)*CL121+(1-EXP(-LN(2)/25))/(LN(2)/25)*Calculateur!CG122*Calculateur!CI122*VLOOKUP('Données projet'!$B$12,Paramètres!$A$1:$I$89,3,0)*0.475*44/12</f>
        <v>0.82479225656747124</v>
      </c>
      <c r="CM122" s="21">
        <f>EXP(-LN(2)/2)*CM121+(1-EXP(-LN(2)/2))/(LN(2)/2)*CG122*CJ122*VLOOKUP('Données projet'!$B$12,Paramètres!$A$1:$I$89,3,0)*0.475*44/12</f>
        <v>2.3025436021984924E-14</v>
      </c>
      <c r="CN122" s="22">
        <f t="shared" si="66"/>
        <v>9.2904099531925564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5">
      <c r="A123" s="10">
        <f t="shared" si="85"/>
        <v>120</v>
      </c>
      <c r="B123" s="73">
        <f>'Scénario référence'!$B$16*5+'Scénario référence'!$B$17*0+'Scénario référence'!$B$18*5</f>
        <v>5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1">
        <f t="shared" si="86"/>
        <v>0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3" s="11">
        <f>IF(OR('Scénario référence'!$F$8&gt;0,'Scénario référence'!$F$9&gt;0),('Scénario référence'!$F$8+'Scénario référence'!$F$9)*10,0)</f>
        <v>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18.333333333333332</v>
      </c>
      <c r="H123" s="67">
        <f t="shared" si="56"/>
        <v>183.33333333333334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0</v>
      </c>
      <c r="O123" s="13">
        <f>N123*VLOOKUP('Données projet'!$B$9,Paramètres!$A$1:$I$89,3,0)*VLOOKUP('Données projet'!$B$9,Paramètres!$A$1:$I$89,5,0)</f>
        <v>0</v>
      </c>
      <c r="P123" s="13" t="e">
        <f t="shared" si="87"/>
        <v>#NUM!</v>
      </c>
      <c r="Q123" s="20" t="e">
        <f t="shared" si="107"/>
        <v>#NUM!</v>
      </c>
      <c r="R123" s="59" t="e">
        <f t="shared" si="55"/>
        <v>#NUM!</v>
      </c>
      <c r="S123" s="59">
        <f ca="1">AVERAGE(OFFSET($R$3,0,0,'Données projet'!$E$9+1,1))-AVERAGE(OFFSET($H$3,0,0,'Données projet'!$E$9+1,1))</f>
        <v>112.82287576550925</v>
      </c>
      <c r="T123" s="59">
        <f t="shared" si="88"/>
        <v>317.78570695363294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8.2996120971111846</v>
      </c>
      <c r="AA123" s="21">
        <f>EXP(-LN(2)/25)*AA122+(1-EXP(-LN(2)/25))/(LN(2)/25)*Calculateur!V123*Calculateur!X123*VLOOKUP('Données projet'!$B$9,Paramètres!$A$1:$I$89,3,0)*0.475*44/12</f>
        <v>0.80223826893769401</v>
      </c>
      <c r="AB123" s="21">
        <f>EXP(-LN(2)/2)*AB122+(1-EXP(-LN(2)/2))/(LN(2)/2)*V123*Y123*VLOOKUP('Données projet'!$B$9,Paramètres!$A$1:$I$89,3,0)*0.475*44/12</f>
        <v>1.6281441950922543E-14</v>
      </c>
      <c r="AC123" s="22">
        <f t="shared" si="57"/>
        <v>9.101850366048895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0</v>
      </c>
      <c r="AJ123" s="13">
        <f>AI123*VLOOKUP('Données projet'!$B$10,Paramètres!$A$1:$I$89,3,0)*VLOOKUP('Données projet'!$B$10,Paramètres!$A$1:$I$89,5,0)</f>
        <v>0</v>
      </c>
      <c r="AK123" s="13" t="e">
        <f t="shared" si="89"/>
        <v>#NUM!</v>
      </c>
      <c r="AL123" s="20" t="e">
        <f t="shared" si="58"/>
        <v>#NUM!</v>
      </c>
      <c r="AM123" s="59" t="e">
        <f t="shared" si="59"/>
        <v>#NUM!</v>
      </c>
      <c r="AN123" s="59">
        <f ca="1">AVERAGE(OFFSET($AM$3,0,0,'Données projet'!$E$10+1,1))-AVERAGE(OFFSET($H$3,0,0,'Données projet'!$E$10+1,1))</f>
        <v>112.82287576550925</v>
      </c>
      <c r="AO123" s="59">
        <f t="shared" si="90"/>
        <v>317.78570695363294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8.2996120971111846</v>
      </c>
      <c r="AV123" s="21">
        <f>EXP(-LN(2)/25)*AV122+(1-EXP(-LN(2)/25))/(LN(2)/25)*Calculateur!AQ123*Calculateur!AS123*VLOOKUP('Données projet'!$B$10,Paramètres!$A$1:$I$89,3,0)*0.475*44/12</f>
        <v>0.80223826893769401</v>
      </c>
      <c r="AW123" s="21">
        <f>EXP(-LN(2)/2)*AW122+(1-EXP(-LN(2)/2))/(LN(2)/2)*AQ123*AT123*VLOOKUP('Données projet'!$B$10,Paramètres!$A$1:$I$89,3,0)*0.475*44/12</f>
        <v>1.6281441950922543E-14</v>
      </c>
      <c r="AX123" s="21">
        <f t="shared" si="60"/>
        <v>9.101850366048895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0</v>
      </c>
      <c r="BE123" s="13">
        <f>BD123*VLOOKUP('Données projet'!$B$11,Paramètres!$A$1:$I$89,3,0)*VLOOKUP('Données projet'!$B$11,Paramètres!$A$1:$I$89,5,0)</f>
        <v>0</v>
      </c>
      <c r="BF123" s="13" t="e">
        <f t="shared" si="91"/>
        <v>#NUM!</v>
      </c>
      <c r="BG123" s="20" t="e">
        <f t="shared" si="61"/>
        <v>#NUM!</v>
      </c>
      <c r="BH123" s="59" t="e">
        <f t="shared" si="62"/>
        <v>#NUM!</v>
      </c>
      <c r="BI123" s="59">
        <f ca="1">AVERAGE(OFFSET($BH$3,0,0,'Données projet'!$E$11+1,1))-AVERAGE(OFFSET($H$3,0,0,'Données projet'!$E$11+1,1))</f>
        <v>112.82287576550925</v>
      </c>
      <c r="BJ123" s="59">
        <f t="shared" si="92"/>
        <v>317.78570695363294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8.2996120971111846</v>
      </c>
      <c r="BQ123" s="21">
        <f>EXP(-LN(2)/25)*BQ122+(1-EXP(-LN(2)/25))/(LN(2)/25)*Calculateur!BL123*Calculateur!BN123*VLOOKUP('Données projet'!$B$11,Paramètres!$A$1:$I$89,3,0)*0.475*44/12</f>
        <v>0.80223826893769401</v>
      </c>
      <c r="BR123" s="21">
        <f>EXP(-LN(2)/2)*BR122+(1-EXP(-LN(2)/2))/(LN(2)/2)*BL123*BO123*VLOOKUP('Données projet'!$B$11,Paramètres!$A$1:$I$89,3,0)*0.475*44/12</f>
        <v>1.6281441950922543E-14</v>
      </c>
      <c r="BS123" s="22">
        <f t="shared" si="63"/>
        <v>9.101850366048895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>
        <f>BY123*VLOOKUP('Données projet'!$B$12,Paramètres!$A$1:$I$89,3,0)*VLOOKUP('Données projet'!$B$12,Paramètres!$A$1:$I$89,5,0)</f>
        <v>0</v>
      </c>
      <c r="CA123" s="13" t="e">
        <f t="shared" si="93"/>
        <v>#NUM!</v>
      </c>
      <c r="CB123" s="20" t="e">
        <f t="shared" si="64"/>
        <v>#NUM!</v>
      </c>
      <c r="CC123" s="59" t="e">
        <f t="shared" si="65"/>
        <v>#NUM!</v>
      </c>
      <c r="CD123" s="59">
        <f ca="1">AVERAGE(OFFSET($CC$3,0,0,'Données projet'!$E$12+1,1))-AVERAGE(OFFSET($H$3,0,0,'Données projet'!$E$12+1,1))</f>
        <v>112.82287576550925</v>
      </c>
      <c r="CE123" s="59">
        <f t="shared" si="94"/>
        <v>317.78570695363294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>
        <f>EXP(-LN(2)/35)*CK122+(1-EXP(-LN(2)/35))/(LN(2)/35)*CG123*CH123*VLOOKUP('Données projet'!$B$12,Paramètres!$A$1:$I$89,3,0)*0.475*44/12</f>
        <v>8.2996120971111846</v>
      </c>
      <c r="CL123" s="21">
        <f>EXP(-LN(2)/25)*CL122+(1-EXP(-LN(2)/25))/(LN(2)/25)*Calculateur!CG123*Calculateur!CI123*VLOOKUP('Données projet'!$B$12,Paramètres!$A$1:$I$89,3,0)*0.475*44/12</f>
        <v>0.80223826893769401</v>
      </c>
      <c r="CM123" s="21">
        <f>EXP(-LN(2)/2)*CM122+(1-EXP(-LN(2)/2))/(LN(2)/2)*CG123*CJ123*VLOOKUP('Données projet'!$B$12,Paramètres!$A$1:$I$89,3,0)*0.475*44/12</f>
        <v>1.6281441950922543E-14</v>
      </c>
      <c r="CN123" s="22">
        <f t="shared" si="66"/>
        <v>9.101850366048895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5">
      <c r="A124" s="10">
        <f t="shared" si="85"/>
        <v>121</v>
      </c>
      <c r="B124" s="73">
        <f>'Scénario référence'!$B$16*5+'Scénario référence'!$B$17*0+'Scénario référence'!$B$18*5</f>
        <v>5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1">
        <f t="shared" si="86"/>
        <v>0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4" s="11">
        <f>IF(OR('Scénario référence'!$F$8&gt;0,'Scénario référence'!$F$9&gt;0),('Scénario référence'!$F$8+'Scénario référence'!$F$9)*10,0)</f>
        <v>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18.333333333333332</v>
      </c>
      <c r="H124" s="67">
        <f t="shared" si="56"/>
        <v>183.33333333333334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0</v>
      </c>
      <c r="O124" s="13">
        <f>N124*VLOOKUP('Données projet'!$B$9,Paramètres!$A$1:$I$89,3,0)*VLOOKUP('Données projet'!$B$9,Paramètres!$A$1:$I$89,5,0)</f>
        <v>0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112.82287576550925</v>
      </c>
      <c r="T124" s="59">
        <f t="shared" si="88"/>
        <v>317.78570695363294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8.1368617661503571</v>
      </c>
      <c r="AA124" s="21">
        <f>EXP(-LN(2)/25)*AA123+(1-EXP(-LN(2)/25))/(LN(2)/25)*Calculateur!V124*Calculateur!X124*VLOOKUP('Données projet'!$B$9,Paramètres!$A$1:$I$89,3,0)*0.475*44/12</f>
        <v>0.78030102128571577</v>
      </c>
      <c r="AB124" s="21">
        <f>EXP(-LN(2)/2)*AB123+(1-EXP(-LN(2)/2))/(LN(2)/2)*V124*Y124*VLOOKUP('Données projet'!$B$9,Paramètres!$A$1:$I$89,3,0)*0.475*44/12</f>
        <v>1.1512718010992462E-14</v>
      </c>
      <c r="AC124" s="22">
        <f t="shared" si="57"/>
        <v>8.9171627874360837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0</v>
      </c>
      <c r="AJ124" s="13">
        <f>AI124*VLOOKUP('Données projet'!$B$10,Paramètres!$A$1:$I$89,3,0)*VLOOKUP('Données projet'!$B$10,Paramètres!$A$1:$I$89,5,0)</f>
        <v>0</v>
      </c>
      <c r="AK124" s="13" t="e">
        <f t="shared" si="89"/>
        <v>#NUM!</v>
      </c>
      <c r="AL124" s="20" t="e">
        <f t="shared" si="58"/>
        <v>#NUM!</v>
      </c>
      <c r="AM124" s="59" t="e">
        <f t="shared" si="59"/>
        <v>#NUM!</v>
      </c>
      <c r="AN124" s="59">
        <f ca="1">AVERAGE(OFFSET($AM$3,0,0,'Données projet'!$E$10+1,1))-AVERAGE(OFFSET($H$3,0,0,'Données projet'!$E$10+1,1))</f>
        <v>112.82287576550925</v>
      </c>
      <c r="AO124" s="59">
        <f t="shared" si="90"/>
        <v>317.78570695363294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8.1368617661503571</v>
      </c>
      <c r="AV124" s="21">
        <f>EXP(-LN(2)/25)*AV123+(1-EXP(-LN(2)/25))/(LN(2)/25)*Calculateur!AQ124*Calculateur!AS124*VLOOKUP('Données projet'!$B$10,Paramètres!$A$1:$I$89,3,0)*0.475*44/12</f>
        <v>0.78030102128571577</v>
      </c>
      <c r="AW124" s="21">
        <f>EXP(-LN(2)/2)*AW123+(1-EXP(-LN(2)/2))/(LN(2)/2)*AQ124*AT124*VLOOKUP('Données projet'!$B$10,Paramètres!$A$1:$I$89,3,0)*0.475*44/12</f>
        <v>1.1512718010992462E-14</v>
      </c>
      <c r="AX124" s="21">
        <f t="shared" si="60"/>
        <v>8.9171627874360837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0</v>
      </c>
      <c r="BE124" s="13">
        <f>BD124*VLOOKUP('Données projet'!$B$11,Paramètres!$A$1:$I$89,3,0)*VLOOKUP('Données projet'!$B$11,Paramètres!$A$1:$I$89,5,0)</f>
        <v>0</v>
      </c>
      <c r="BF124" s="13" t="e">
        <f t="shared" si="91"/>
        <v>#NUM!</v>
      </c>
      <c r="BG124" s="20" t="e">
        <f t="shared" si="61"/>
        <v>#NUM!</v>
      </c>
      <c r="BH124" s="59" t="e">
        <f t="shared" si="62"/>
        <v>#NUM!</v>
      </c>
      <c r="BI124" s="59">
        <f ca="1">AVERAGE(OFFSET($BH$3,0,0,'Données projet'!$E$11+1,1))-AVERAGE(OFFSET($H$3,0,0,'Données projet'!$E$11+1,1))</f>
        <v>112.82287576550925</v>
      </c>
      <c r="BJ124" s="59">
        <f t="shared" si="92"/>
        <v>317.78570695363294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8.1368617661503571</v>
      </c>
      <c r="BQ124" s="21">
        <f>EXP(-LN(2)/25)*BQ123+(1-EXP(-LN(2)/25))/(LN(2)/25)*Calculateur!BL124*Calculateur!BN124*VLOOKUP('Données projet'!$B$11,Paramètres!$A$1:$I$89,3,0)*0.475*44/12</f>
        <v>0.78030102128571577</v>
      </c>
      <c r="BR124" s="21">
        <f>EXP(-LN(2)/2)*BR123+(1-EXP(-LN(2)/2))/(LN(2)/2)*BL124*BO124*VLOOKUP('Données projet'!$B$11,Paramètres!$A$1:$I$89,3,0)*0.475*44/12</f>
        <v>1.1512718010992462E-14</v>
      </c>
      <c r="BS124" s="22">
        <f t="shared" si="63"/>
        <v>8.9171627874360837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>
        <f>BY124*VLOOKUP('Données projet'!$B$12,Paramètres!$A$1:$I$89,3,0)*VLOOKUP('Données projet'!$B$12,Paramètres!$A$1:$I$89,5,0)</f>
        <v>0</v>
      </c>
      <c r="CA124" s="13" t="e">
        <f t="shared" si="93"/>
        <v>#NUM!</v>
      </c>
      <c r="CB124" s="20" t="e">
        <f t="shared" si="64"/>
        <v>#NUM!</v>
      </c>
      <c r="CC124" s="59" t="e">
        <f t="shared" si="65"/>
        <v>#NUM!</v>
      </c>
      <c r="CD124" s="59">
        <f ca="1">AVERAGE(OFFSET($CC$3,0,0,'Données projet'!$E$12+1,1))-AVERAGE(OFFSET($H$3,0,0,'Données projet'!$E$12+1,1))</f>
        <v>112.82287576550925</v>
      </c>
      <c r="CE124" s="59">
        <f t="shared" si="94"/>
        <v>317.78570695363294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>
        <f>EXP(-LN(2)/35)*CK123+(1-EXP(-LN(2)/35))/(LN(2)/35)*CG124*CH124*VLOOKUP('Données projet'!$B$12,Paramètres!$A$1:$I$89,3,0)*0.475*44/12</f>
        <v>8.1368617661503571</v>
      </c>
      <c r="CL124" s="21">
        <f>EXP(-LN(2)/25)*CL123+(1-EXP(-LN(2)/25))/(LN(2)/25)*Calculateur!CG124*Calculateur!CI124*VLOOKUP('Données projet'!$B$12,Paramètres!$A$1:$I$89,3,0)*0.475*44/12</f>
        <v>0.78030102128571577</v>
      </c>
      <c r="CM124" s="21">
        <f>EXP(-LN(2)/2)*CM123+(1-EXP(-LN(2)/2))/(LN(2)/2)*CG124*CJ124*VLOOKUP('Données projet'!$B$12,Paramètres!$A$1:$I$89,3,0)*0.475*44/12</f>
        <v>1.1512718010992462E-14</v>
      </c>
      <c r="CN124" s="22">
        <f t="shared" si="66"/>
        <v>8.9171627874360837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5">
      <c r="A125" s="10">
        <f t="shared" si="85"/>
        <v>122</v>
      </c>
      <c r="B125" s="73">
        <f>'Scénario référence'!$B$16*5+'Scénario référence'!$B$17*0+'Scénario référence'!$B$18*5</f>
        <v>5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1">
        <f t="shared" si="86"/>
        <v>0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5" s="11">
        <f>IF(OR('Scénario référence'!$F$8&gt;0,'Scénario référence'!$F$9&gt;0),('Scénario référence'!$F$8+'Scénario référence'!$F$9)*10,0)</f>
        <v>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18.333333333333332</v>
      </c>
      <c r="H125" s="67">
        <f t="shared" si="56"/>
        <v>183.33333333333334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0</v>
      </c>
      <c r="O125" s="13">
        <f>N125*VLOOKUP('Données projet'!$B$9,Paramètres!$A$1:$I$89,3,0)*VLOOKUP('Données projet'!$B$9,Paramètres!$A$1:$I$89,5,0)</f>
        <v>0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112.82287576550925</v>
      </c>
      <c r="T125" s="59">
        <f t="shared" si="88"/>
        <v>317.78570695363294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7.977302869911771</v>
      </c>
      <c r="AA125" s="21">
        <f>EXP(-LN(2)/25)*AA124+(1-EXP(-LN(2)/25))/(LN(2)/25)*Calculateur!V125*Calculateur!X125*VLOOKUP('Données projet'!$B$9,Paramètres!$A$1:$I$89,3,0)*0.475*44/12</f>
        <v>0.75896364882441059</v>
      </c>
      <c r="AB125" s="21">
        <f>EXP(-LN(2)/2)*AB124+(1-EXP(-LN(2)/2))/(LN(2)/2)*V125*Y125*VLOOKUP('Données projet'!$B$9,Paramètres!$A$1:$I$89,3,0)*0.475*44/12</f>
        <v>8.1407209754612715E-15</v>
      </c>
      <c r="AC125" s="22">
        <f t="shared" si="57"/>
        <v>8.7362665187361905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0</v>
      </c>
      <c r="AJ125" s="13">
        <f>AI125*VLOOKUP('Données projet'!$B$10,Paramètres!$A$1:$I$89,3,0)*VLOOKUP('Données projet'!$B$10,Paramètres!$A$1:$I$89,5,0)</f>
        <v>0</v>
      </c>
      <c r="AK125" s="13" t="e">
        <f t="shared" si="89"/>
        <v>#NUM!</v>
      </c>
      <c r="AL125" s="20" t="e">
        <f t="shared" si="58"/>
        <v>#NUM!</v>
      </c>
      <c r="AM125" s="59" t="e">
        <f t="shared" si="59"/>
        <v>#NUM!</v>
      </c>
      <c r="AN125" s="59">
        <f ca="1">AVERAGE(OFFSET($AM$3,0,0,'Données projet'!$E$10+1,1))-AVERAGE(OFFSET($H$3,0,0,'Données projet'!$E$10+1,1))</f>
        <v>112.82287576550925</v>
      </c>
      <c r="AO125" s="59">
        <f t="shared" si="90"/>
        <v>317.78570695363294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7.977302869911771</v>
      </c>
      <c r="AV125" s="21">
        <f>EXP(-LN(2)/25)*AV124+(1-EXP(-LN(2)/25))/(LN(2)/25)*Calculateur!AQ125*Calculateur!AS125*VLOOKUP('Données projet'!$B$10,Paramètres!$A$1:$I$89,3,0)*0.475*44/12</f>
        <v>0.75896364882441059</v>
      </c>
      <c r="AW125" s="21">
        <f>EXP(-LN(2)/2)*AW124+(1-EXP(-LN(2)/2))/(LN(2)/2)*AQ125*AT125*VLOOKUP('Données projet'!$B$10,Paramètres!$A$1:$I$89,3,0)*0.475*44/12</f>
        <v>8.1407209754612715E-15</v>
      </c>
      <c r="AX125" s="21">
        <f t="shared" si="60"/>
        <v>8.7362665187361905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0</v>
      </c>
      <c r="BE125" s="13">
        <f>BD125*VLOOKUP('Données projet'!$B$11,Paramètres!$A$1:$I$89,3,0)*VLOOKUP('Données projet'!$B$11,Paramètres!$A$1:$I$89,5,0)</f>
        <v>0</v>
      </c>
      <c r="BF125" s="13" t="e">
        <f t="shared" si="91"/>
        <v>#NUM!</v>
      </c>
      <c r="BG125" s="20" t="e">
        <f t="shared" si="61"/>
        <v>#NUM!</v>
      </c>
      <c r="BH125" s="59" t="e">
        <f t="shared" si="62"/>
        <v>#NUM!</v>
      </c>
      <c r="BI125" s="59">
        <f ca="1">AVERAGE(OFFSET($BH$3,0,0,'Données projet'!$E$11+1,1))-AVERAGE(OFFSET($H$3,0,0,'Données projet'!$E$11+1,1))</f>
        <v>112.82287576550925</v>
      </c>
      <c r="BJ125" s="59">
        <f t="shared" si="92"/>
        <v>317.78570695363294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7.977302869911771</v>
      </c>
      <c r="BQ125" s="21">
        <f>EXP(-LN(2)/25)*BQ124+(1-EXP(-LN(2)/25))/(LN(2)/25)*Calculateur!BL125*Calculateur!BN125*VLOOKUP('Données projet'!$B$11,Paramètres!$A$1:$I$89,3,0)*0.475*44/12</f>
        <v>0.75896364882441059</v>
      </c>
      <c r="BR125" s="21">
        <f>EXP(-LN(2)/2)*BR124+(1-EXP(-LN(2)/2))/(LN(2)/2)*BL125*BO125*VLOOKUP('Données projet'!$B$11,Paramètres!$A$1:$I$89,3,0)*0.475*44/12</f>
        <v>8.1407209754612715E-15</v>
      </c>
      <c r="BS125" s="22">
        <f t="shared" si="63"/>
        <v>8.7362665187361905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>
        <f>BY125*VLOOKUP('Données projet'!$B$12,Paramètres!$A$1:$I$89,3,0)*VLOOKUP('Données projet'!$B$12,Paramètres!$A$1:$I$89,5,0)</f>
        <v>0</v>
      </c>
      <c r="CA125" s="13" t="e">
        <f t="shared" si="93"/>
        <v>#NUM!</v>
      </c>
      <c r="CB125" s="20" t="e">
        <f t="shared" si="64"/>
        <v>#NUM!</v>
      </c>
      <c r="CC125" s="59" t="e">
        <f t="shared" si="65"/>
        <v>#NUM!</v>
      </c>
      <c r="CD125" s="59">
        <f ca="1">AVERAGE(OFFSET($CC$3,0,0,'Données projet'!$E$12+1,1))-AVERAGE(OFFSET($H$3,0,0,'Données projet'!$E$12+1,1))</f>
        <v>112.82287576550925</v>
      </c>
      <c r="CE125" s="59">
        <f t="shared" si="94"/>
        <v>317.78570695363294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>
        <f>EXP(-LN(2)/35)*CK124+(1-EXP(-LN(2)/35))/(LN(2)/35)*CG125*CH125*VLOOKUP('Données projet'!$B$12,Paramètres!$A$1:$I$89,3,0)*0.475*44/12</f>
        <v>7.977302869911771</v>
      </c>
      <c r="CL125" s="21">
        <f>EXP(-LN(2)/25)*CL124+(1-EXP(-LN(2)/25))/(LN(2)/25)*Calculateur!CG125*Calculateur!CI125*VLOOKUP('Données projet'!$B$12,Paramètres!$A$1:$I$89,3,0)*0.475*44/12</f>
        <v>0.75896364882441059</v>
      </c>
      <c r="CM125" s="21">
        <f>EXP(-LN(2)/2)*CM124+(1-EXP(-LN(2)/2))/(LN(2)/2)*CG125*CJ125*VLOOKUP('Données projet'!$B$12,Paramètres!$A$1:$I$89,3,0)*0.475*44/12</f>
        <v>8.1407209754612715E-15</v>
      </c>
      <c r="CN125" s="22">
        <f t="shared" si="66"/>
        <v>8.7362665187361905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5">
      <c r="A126" s="10">
        <f t="shared" si="85"/>
        <v>123</v>
      </c>
      <c r="B126" s="73">
        <f>'Scénario référence'!$B$16*5+'Scénario référence'!$B$17*0+'Scénario référence'!$B$18*5</f>
        <v>5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1">
        <f t="shared" si="86"/>
        <v>0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6" s="11">
        <f>IF(OR('Scénario référence'!$F$8&gt;0,'Scénario référence'!$F$9&gt;0),('Scénario référence'!$F$8+'Scénario référence'!$F$9)*10,0)</f>
        <v>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18.333333333333332</v>
      </c>
      <c r="H126" s="67">
        <f t="shared" si="56"/>
        <v>183.33333333333334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0</v>
      </c>
      <c r="O126" s="13">
        <f>N126*VLOOKUP('Données projet'!$B$9,Paramètres!$A$1:$I$89,3,0)*VLOOKUP('Données projet'!$B$9,Paramètres!$A$1:$I$89,5,0)</f>
        <v>0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112.82287576550925</v>
      </c>
      <c r="T126" s="59">
        <f t="shared" si="88"/>
        <v>317.78570695363294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7.8208728263071059</v>
      </c>
      <c r="AA126" s="21">
        <f>EXP(-LN(2)/25)*AA125+(1-EXP(-LN(2)/25))/(LN(2)/25)*Calculateur!V126*Calculateur!X126*VLOOKUP('Données projet'!$B$9,Paramètres!$A$1:$I$89,3,0)*0.475*44/12</f>
        <v>0.73820974793514338</v>
      </c>
      <c r="AB126" s="21">
        <f>EXP(-LN(2)/2)*AB125+(1-EXP(-LN(2)/2))/(LN(2)/2)*V126*Y126*VLOOKUP('Données projet'!$B$9,Paramètres!$A$1:$I$89,3,0)*0.475*44/12</f>
        <v>5.7563590054962311E-15</v>
      </c>
      <c r="AC126" s="22">
        <f t="shared" si="57"/>
        <v>8.5590825742422538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0</v>
      </c>
      <c r="AJ126" s="13">
        <f>AI126*VLOOKUP('Données projet'!$B$10,Paramètres!$A$1:$I$89,3,0)*VLOOKUP('Données projet'!$B$10,Paramètres!$A$1:$I$89,5,0)</f>
        <v>0</v>
      </c>
      <c r="AK126" s="13" t="e">
        <f t="shared" si="89"/>
        <v>#NUM!</v>
      </c>
      <c r="AL126" s="20" t="e">
        <f t="shared" si="58"/>
        <v>#NUM!</v>
      </c>
      <c r="AM126" s="59" t="e">
        <f t="shared" si="59"/>
        <v>#NUM!</v>
      </c>
      <c r="AN126" s="59">
        <f ca="1">AVERAGE(OFFSET($AM$3,0,0,'Données projet'!$E$10+1,1))-AVERAGE(OFFSET($H$3,0,0,'Données projet'!$E$10+1,1))</f>
        <v>112.82287576550925</v>
      </c>
      <c r="AO126" s="59">
        <f t="shared" si="90"/>
        <v>317.78570695363294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7.8208728263071059</v>
      </c>
      <c r="AV126" s="21">
        <f>EXP(-LN(2)/25)*AV125+(1-EXP(-LN(2)/25))/(LN(2)/25)*Calculateur!AQ126*Calculateur!AS126*VLOOKUP('Données projet'!$B$10,Paramètres!$A$1:$I$89,3,0)*0.475*44/12</f>
        <v>0.73820974793514338</v>
      </c>
      <c r="AW126" s="21">
        <f>EXP(-LN(2)/2)*AW125+(1-EXP(-LN(2)/2))/(LN(2)/2)*AQ126*AT126*VLOOKUP('Données projet'!$B$10,Paramètres!$A$1:$I$89,3,0)*0.475*44/12</f>
        <v>5.7563590054962311E-15</v>
      </c>
      <c r="AX126" s="21">
        <f t="shared" si="60"/>
        <v>8.5590825742422538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0</v>
      </c>
      <c r="BE126" s="13">
        <f>BD126*VLOOKUP('Données projet'!$B$11,Paramètres!$A$1:$I$89,3,0)*VLOOKUP('Données projet'!$B$11,Paramètres!$A$1:$I$89,5,0)</f>
        <v>0</v>
      </c>
      <c r="BF126" s="13" t="e">
        <f t="shared" si="91"/>
        <v>#NUM!</v>
      </c>
      <c r="BG126" s="20" t="e">
        <f t="shared" si="61"/>
        <v>#NUM!</v>
      </c>
      <c r="BH126" s="59" t="e">
        <f t="shared" si="62"/>
        <v>#NUM!</v>
      </c>
      <c r="BI126" s="59">
        <f ca="1">AVERAGE(OFFSET($BH$3,0,0,'Données projet'!$E$11+1,1))-AVERAGE(OFFSET($H$3,0,0,'Données projet'!$E$11+1,1))</f>
        <v>112.82287576550925</v>
      </c>
      <c r="BJ126" s="59">
        <f t="shared" si="92"/>
        <v>317.78570695363294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7.8208728263071059</v>
      </c>
      <c r="BQ126" s="21">
        <f>EXP(-LN(2)/25)*BQ125+(1-EXP(-LN(2)/25))/(LN(2)/25)*Calculateur!BL126*Calculateur!BN126*VLOOKUP('Données projet'!$B$11,Paramètres!$A$1:$I$89,3,0)*0.475*44/12</f>
        <v>0.73820974793514338</v>
      </c>
      <c r="BR126" s="21">
        <f>EXP(-LN(2)/2)*BR125+(1-EXP(-LN(2)/2))/(LN(2)/2)*BL126*BO126*VLOOKUP('Données projet'!$B$11,Paramètres!$A$1:$I$89,3,0)*0.475*44/12</f>
        <v>5.7563590054962311E-15</v>
      </c>
      <c r="BS126" s="22">
        <f t="shared" si="63"/>
        <v>8.5590825742422538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>
        <f>BY126*VLOOKUP('Données projet'!$B$12,Paramètres!$A$1:$I$89,3,0)*VLOOKUP('Données projet'!$B$12,Paramètres!$A$1:$I$89,5,0)</f>
        <v>0</v>
      </c>
      <c r="CA126" s="13" t="e">
        <f t="shared" si="93"/>
        <v>#NUM!</v>
      </c>
      <c r="CB126" s="20" t="e">
        <f t="shared" si="64"/>
        <v>#NUM!</v>
      </c>
      <c r="CC126" s="59" t="e">
        <f t="shared" si="65"/>
        <v>#NUM!</v>
      </c>
      <c r="CD126" s="59">
        <f ca="1">AVERAGE(OFFSET($CC$3,0,0,'Données projet'!$E$12+1,1))-AVERAGE(OFFSET($H$3,0,0,'Données projet'!$E$12+1,1))</f>
        <v>112.82287576550925</v>
      </c>
      <c r="CE126" s="59">
        <f t="shared" si="94"/>
        <v>317.78570695363294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>
        <f>EXP(-LN(2)/35)*CK125+(1-EXP(-LN(2)/35))/(LN(2)/35)*CG126*CH126*VLOOKUP('Données projet'!$B$12,Paramètres!$A$1:$I$89,3,0)*0.475*44/12</f>
        <v>7.8208728263071059</v>
      </c>
      <c r="CL126" s="21">
        <f>EXP(-LN(2)/25)*CL125+(1-EXP(-LN(2)/25))/(LN(2)/25)*Calculateur!CG126*Calculateur!CI126*VLOOKUP('Données projet'!$B$12,Paramètres!$A$1:$I$89,3,0)*0.475*44/12</f>
        <v>0.73820974793514338</v>
      </c>
      <c r="CM126" s="21">
        <f>EXP(-LN(2)/2)*CM125+(1-EXP(-LN(2)/2))/(LN(2)/2)*CG126*CJ126*VLOOKUP('Données projet'!$B$12,Paramètres!$A$1:$I$89,3,0)*0.475*44/12</f>
        <v>5.7563590054962311E-15</v>
      </c>
      <c r="CN126" s="22">
        <f t="shared" si="66"/>
        <v>8.5590825742422538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5">
      <c r="A127" s="10">
        <f t="shared" si="85"/>
        <v>124</v>
      </c>
      <c r="B127" s="73">
        <f>'Scénario référence'!$B$16*5+'Scénario référence'!$B$17*0+'Scénario référence'!$B$18*5</f>
        <v>5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1">
        <f t="shared" si="86"/>
        <v>0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7" s="11">
        <f>IF(OR('Scénario référence'!$F$8&gt;0,'Scénario référence'!$F$9&gt;0),('Scénario référence'!$F$8+'Scénario référence'!$F$9)*10,0)</f>
        <v>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18.333333333333332</v>
      </c>
      <c r="H127" s="67">
        <f t="shared" si="56"/>
        <v>183.33333333333334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0</v>
      </c>
      <c r="O127" s="13">
        <f>N127*VLOOKUP('Données projet'!$B$9,Paramètres!$A$1:$I$89,3,0)*VLOOKUP('Données projet'!$B$9,Paramètres!$A$1:$I$89,5,0)</f>
        <v>0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112.82287576550925</v>
      </c>
      <c r="T127" s="59">
        <f t="shared" si="88"/>
        <v>317.78570695363294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7.6675102804446231</v>
      </c>
      <c r="AA127" s="21">
        <f>EXP(-LN(2)/25)*AA126+(1-EXP(-LN(2)/25))/(LN(2)/25)*Calculateur!V127*Calculateur!X127*VLOOKUP('Données projet'!$B$9,Paramètres!$A$1:$I$89,3,0)*0.475*44/12</f>
        <v>0.7180233635570934</v>
      </c>
      <c r="AB127" s="21">
        <f>EXP(-LN(2)/2)*AB126+(1-EXP(-LN(2)/2))/(LN(2)/2)*V127*Y127*VLOOKUP('Données projet'!$B$9,Paramètres!$A$1:$I$89,3,0)*0.475*44/12</f>
        <v>4.0703604877306358E-15</v>
      </c>
      <c r="AC127" s="22">
        <f t="shared" si="57"/>
        <v>8.3855336440017201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0</v>
      </c>
      <c r="AJ127" s="13">
        <f>AI127*VLOOKUP('Données projet'!$B$10,Paramètres!$A$1:$I$89,3,0)*VLOOKUP('Données projet'!$B$10,Paramètres!$A$1:$I$89,5,0)</f>
        <v>0</v>
      </c>
      <c r="AK127" s="13" t="e">
        <f t="shared" si="89"/>
        <v>#NUM!</v>
      </c>
      <c r="AL127" s="20" t="e">
        <f t="shared" si="58"/>
        <v>#NUM!</v>
      </c>
      <c r="AM127" s="59" t="e">
        <f t="shared" si="59"/>
        <v>#NUM!</v>
      </c>
      <c r="AN127" s="59">
        <f ca="1">AVERAGE(OFFSET($AM$3,0,0,'Données projet'!$E$10+1,1))-AVERAGE(OFFSET($H$3,0,0,'Données projet'!$E$10+1,1))</f>
        <v>112.82287576550925</v>
      </c>
      <c r="AO127" s="59">
        <f t="shared" si="90"/>
        <v>317.78570695363294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7.6675102804446231</v>
      </c>
      <c r="AV127" s="21">
        <f>EXP(-LN(2)/25)*AV126+(1-EXP(-LN(2)/25))/(LN(2)/25)*Calculateur!AQ127*Calculateur!AS127*VLOOKUP('Données projet'!$B$10,Paramètres!$A$1:$I$89,3,0)*0.475*44/12</f>
        <v>0.7180233635570934</v>
      </c>
      <c r="AW127" s="21">
        <f>EXP(-LN(2)/2)*AW126+(1-EXP(-LN(2)/2))/(LN(2)/2)*AQ127*AT127*VLOOKUP('Données projet'!$B$10,Paramètres!$A$1:$I$89,3,0)*0.475*44/12</f>
        <v>4.0703604877306358E-15</v>
      </c>
      <c r="AX127" s="21">
        <f t="shared" si="60"/>
        <v>8.3855336440017201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0</v>
      </c>
      <c r="BE127" s="13">
        <f>BD127*VLOOKUP('Données projet'!$B$11,Paramètres!$A$1:$I$89,3,0)*VLOOKUP('Données projet'!$B$11,Paramètres!$A$1:$I$89,5,0)</f>
        <v>0</v>
      </c>
      <c r="BF127" s="13" t="e">
        <f t="shared" si="91"/>
        <v>#NUM!</v>
      </c>
      <c r="BG127" s="20" t="e">
        <f t="shared" si="61"/>
        <v>#NUM!</v>
      </c>
      <c r="BH127" s="59" t="e">
        <f t="shared" si="62"/>
        <v>#NUM!</v>
      </c>
      <c r="BI127" s="59">
        <f ca="1">AVERAGE(OFFSET($BH$3,0,0,'Données projet'!$E$11+1,1))-AVERAGE(OFFSET($H$3,0,0,'Données projet'!$E$11+1,1))</f>
        <v>112.82287576550925</v>
      </c>
      <c r="BJ127" s="59">
        <f t="shared" si="92"/>
        <v>317.78570695363294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7.6675102804446231</v>
      </c>
      <c r="BQ127" s="21">
        <f>EXP(-LN(2)/25)*BQ126+(1-EXP(-LN(2)/25))/(LN(2)/25)*Calculateur!BL127*Calculateur!BN127*VLOOKUP('Données projet'!$B$11,Paramètres!$A$1:$I$89,3,0)*0.475*44/12</f>
        <v>0.7180233635570934</v>
      </c>
      <c r="BR127" s="21">
        <f>EXP(-LN(2)/2)*BR126+(1-EXP(-LN(2)/2))/(LN(2)/2)*BL127*BO127*VLOOKUP('Données projet'!$B$11,Paramètres!$A$1:$I$89,3,0)*0.475*44/12</f>
        <v>4.0703604877306358E-15</v>
      </c>
      <c r="BS127" s="22">
        <f t="shared" si="63"/>
        <v>8.3855336440017201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>
        <f>BY127*VLOOKUP('Données projet'!$B$12,Paramètres!$A$1:$I$89,3,0)*VLOOKUP('Données projet'!$B$12,Paramètres!$A$1:$I$89,5,0)</f>
        <v>0</v>
      </c>
      <c r="CA127" s="13" t="e">
        <f t="shared" si="93"/>
        <v>#NUM!</v>
      </c>
      <c r="CB127" s="20" t="e">
        <f t="shared" si="64"/>
        <v>#NUM!</v>
      </c>
      <c r="CC127" s="59" t="e">
        <f t="shared" si="65"/>
        <v>#NUM!</v>
      </c>
      <c r="CD127" s="59">
        <f ca="1">AVERAGE(OFFSET($CC$3,0,0,'Données projet'!$E$12+1,1))-AVERAGE(OFFSET($H$3,0,0,'Données projet'!$E$12+1,1))</f>
        <v>112.82287576550925</v>
      </c>
      <c r="CE127" s="59">
        <f t="shared" si="94"/>
        <v>317.78570695363294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>
        <f>EXP(-LN(2)/35)*CK126+(1-EXP(-LN(2)/35))/(LN(2)/35)*CG127*CH127*VLOOKUP('Données projet'!$B$12,Paramètres!$A$1:$I$89,3,0)*0.475*44/12</f>
        <v>7.6675102804446231</v>
      </c>
      <c r="CL127" s="21">
        <f>EXP(-LN(2)/25)*CL126+(1-EXP(-LN(2)/25))/(LN(2)/25)*Calculateur!CG127*Calculateur!CI127*VLOOKUP('Données projet'!$B$12,Paramètres!$A$1:$I$89,3,0)*0.475*44/12</f>
        <v>0.7180233635570934</v>
      </c>
      <c r="CM127" s="21">
        <f>EXP(-LN(2)/2)*CM126+(1-EXP(-LN(2)/2))/(LN(2)/2)*CG127*CJ127*VLOOKUP('Données projet'!$B$12,Paramètres!$A$1:$I$89,3,0)*0.475*44/12</f>
        <v>4.0703604877306358E-15</v>
      </c>
      <c r="CN127" s="22">
        <f t="shared" si="66"/>
        <v>8.3855336440017201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5">
      <c r="A128" s="10">
        <f t="shared" si="85"/>
        <v>125</v>
      </c>
      <c r="B128" s="73">
        <f>'Scénario référence'!$B$16*5+'Scénario référence'!$B$17*0+'Scénario référence'!$B$18*5</f>
        <v>5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1">
        <f t="shared" si="86"/>
        <v>0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8" s="11">
        <f>IF(OR('Scénario référence'!$F$8&gt;0,'Scénario référence'!$F$9&gt;0),('Scénario référence'!$F$8+'Scénario référence'!$F$9)*10,0)</f>
        <v>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18.333333333333332</v>
      </c>
      <c r="H128" s="67">
        <f t="shared" si="56"/>
        <v>183.33333333333334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0</v>
      </c>
      <c r="O128" s="13">
        <f>N128*VLOOKUP('Données projet'!$B$9,Paramètres!$A$1:$I$89,3,0)*VLOOKUP('Données projet'!$B$9,Paramètres!$A$1:$I$89,5,0)</f>
        <v>0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112.82287576550925</v>
      </c>
      <c r="T128" s="59">
        <f t="shared" si="88"/>
        <v>317.78570695363294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7.5171550805645877</v>
      </c>
      <c r="AA128" s="21">
        <f>EXP(-LN(2)/25)*AA127+(1-EXP(-LN(2)/25))/(LN(2)/25)*Calculateur!V128*Calculateur!X128*VLOOKUP('Données projet'!$B$9,Paramètres!$A$1:$I$89,3,0)*0.475*44/12</f>
        <v>0.6983889769214171</v>
      </c>
      <c r="AB128" s="21">
        <f>EXP(-LN(2)/2)*AB127+(1-EXP(-LN(2)/2))/(LN(2)/2)*V128*Y128*VLOOKUP('Données projet'!$B$9,Paramètres!$A$1:$I$89,3,0)*0.475*44/12</f>
        <v>2.8781795027481155E-15</v>
      </c>
      <c r="AC128" s="22">
        <f t="shared" si="57"/>
        <v>8.2155440574860084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0</v>
      </c>
      <c r="AJ128" s="13">
        <f>AI128*VLOOKUP('Données projet'!$B$10,Paramètres!$A$1:$I$89,3,0)*VLOOKUP('Données projet'!$B$10,Paramètres!$A$1:$I$89,5,0)</f>
        <v>0</v>
      </c>
      <c r="AK128" s="13" t="e">
        <f t="shared" si="89"/>
        <v>#NUM!</v>
      </c>
      <c r="AL128" s="20" t="e">
        <f t="shared" si="58"/>
        <v>#NUM!</v>
      </c>
      <c r="AM128" s="59" t="e">
        <f t="shared" si="59"/>
        <v>#NUM!</v>
      </c>
      <c r="AN128" s="59">
        <f ca="1">AVERAGE(OFFSET($AM$3,0,0,'Données projet'!$E$10+1,1))-AVERAGE(OFFSET($H$3,0,0,'Données projet'!$E$10+1,1))</f>
        <v>112.82287576550925</v>
      </c>
      <c r="AO128" s="59">
        <f t="shared" si="90"/>
        <v>317.78570695363294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7.5171550805645877</v>
      </c>
      <c r="AV128" s="21">
        <f>EXP(-LN(2)/25)*AV127+(1-EXP(-LN(2)/25))/(LN(2)/25)*Calculateur!AQ128*Calculateur!AS128*VLOOKUP('Données projet'!$B$10,Paramètres!$A$1:$I$89,3,0)*0.475*44/12</f>
        <v>0.6983889769214171</v>
      </c>
      <c r="AW128" s="21">
        <f>EXP(-LN(2)/2)*AW127+(1-EXP(-LN(2)/2))/(LN(2)/2)*AQ128*AT128*VLOOKUP('Données projet'!$B$10,Paramètres!$A$1:$I$89,3,0)*0.475*44/12</f>
        <v>2.8781795027481155E-15</v>
      </c>
      <c r="AX128" s="21">
        <f t="shared" si="60"/>
        <v>8.2155440574860084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0</v>
      </c>
      <c r="BE128" s="13">
        <f>BD128*VLOOKUP('Données projet'!$B$11,Paramètres!$A$1:$I$89,3,0)*VLOOKUP('Données projet'!$B$11,Paramètres!$A$1:$I$89,5,0)</f>
        <v>0</v>
      </c>
      <c r="BF128" s="13" t="e">
        <f t="shared" si="91"/>
        <v>#NUM!</v>
      </c>
      <c r="BG128" s="20" t="e">
        <f t="shared" si="61"/>
        <v>#NUM!</v>
      </c>
      <c r="BH128" s="59" t="e">
        <f t="shared" si="62"/>
        <v>#NUM!</v>
      </c>
      <c r="BI128" s="59">
        <f ca="1">AVERAGE(OFFSET($BH$3,0,0,'Données projet'!$E$11+1,1))-AVERAGE(OFFSET($H$3,0,0,'Données projet'!$E$11+1,1))</f>
        <v>112.82287576550925</v>
      </c>
      <c r="BJ128" s="59">
        <f t="shared" si="92"/>
        <v>317.78570695363294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7.5171550805645877</v>
      </c>
      <c r="BQ128" s="21">
        <f>EXP(-LN(2)/25)*BQ127+(1-EXP(-LN(2)/25))/(LN(2)/25)*Calculateur!BL128*Calculateur!BN128*VLOOKUP('Données projet'!$B$11,Paramètres!$A$1:$I$89,3,0)*0.475*44/12</f>
        <v>0.6983889769214171</v>
      </c>
      <c r="BR128" s="21">
        <f>EXP(-LN(2)/2)*BR127+(1-EXP(-LN(2)/2))/(LN(2)/2)*BL128*BO128*VLOOKUP('Données projet'!$B$11,Paramètres!$A$1:$I$89,3,0)*0.475*44/12</f>
        <v>2.8781795027481155E-15</v>
      </c>
      <c r="BS128" s="22">
        <f t="shared" si="63"/>
        <v>8.2155440574860084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>
        <f>BY128*VLOOKUP('Données projet'!$B$12,Paramètres!$A$1:$I$89,3,0)*VLOOKUP('Données projet'!$B$12,Paramètres!$A$1:$I$89,5,0)</f>
        <v>0</v>
      </c>
      <c r="CA128" s="13" t="e">
        <f t="shared" si="93"/>
        <v>#NUM!</v>
      </c>
      <c r="CB128" s="20" t="e">
        <f t="shared" si="64"/>
        <v>#NUM!</v>
      </c>
      <c r="CC128" s="59" t="e">
        <f t="shared" si="65"/>
        <v>#NUM!</v>
      </c>
      <c r="CD128" s="59">
        <f ca="1">AVERAGE(OFFSET($CC$3,0,0,'Données projet'!$E$12+1,1))-AVERAGE(OFFSET($H$3,0,0,'Données projet'!$E$12+1,1))</f>
        <v>112.82287576550925</v>
      </c>
      <c r="CE128" s="59">
        <f t="shared" si="94"/>
        <v>317.78570695363294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>
        <f>EXP(-LN(2)/35)*CK127+(1-EXP(-LN(2)/35))/(LN(2)/35)*CG128*CH128*VLOOKUP('Données projet'!$B$12,Paramètres!$A$1:$I$89,3,0)*0.475*44/12</f>
        <v>7.5171550805645877</v>
      </c>
      <c r="CL128" s="21">
        <f>EXP(-LN(2)/25)*CL127+(1-EXP(-LN(2)/25))/(LN(2)/25)*Calculateur!CG128*Calculateur!CI128*VLOOKUP('Données projet'!$B$12,Paramètres!$A$1:$I$89,3,0)*0.475*44/12</f>
        <v>0.6983889769214171</v>
      </c>
      <c r="CM128" s="21">
        <f>EXP(-LN(2)/2)*CM127+(1-EXP(-LN(2)/2))/(LN(2)/2)*CG128*CJ128*VLOOKUP('Données projet'!$B$12,Paramètres!$A$1:$I$89,3,0)*0.475*44/12</f>
        <v>2.8781795027481155E-15</v>
      </c>
      <c r="CN128" s="22">
        <f t="shared" si="66"/>
        <v>8.2155440574860084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5">
      <c r="A129" s="10">
        <f t="shared" si="85"/>
        <v>126</v>
      </c>
      <c r="B129" s="73">
        <f>'Scénario référence'!$B$16*5+'Scénario référence'!$B$17*0+'Scénario référence'!$B$18*5</f>
        <v>5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1">
        <f t="shared" si="86"/>
        <v>0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9" s="11">
        <f>IF(OR('Scénario référence'!$F$8&gt;0,'Scénario référence'!$F$9&gt;0),('Scénario référence'!$F$8+'Scénario référence'!$F$9)*10,0)</f>
        <v>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18.333333333333332</v>
      </c>
      <c r="H129" s="67">
        <f t="shared" si="56"/>
        <v>183.33333333333334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0</v>
      </c>
      <c r="O129" s="13">
        <f>N129*VLOOKUP('Données projet'!$B$9,Paramètres!$A$1:$I$89,3,0)*VLOOKUP('Données projet'!$B$9,Paramètres!$A$1:$I$89,5,0)</f>
        <v>0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112.82287576550925</v>
      </c>
      <c r="T129" s="59">
        <f t="shared" si="88"/>
        <v>317.78570695363294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7.3697482544465833</v>
      </c>
      <c r="AA129" s="21">
        <f>EXP(-LN(2)/25)*AA128+(1-EXP(-LN(2)/25))/(LN(2)/25)*Calculateur!V129*Calculateur!X129*VLOOKUP('Données projet'!$B$9,Paramètres!$A$1:$I$89,3,0)*0.475*44/12</f>
        <v>0.67929149362082086</v>
      </c>
      <c r="AB129" s="21">
        <f>EXP(-LN(2)/2)*AB128+(1-EXP(-LN(2)/2))/(LN(2)/2)*V129*Y129*VLOOKUP('Données projet'!$B$9,Paramètres!$A$1:$I$89,3,0)*0.475*44/12</f>
        <v>2.0351802438653179E-15</v>
      </c>
      <c r="AC129" s="22">
        <f t="shared" si="57"/>
        <v>8.0490397480674059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0</v>
      </c>
      <c r="AJ129" s="13">
        <f>AI129*VLOOKUP('Données projet'!$B$10,Paramètres!$A$1:$I$89,3,0)*VLOOKUP('Données projet'!$B$10,Paramètres!$A$1:$I$89,5,0)</f>
        <v>0</v>
      </c>
      <c r="AK129" s="13" t="e">
        <f t="shared" si="89"/>
        <v>#NUM!</v>
      </c>
      <c r="AL129" s="20" t="e">
        <f t="shared" si="58"/>
        <v>#NUM!</v>
      </c>
      <c r="AM129" s="59" t="e">
        <f t="shared" si="59"/>
        <v>#NUM!</v>
      </c>
      <c r="AN129" s="59">
        <f ca="1">AVERAGE(OFFSET($AM$3,0,0,'Données projet'!$E$10+1,1))-AVERAGE(OFFSET($H$3,0,0,'Données projet'!$E$10+1,1))</f>
        <v>112.82287576550925</v>
      </c>
      <c r="AO129" s="59">
        <f t="shared" si="90"/>
        <v>317.78570695363294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7.3697482544465833</v>
      </c>
      <c r="AV129" s="21">
        <f>EXP(-LN(2)/25)*AV128+(1-EXP(-LN(2)/25))/(LN(2)/25)*Calculateur!AQ129*Calculateur!AS129*VLOOKUP('Données projet'!$B$10,Paramètres!$A$1:$I$89,3,0)*0.475*44/12</f>
        <v>0.67929149362082086</v>
      </c>
      <c r="AW129" s="21">
        <f>EXP(-LN(2)/2)*AW128+(1-EXP(-LN(2)/2))/(LN(2)/2)*AQ129*AT129*VLOOKUP('Données projet'!$B$10,Paramètres!$A$1:$I$89,3,0)*0.475*44/12</f>
        <v>2.0351802438653179E-15</v>
      </c>
      <c r="AX129" s="21">
        <f t="shared" si="60"/>
        <v>8.0490397480674059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0</v>
      </c>
      <c r="BE129" s="13">
        <f>BD129*VLOOKUP('Données projet'!$B$11,Paramètres!$A$1:$I$89,3,0)*VLOOKUP('Données projet'!$B$11,Paramètres!$A$1:$I$89,5,0)</f>
        <v>0</v>
      </c>
      <c r="BF129" s="13" t="e">
        <f t="shared" si="91"/>
        <v>#NUM!</v>
      </c>
      <c r="BG129" s="20" t="e">
        <f t="shared" si="61"/>
        <v>#NUM!</v>
      </c>
      <c r="BH129" s="59" t="e">
        <f t="shared" si="62"/>
        <v>#NUM!</v>
      </c>
      <c r="BI129" s="59">
        <f ca="1">AVERAGE(OFFSET($BH$3,0,0,'Données projet'!$E$11+1,1))-AVERAGE(OFFSET($H$3,0,0,'Données projet'!$E$11+1,1))</f>
        <v>112.82287576550925</v>
      </c>
      <c r="BJ129" s="59">
        <f t="shared" si="92"/>
        <v>317.78570695363294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7.3697482544465833</v>
      </c>
      <c r="BQ129" s="21">
        <f>EXP(-LN(2)/25)*BQ128+(1-EXP(-LN(2)/25))/(LN(2)/25)*Calculateur!BL129*Calculateur!BN129*VLOOKUP('Données projet'!$B$11,Paramètres!$A$1:$I$89,3,0)*0.475*44/12</f>
        <v>0.67929149362082086</v>
      </c>
      <c r="BR129" s="21">
        <f>EXP(-LN(2)/2)*BR128+(1-EXP(-LN(2)/2))/(LN(2)/2)*BL129*BO129*VLOOKUP('Données projet'!$B$11,Paramètres!$A$1:$I$89,3,0)*0.475*44/12</f>
        <v>2.0351802438653179E-15</v>
      </c>
      <c r="BS129" s="22">
        <f t="shared" si="63"/>
        <v>8.0490397480674059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>
        <f>BY129*VLOOKUP('Données projet'!$B$12,Paramètres!$A$1:$I$89,3,0)*VLOOKUP('Données projet'!$B$12,Paramètres!$A$1:$I$89,5,0)</f>
        <v>0</v>
      </c>
      <c r="CA129" s="13" t="e">
        <f t="shared" si="93"/>
        <v>#NUM!</v>
      </c>
      <c r="CB129" s="20" t="e">
        <f t="shared" si="64"/>
        <v>#NUM!</v>
      </c>
      <c r="CC129" s="59" t="e">
        <f t="shared" si="65"/>
        <v>#NUM!</v>
      </c>
      <c r="CD129" s="59">
        <f ca="1">AVERAGE(OFFSET($CC$3,0,0,'Données projet'!$E$12+1,1))-AVERAGE(OFFSET($H$3,0,0,'Données projet'!$E$12+1,1))</f>
        <v>112.82287576550925</v>
      </c>
      <c r="CE129" s="59">
        <f t="shared" si="94"/>
        <v>317.78570695363294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>
        <f>EXP(-LN(2)/35)*CK128+(1-EXP(-LN(2)/35))/(LN(2)/35)*CG129*CH129*VLOOKUP('Données projet'!$B$12,Paramètres!$A$1:$I$89,3,0)*0.475*44/12</f>
        <v>7.3697482544465833</v>
      </c>
      <c r="CL129" s="21">
        <f>EXP(-LN(2)/25)*CL128+(1-EXP(-LN(2)/25))/(LN(2)/25)*Calculateur!CG129*Calculateur!CI129*VLOOKUP('Données projet'!$B$12,Paramètres!$A$1:$I$89,3,0)*0.475*44/12</f>
        <v>0.67929149362082086</v>
      </c>
      <c r="CM129" s="21">
        <f>EXP(-LN(2)/2)*CM128+(1-EXP(-LN(2)/2))/(LN(2)/2)*CG129*CJ129*VLOOKUP('Données projet'!$B$12,Paramètres!$A$1:$I$89,3,0)*0.475*44/12</f>
        <v>2.0351802438653179E-15</v>
      </c>
      <c r="CN129" s="22">
        <f t="shared" si="66"/>
        <v>8.0490397480674059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5">
      <c r="A130" s="10">
        <f t="shared" si="85"/>
        <v>127</v>
      </c>
      <c r="B130" s="73">
        <f>'Scénario référence'!$B$16*5+'Scénario référence'!$B$17*0+'Scénario référence'!$B$18*5</f>
        <v>5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1">
        <f t="shared" si="86"/>
        <v>0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0" s="11">
        <f>IF(OR('Scénario référence'!$F$8&gt;0,'Scénario référence'!$F$9&gt;0),('Scénario référence'!$F$8+'Scénario référence'!$F$9)*10,0)</f>
        <v>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18.333333333333332</v>
      </c>
      <c r="H130" s="67">
        <f t="shared" si="56"/>
        <v>183.33333333333334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0</v>
      </c>
      <c r="O130" s="13">
        <f>N130*VLOOKUP('Données projet'!$B$9,Paramètres!$A$1:$I$89,3,0)*VLOOKUP('Données projet'!$B$9,Paramètres!$A$1:$I$89,5,0)</f>
        <v>0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112.82287576550925</v>
      </c>
      <c r="T130" s="59">
        <f t="shared" si="88"/>
        <v>317.78570695363294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7.2252319862794669</v>
      </c>
      <c r="AA130" s="21">
        <f>EXP(-LN(2)/25)*AA129+(1-EXP(-LN(2)/25))/(LN(2)/25)*Calculateur!V130*Calculateur!X130*VLOOKUP('Données projet'!$B$9,Paramètres!$A$1:$I$89,3,0)*0.475*44/12</f>
        <v>0.66071623200537244</v>
      </c>
      <c r="AB130" s="21">
        <f>EXP(-LN(2)/2)*AB129+(1-EXP(-LN(2)/2))/(LN(2)/2)*V130*Y130*VLOOKUP('Données projet'!$B$9,Paramètres!$A$1:$I$89,3,0)*0.475*44/12</f>
        <v>1.4390897513740578E-15</v>
      </c>
      <c r="AC130" s="22">
        <f t="shared" si="57"/>
        <v>7.8859482182848408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0</v>
      </c>
      <c r="AJ130" s="13">
        <f>AI130*VLOOKUP('Données projet'!$B$10,Paramètres!$A$1:$I$89,3,0)*VLOOKUP('Données projet'!$B$10,Paramètres!$A$1:$I$89,5,0)</f>
        <v>0</v>
      </c>
      <c r="AK130" s="13" t="e">
        <f t="shared" si="89"/>
        <v>#NUM!</v>
      </c>
      <c r="AL130" s="20" t="e">
        <f t="shared" si="58"/>
        <v>#NUM!</v>
      </c>
      <c r="AM130" s="59" t="e">
        <f t="shared" si="59"/>
        <v>#NUM!</v>
      </c>
      <c r="AN130" s="59">
        <f ca="1">AVERAGE(OFFSET($AM$3,0,0,'Données projet'!$E$10+1,1))-AVERAGE(OFFSET($H$3,0,0,'Données projet'!$E$10+1,1))</f>
        <v>112.82287576550925</v>
      </c>
      <c r="AO130" s="59">
        <f t="shared" si="90"/>
        <v>317.78570695363294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7.2252319862794669</v>
      </c>
      <c r="AV130" s="21">
        <f>EXP(-LN(2)/25)*AV129+(1-EXP(-LN(2)/25))/(LN(2)/25)*Calculateur!AQ130*Calculateur!AS130*VLOOKUP('Données projet'!$B$10,Paramètres!$A$1:$I$89,3,0)*0.475*44/12</f>
        <v>0.66071623200537244</v>
      </c>
      <c r="AW130" s="21">
        <f>EXP(-LN(2)/2)*AW129+(1-EXP(-LN(2)/2))/(LN(2)/2)*AQ130*AT130*VLOOKUP('Données projet'!$B$10,Paramètres!$A$1:$I$89,3,0)*0.475*44/12</f>
        <v>1.4390897513740578E-15</v>
      </c>
      <c r="AX130" s="21">
        <f t="shared" si="60"/>
        <v>7.8859482182848408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0</v>
      </c>
      <c r="BE130" s="13">
        <f>BD130*VLOOKUP('Données projet'!$B$11,Paramètres!$A$1:$I$89,3,0)*VLOOKUP('Données projet'!$B$11,Paramètres!$A$1:$I$89,5,0)</f>
        <v>0</v>
      </c>
      <c r="BF130" s="13" t="e">
        <f t="shared" si="91"/>
        <v>#NUM!</v>
      </c>
      <c r="BG130" s="20" t="e">
        <f t="shared" si="61"/>
        <v>#NUM!</v>
      </c>
      <c r="BH130" s="59" t="e">
        <f t="shared" si="62"/>
        <v>#NUM!</v>
      </c>
      <c r="BI130" s="59">
        <f ca="1">AVERAGE(OFFSET($BH$3,0,0,'Données projet'!$E$11+1,1))-AVERAGE(OFFSET($H$3,0,0,'Données projet'!$E$11+1,1))</f>
        <v>112.82287576550925</v>
      </c>
      <c r="BJ130" s="59">
        <f t="shared" si="92"/>
        <v>317.78570695363294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7.2252319862794669</v>
      </c>
      <c r="BQ130" s="21">
        <f>EXP(-LN(2)/25)*BQ129+(1-EXP(-LN(2)/25))/(LN(2)/25)*Calculateur!BL130*Calculateur!BN130*VLOOKUP('Données projet'!$B$11,Paramètres!$A$1:$I$89,3,0)*0.475*44/12</f>
        <v>0.66071623200537244</v>
      </c>
      <c r="BR130" s="21">
        <f>EXP(-LN(2)/2)*BR129+(1-EXP(-LN(2)/2))/(LN(2)/2)*BL130*BO130*VLOOKUP('Données projet'!$B$11,Paramètres!$A$1:$I$89,3,0)*0.475*44/12</f>
        <v>1.4390897513740578E-15</v>
      </c>
      <c r="BS130" s="22">
        <f t="shared" si="63"/>
        <v>7.8859482182848408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>
        <f>BY130*VLOOKUP('Données projet'!$B$12,Paramètres!$A$1:$I$89,3,0)*VLOOKUP('Données projet'!$B$12,Paramètres!$A$1:$I$89,5,0)</f>
        <v>0</v>
      </c>
      <c r="CA130" s="13" t="e">
        <f t="shared" si="93"/>
        <v>#NUM!</v>
      </c>
      <c r="CB130" s="20" t="e">
        <f t="shared" si="64"/>
        <v>#NUM!</v>
      </c>
      <c r="CC130" s="59" t="e">
        <f t="shared" si="65"/>
        <v>#NUM!</v>
      </c>
      <c r="CD130" s="59">
        <f ca="1">AVERAGE(OFFSET($CC$3,0,0,'Données projet'!$E$12+1,1))-AVERAGE(OFFSET($H$3,0,0,'Données projet'!$E$12+1,1))</f>
        <v>112.82287576550925</v>
      </c>
      <c r="CE130" s="59">
        <f t="shared" si="94"/>
        <v>317.78570695363294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>
        <f>EXP(-LN(2)/35)*CK129+(1-EXP(-LN(2)/35))/(LN(2)/35)*CG130*CH130*VLOOKUP('Données projet'!$B$12,Paramètres!$A$1:$I$89,3,0)*0.475*44/12</f>
        <v>7.2252319862794669</v>
      </c>
      <c r="CL130" s="21">
        <f>EXP(-LN(2)/25)*CL129+(1-EXP(-LN(2)/25))/(LN(2)/25)*Calculateur!CG130*Calculateur!CI130*VLOOKUP('Données projet'!$B$12,Paramètres!$A$1:$I$89,3,0)*0.475*44/12</f>
        <v>0.66071623200537244</v>
      </c>
      <c r="CM130" s="21">
        <f>EXP(-LN(2)/2)*CM129+(1-EXP(-LN(2)/2))/(LN(2)/2)*CG130*CJ130*VLOOKUP('Données projet'!$B$12,Paramètres!$A$1:$I$89,3,0)*0.475*44/12</f>
        <v>1.4390897513740578E-15</v>
      </c>
      <c r="CN130" s="22">
        <f t="shared" si="66"/>
        <v>7.8859482182848408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5">
      <c r="A131" s="10">
        <f t="shared" si="85"/>
        <v>128</v>
      </c>
      <c r="B131" s="73">
        <f>'Scénario référence'!$B$16*5+'Scénario référence'!$B$17*0+'Scénario référence'!$B$18*5</f>
        <v>5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1">
        <f t="shared" si="86"/>
        <v>0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1" s="11">
        <f>IF(OR('Scénario référence'!$F$8&gt;0,'Scénario référence'!$F$9&gt;0),('Scénario référence'!$F$8+'Scénario référence'!$F$9)*10,0)</f>
        <v>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18.333333333333332</v>
      </c>
      <c r="H131" s="67">
        <f t="shared" si="56"/>
        <v>183.33333333333334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0</v>
      </c>
      <c r="O131" s="13">
        <f>N131*VLOOKUP('Données projet'!$B$9,Paramètres!$A$1:$I$89,3,0)*VLOOKUP('Données projet'!$B$9,Paramètres!$A$1:$I$89,5,0)</f>
        <v>0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112.82287576550925</v>
      </c>
      <c r="T131" s="59">
        <f t="shared" si="88"/>
        <v>317.78570695363294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7.0835495939848876</v>
      </c>
      <c r="AA131" s="21">
        <f>EXP(-LN(2)/25)*AA130+(1-EXP(-LN(2)/25))/(LN(2)/25)*Calculateur!V131*Calculateur!X131*VLOOKUP('Données projet'!$B$9,Paramètres!$A$1:$I$89,3,0)*0.475*44/12</f>
        <v>0.642648911895629</v>
      </c>
      <c r="AB131" s="21">
        <f>EXP(-LN(2)/2)*AB130+(1-EXP(-LN(2)/2))/(LN(2)/2)*V131*Y131*VLOOKUP('Données projet'!$B$9,Paramètres!$A$1:$I$89,3,0)*0.475*44/12</f>
        <v>1.0175901219326589E-15</v>
      </c>
      <c r="AC131" s="22">
        <f t="shared" si="57"/>
        <v>7.7261985058805172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0</v>
      </c>
      <c r="AJ131" s="13">
        <f>AI131*VLOOKUP('Données projet'!$B$10,Paramètres!$A$1:$I$89,3,0)*VLOOKUP('Données projet'!$B$10,Paramètres!$A$1:$I$89,5,0)</f>
        <v>0</v>
      </c>
      <c r="AK131" s="13" t="e">
        <f t="shared" si="89"/>
        <v>#NUM!</v>
      </c>
      <c r="AL131" s="20" t="e">
        <f t="shared" si="58"/>
        <v>#NUM!</v>
      </c>
      <c r="AM131" s="59" t="e">
        <f t="shared" si="59"/>
        <v>#NUM!</v>
      </c>
      <c r="AN131" s="59">
        <f ca="1">AVERAGE(OFFSET($AM$3,0,0,'Données projet'!$E$10+1,1))-AVERAGE(OFFSET($H$3,0,0,'Données projet'!$E$10+1,1))</f>
        <v>112.82287576550925</v>
      </c>
      <c r="AO131" s="59">
        <f t="shared" si="90"/>
        <v>317.78570695363294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7.0835495939848876</v>
      </c>
      <c r="AV131" s="21">
        <f>EXP(-LN(2)/25)*AV130+(1-EXP(-LN(2)/25))/(LN(2)/25)*Calculateur!AQ131*Calculateur!AS131*VLOOKUP('Données projet'!$B$10,Paramètres!$A$1:$I$89,3,0)*0.475*44/12</f>
        <v>0.642648911895629</v>
      </c>
      <c r="AW131" s="21">
        <f>EXP(-LN(2)/2)*AW130+(1-EXP(-LN(2)/2))/(LN(2)/2)*AQ131*AT131*VLOOKUP('Données projet'!$B$10,Paramètres!$A$1:$I$89,3,0)*0.475*44/12</f>
        <v>1.0175901219326589E-15</v>
      </c>
      <c r="AX131" s="21">
        <f t="shared" si="60"/>
        <v>7.7261985058805172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0</v>
      </c>
      <c r="BE131" s="13">
        <f>BD131*VLOOKUP('Données projet'!$B$11,Paramètres!$A$1:$I$89,3,0)*VLOOKUP('Données projet'!$B$11,Paramètres!$A$1:$I$89,5,0)</f>
        <v>0</v>
      </c>
      <c r="BF131" s="13" t="e">
        <f t="shared" si="91"/>
        <v>#NUM!</v>
      </c>
      <c r="BG131" s="20" t="e">
        <f t="shared" si="61"/>
        <v>#NUM!</v>
      </c>
      <c r="BH131" s="59" t="e">
        <f t="shared" si="62"/>
        <v>#NUM!</v>
      </c>
      <c r="BI131" s="59">
        <f ca="1">AVERAGE(OFFSET($BH$3,0,0,'Données projet'!$E$11+1,1))-AVERAGE(OFFSET($H$3,0,0,'Données projet'!$E$11+1,1))</f>
        <v>112.82287576550925</v>
      </c>
      <c r="BJ131" s="59">
        <f t="shared" si="92"/>
        <v>317.78570695363294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7.0835495939848876</v>
      </c>
      <c r="BQ131" s="21">
        <f>EXP(-LN(2)/25)*BQ130+(1-EXP(-LN(2)/25))/(LN(2)/25)*Calculateur!BL131*Calculateur!BN131*VLOOKUP('Données projet'!$B$11,Paramètres!$A$1:$I$89,3,0)*0.475*44/12</f>
        <v>0.642648911895629</v>
      </c>
      <c r="BR131" s="21">
        <f>EXP(-LN(2)/2)*BR130+(1-EXP(-LN(2)/2))/(LN(2)/2)*BL131*BO131*VLOOKUP('Données projet'!$B$11,Paramètres!$A$1:$I$89,3,0)*0.475*44/12</f>
        <v>1.0175901219326589E-15</v>
      </c>
      <c r="BS131" s="22">
        <f t="shared" si="63"/>
        <v>7.7261985058805172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>
        <f>BY131*VLOOKUP('Données projet'!$B$12,Paramètres!$A$1:$I$89,3,0)*VLOOKUP('Données projet'!$B$12,Paramètres!$A$1:$I$89,5,0)</f>
        <v>0</v>
      </c>
      <c r="CA131" s="13" t="e">
        <f t="shared" si="93"/>
        <v>#NUM!</v>
      </c>
      <c r="CB131" s="20" t="e">
        <f t="shared" si="64"/>
        <v>#NUM!</v>
      </c>
      <c r="CC131" s="59" t="e">
        <f t="shared" si="65"/>
        <v>#NUM!</v>
      </c>
      <c r="CD131" s="59">
        <f ca="1">AVERAGE(OFFSET($CC$3,0,0,'Données projet'!$E$12+1,1))-AVERAGE(OFFSET($H$3,0,0,'Données projet'!$E$12+1,1))</f>
        <v>112.82287576550925</v>
      </c>
      <c r="CE131" s="59">
        <f t="shared" si="94"/>
        <v>317.78570695363294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>
        <f>EXP(-LN(2)/35)*CK130+(1-EXP(-LN(2)/35))/(LN(2)/35)*CG131*CH131*VLOOKUP('Données projet'!$B$12,Paramètres!$A$1:$I$89,3,0)*0.475*44/12</f>
        <v>7.0835495939848876</v>
      </c>
      <c r="CL131" s="21">
        <f>EXP(-LN(2)/25)*CL130+(1-EXP(-LN(2)/25))/(LN(2)/25)*Calculateur!CG131*Calculateur!CI131*VLOOKUP('Données projet'!$B$12,Paramètres!$A$1:$I$89,3,0)*0.475*44/12</f>
        <v>0.642648911895629</v>
      </c>
      <c r="CM131" s="21">
        <f>EXP(-LN(2)/2)*CM130+(1-EXP(-LN(2)/2))/(LN(2)/2)*CG131*CJ131*VLOOKUP('Données projet'!$B$12,Paramètres!$A$1:$I$89,3,0)*0.475*44/12</f>
        <v>1.0175901219326589E-15</v>
      </c>
      <c r="CN131" s="22">
        <f t="shared" si="66"/>
        <v>7.7261985058805172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5">
      <c r="A132" s="10">
        <f t="shared" si="85"/>
        <v>129</v>
      </c>
      <c r="B132" s="73">
        <f>'Scénario référence'!$B$16*5+'Scénario référence'!$B$17*0+'Scénario référence'!$B$18*5</f>
        <v>5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1">
        <f t="shared" si="86"/>
        <v>0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2" s="11">
        <f>IF(OR('Scénario référence'!$F$8&gt;0,'Scénario référence'!$F$9&gt;0),('Scénario référence'!$F$8+'Scénario référence'!$F$9)*10,0)</f>
        <v>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18.333333333333332</v>
      </c>
      <c r="H132" s="67">
        <f t="shared" ref="H132:H195" si="110">(B132+E132+F132)*44/12+(C132+D132)*0.475*44/12</f>
        <v>183.33333333333334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0</v>
      </c>
      <c r="O132" s="13">
        <f>N132*VLOOKUP('Données projet'!$B$9,Paramètres!$A$1:$I$89,3,0)*VLOOKUP('Données projet'!$B$9,Paramètres!$A$1:$I$89,5,0)</f>
        <v>0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112.82287576550925</v>
      </c>
      <c r="T132" s="59">
        <f t="shared" si="88"/>
        <v>317.78570695363294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6.9446455069854789</v>
      </c>
      <c r="AA132" s="21">
        <f>EXP(-LN(2)/25)*AA131+(1-EXP(-LN(2)/25))/(LN(2)/25)*Calculateur!V132*Calculateur!X132*VLOOKUP('Données projet'!$B$9,Paramètres!$A$1:$I$89,3,0)*0.475*44/12</f>
        <v>0.6250756436044056</v>
      </c>
      <c r="AB132" s="21">
        <f>EXP(-LN(2)/2)*AB131+(1-EXP(-LN(2)/2))/(LN(2)/2)*V132*Y132*VLOOKUP('Données projet'!$B$9,Paramètres!$A$1:$I$89,3,0)*0.475*44/12</f>
        <v>7.1954487568702889E-16</v>
      </c>
      <c r="AC132" s="22">
        <f t="shared" ref="AC132:AC153" si="111">SUM(Z132:AB132)</f>
        <v>7.5697211505898858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0</v>
      </c>
      <c r="AJ132" s="13">
        <f>AI132*VLOOKUP('Données projet'!$B$10,Paramètres!$A$1:$I$89,3,0)*VLOOKUP('Données projet'!$B$10,Paramètres!$A$1:$I$89,5,0)</f>
        <v>0</v>
      </c>
      <c r="AK132" s="13" t="e">
        <f t="shared" si="89"/>
        <v>#NUM!</v>
      </c>
      <c r="AL132" s="20" t="e">
        <f t="shared" ref="AL132:AL153" si="112">(AJ132+AK132)*0.475*44/12</f>
        <v>#NUM!</v>
      </c>
      <c r="AM132" s="59" t="e">
        <f t="shared" ref="AM132:AM195" si="113">AL132+(AD132+AE132)*44/12</f>
        <v>#NUM!</v>
      </c>
      <c r="AN132" s="59">
        <f ca="1">AVERAGE(OFFSET($AM$3,0,0,'Données projet'!$E$10+1,1))-AVERAGE(OFFSET($H$3,0,0,'Données projet'!$E$10+1,1))</f>
        <v>112.82287576550925</v>
      </c>
      <c r="AO132" s="59">
        <f t="shared" si="90"/>
        <v>317.78570695363294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6.9446455069854789</v>
      </c>
      <c r="AV132" s="21">
        <f>EXP(-LN(2)/25)*AV131+(1-EXP(-LN(2)/25))/(LN(2)/25)*Calculateur!AQ132*Calculateur!AS132*VLOOKUP('Données projet'!$B$10,Paramètres!$A$1:$I$89,3,0)*0.475*44/12</f>
        <v>0.6250756436044056</v>
      </c>
      <c r="AW132" s="21">
        <f>EXP(-LN(2)/2)*AW131+(1-EXP(-LN(2)/2))/(LN(2)/2)*AQ132*AT132*VLOOKUP('Données projet'!$B$10,Paramètres!$A$1:$I$89,3,0)*0.475*44/12</f>
        <v>7.1954487568702889E-16</v>
      </c>
      <c r="AX132" s="21">
        <f t="shared" ref="AX132:AX153" si="114">SUM(AU132:AW132)</f>
        <v>7.5697211505898858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0</v>
      </c>
      <c r="BE132" s="13">
        <f>BD132*VLOOKUP('Données projet'!$B$11,Paramètres!$A$1:$I$89,3,0)*VLOOKUP('Données projet'!$B$11,Paramètres!$A$1:$I$89,5,0)</f>
        <v>0</v>
      </c>
      <c r="BF132" s="13" t="e">
        <f t="shared" si="91"/>
        <v>#NUM!</v>
      </c>
      <c r="BG132" s="20" t="e">
        <f t="shared" ref="BG132:BG153" si="115">(BE132+BF132)*0.475*44/12</f>
        <v>#NUM!</v>
      </c>
      <c r="BH132" s="59" t="e">
        <f t="shared" ref="BH132:BH195" si="116">BG132+(AY132+AZ132)*44/12</f>
        <v>#NUM!</v>
      </c>
      <c r="BI132" s="59">
        <f ca="1">AVERAGE(OFFSET($BH$3,0,0,'Données projet'!$E$11+1,1))-AVERAGE(OFFSET($H$3,0,0,'Données projet'!$E$11+1,1))</f>
        <v>112.82287576550925</v>
      </c>
      <c r="BJ132" s="59">
        <f t="shared" si="92"/>
        <v>317.78570695363294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6.9446455069854789</v>
      </c>
      <c r="BQ132" s="21">
        <f>EXP(-LN(2)/25)*BQ131+(1-EXP(-LN(2)/25))/(LN(2)/25)*Calculateur!BL132*Calculateur!BN132*VLOOKUP('Données projet'!$B$11,Paramètres!$A$1:$I$89,3,0)*0.475*44/12</f>
        <v>0.6250756436044056</v>
      </c>
      <c r="BR132" s="21">
        <f>EXP(-LN(2)/2)*BR131+(1-EXP(-LN(2)/2))/(LN(2)/2)*BL132*BO132*VLOOKUP('Données projet'!$B$11,Paramètres!$A$1:$I$89,3,0)*0.475*44/12</f>
        <v>7.1954487568702889E-16</v>
      </c>
      <c r="BS132" s="22">
        <f t="shared" ref="BS132:BS153" si="117">SUM(BP132:BR132)</f>
        <v>7.5697211505898858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>
        <f>BY132*VLOOKUP('Données projet'!$B$12,Paramètres!$A$1:$I$89,3,0)*VLOOKUP('Données projet'!$B$12,Paramètres!$A$1:$I$89,5,0)</f>
        <v>0</v>
      </c>
      <c r="CA132" s="13" t="e">
        <f t="shared" si="93"/>
        <v>#NUM!</v>
      </c>
      <c r="CB132" s="20" t="e">
        <f t="shared" ref="CB132:CB153" si="118">(BZ132+CA132)*0.475*44/12</f>
        <v>#NUM!</v>
      </c>
      <c r="CC132" s="59" t="e">
        <f t="shared" ref="CC132:CC195" si="119">CB132+(BT132+BU132)*44/12</f>
        <v>#NUM!</v>
      </c>
      <c r="CD132" s="59">
        <f ca="1">AVERAGE(OFFSET($CC$3,0,0,'Données projet'!$E$12+1,1))-AVERAGE(OFFSET($H$3,0,0,'Données projet'!$E$12+1,1))</f>
        <v>112.82287576550925</v>
      </c>
      <c r="CE132" s="59">
        <f t="shared" si="94"/>
        <v>317.78570695363294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>
        <f>EXP(-LN(2)/35)*CK131+(1-EXP(-LN(2)/35))/(LN(2)/35)*CG132*CH132*VLOOKUP('Données projet'!$B$12,Paramètres!$A$1:$I$89,3,0)*0.475*44/12</f>
        <v>6.9446455069854789</v>
      </c>
      <c r="CL132" s="21">
        <f>EXP(-LN(2)/25)*CL131+(1-EXP(-LN(2)/25))/(LN(2)/25)*Calculateur!CG132*Calculateur!CI132*VLOOKUP('Données projet'!$B$12,Paramètres!$A$1:$I$89,3,0)*0.475*44/12</f>
        <v>0.6250756436044056</v>
      </c>
      <c r="CM132" s="21">
        <f>EXP(-LN(2)/2)*CM131+(1-EXP(-LN(2)/2))/(LN(2)/2)*CG132*CJ132*VLOOKUP('Données projet'!$B$12,Paramètres!$A$1:$I$89,3,0)*0.475*44/12</f>
        <v>7.1954487568702889E-16</v>
      </c>
      <c r="CN132" s="22">
        <f t="shared" ref="CN132:CN153" si="120">SUM(CK132:CM132)</f>
        <v>7.5697211505898858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5">
      <c r="A133" s="10">
        <f t="shared" ref="A133:A152" si="139">A132+1</f>
        <v>130</v>
      </c>
      <c r="B133" s="73">
        <f>'Scénario référence'!$B$16*5+'Scénario référence'!$B$17*0+'Scénario référence'!$B$18*5</f>
        <v>5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1">
        <f t="shared" ref="D133:D196" si="140">IFERROR(EXP(-1.0587+0.8836*LN(C133)+0.284),0)</f>
        <v>0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3" s="11">
        <f>IF(OR('Scénario référence'!$F$8&gt;0,'Scénario référence'!$F$9&gt;0),('Scénario référence'!$F$8+'Scénario référence'!$F$9)*10,0)</f>
        <v>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18.333333333333332</v>
      </c>
      <c r="H133" s="67">
        <f t="shared" si="110"/>
        <v>183.33333333333334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0</v>
      </c>
      <c r="O133" s="13">
        <f>N133*VLOOKUP('Données projet'!$B$9,Paramètres!$A$1:$I$89,3,0)*VLOOKUP('Données projet'!$B$9,Paramètres!$A$1:$I$89,5,0)</f>
        <v>0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112.82287576550925</v>
      </c>
      <c r="T133" s="59">
        <f t="shared" ref="T133:T196" si="142">$T$3</f>
        <v>317.78570695363294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6.8084652444090006</v>
      </c>
      <c r="AA133" s="21">
        <f>EXP(-LN(2)/25)*AA132+(1-EXP(-LN(2)/25))/(LN(2)/25)*Calculateur!V133*Calculateur!X133*VLOOKUP('Données projet'!$B$9,Paramètres!$A$1:$I$89,3,0)*0.475*44/12</f>
        <v>0.60798291725874365</v>
      </c>
      <c r="AB133" s="21">
        <f>EXP(-LN(2)/2)*AB132+(1-EXP(-LN(2)/2))/(LN(2)/2)*V133*Y133*VLOOKUP('Données projet'!$B$9,Paramètres!$A$1:$I$89,3,0)*0.475*44/12</f>
        <v>5.0879506096632947E-16</v>
      </c>
      <c r="AC133" s="22">
        <f t="shared" si="111"/>
        <v>7.4164481616677449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0</v>
      </c>
      <c r="AJ133" s="13">
        <f>AI133*VLOOKUP('Données projet'!$B$10,Paramètres!$A$1:$I$89,3,0)*VLOOKUP('Données projet'!$B$10,Paramètres!$A$1:$I$89,5,0)</f>
        <v>0</v>
      </c>
      <c r="AK133" s="13" t="e">
        <f t="shared" ref="AK133:AK153" si="143">EXP(-1.0587+0.8836*LN(AJ133)+0.284)</f>
        <v>#NUM!</v>
      </c>
      <c r="AL133" s="20" t="e">
        <f t="shared" si="112"/>
        <v>#NUM!</v>
      </c>
      <c r="AM133" s="59" t="e">
        <f t="shared" si="113"/>
        <v>#NUM!</v>
      </c>
      <c r="AN133" s="59">
        <f ca="1">AVERAGE(OFFSET($AM$3,0,0,'Données projet'!$E$10+1,1))-AVERAGE(OFFSET($H$3,0,0,'Données projet'!$E$10+1,1))</f>
        <v>112.82287576550925</v>
      </c>
      <c r="AO133" s="59">
        <f t="shared" ref="AO133:AO196" si="144">$AO$3</f>
        <v>317.78570695363294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6.8084652444090006</v>
      </c>
      <c r="AV133" s="21">
        <f>EXP(-LN(2)/25)*AV132+(1-EXP(-LN(2)/25))/(LN(2)/25)*Calculateur!AQ133*Calculateur!AS133*VLOOKUP('Données projet'!$B$10,Paramètres!$A$1:$I$89,3,0)*0.475*44/12</f>
        <v>0.60798291725874365</v>
      </c>
      <c r="AW133" s="21">
        <f>EXP(-LN(2)/2)*AW132+(1-EXP(-LN(2)/2))/(LN(2)/2)*AQ133*AT133*VLOOKUP('Données projet'!$B$10,Paramètres!$A$1:$I$89,3,0)*0.475*44/12</f>
        <v>5.0879506096632947E-16</v>
      </c>
      <c r="AX133" s="21">
        <f t="shared" si="114"/>
        <v>7.4164481616677449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0</v>
      </c>
      <c r="BE133" s="13">
        <f>BD133*VLOOKUP('Données projet'!$B$11,Paramètres!$A$1:$I$89,3,0)*VLOOKUP('Données projet'!$B$11,Paramètres!$A$1:$I$89,5,0)</f>
        <v>0</v>
      </c>
      <c r="BF133" s="13" t="e">
        <f t="shared" ref="BF133:BF153" si="145">EXP(-1.0587+0.8836*LN(BE133)+0.284)</f>
        <v>#NUM!</v>
      </c>
      <c r="BG133" s="20" t="e">
        <f t="shared" si="115"/>
        <v>#NUM!</v>
      </c>
      <c r="BH133" s="59" t="e">
        <f t="shared" si="116"/>
        <v>#NUM!</v>
      </c>
      <c r="BI133" s="59">
        <f ca="1">AVERAGE(OFFSET($BH$3,0,0,'Données projet'!$E$11+1,1))-AVERAGE(OFFSET($H$3,0,0,'Données projet'!$E$11+1,1))</f>
        <v>112.82287576550925</v>
      </c>
      <c r="BJ133" s="59">
        <f t="shared" ref="BJ133:BJ196" si="146">$BJ$3</f>
        <v>317.78570695363294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6.8084652444090006</v>
      </c>
      <c r="BQ133" s="21">
        <f>EXP(-LN(2)/25)*BQ132+(1-EXP(-LN(2)/25))/(LN(2)/25)*Calculateur!BL133*Calculateur!BN133*VLOOKUP('Données projet'!$B$11,Paramètres!$A$1:$I$89,3,0)*0.475*44/12</f>
        <v>0.60798291725874365</v>
      </c>
      <c r="BR133" s="21">
        <f>EXP(-LN(2)/2)*BR132+(1-EXP(-LN(2)/2))/(LN(2)/2)*BL133*BO133*VLOOKUP('Données projet'!$B$11,Paramètres!$A$1:$I$89,3,0)*0.475*44/12</f>
        <v>5.0879506096632947E-16</v>
      </c>
      <c r="BS133" s="22">
        <f t="shared" si="117"/>
        <v>7.4164481616677449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>
        <f>BY133*VLOOKUP('Données projet'!$B$12,Paramètres!$A$1:$I$89,3,0)*VLOOKUP('Données projet'!$B$12,Paramètres!$A$1:$I$89,5,0)</f>
        <v>0</v>
      </c>
      <c r="CA133" s="13" t="e">
        <f t="shared" ref="CA133:CA153" si="147">EXP(-1.0587+0.8836*LN(BZ133)+0.284)</f>
        <v>#NUM!</v>
      </c>
      <c r="CB133" s="20" t="e">
        <f t="shared" si="118"/>
        <v>#NUM!</v>
      </c>
      <c r="CC133" s="59" t="e">
        <f t="shared" si="119"/>
        <v>#NUM!</v>
      </c>
      <c r="CD133" s="59">
        <f ca="1">AVERAGE(OFFSET($CC$3,0,0,'Données projet'!$E$12+1,1))-AVERAGE(OFFSET($H$3,0,0,'Données projet'!$E$12+1,1))</f>
        <v>112.82287576550925</v>
      </c>
      <c r="CE133" s="59">
        <f t="shared" ref="CE133:CE196" si="148">$CE$3</f>
        <v>317.78570695363294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>
        <f>EXP(-LN(2)/35)*CK132+(1-EXP(-LN(2)/35))/(LN(2)/35)*CG133*CH133*VLOOKUP('Données projet'!$B$12,Paramètres!$A$1:$I$89,3,0)*0.475*44/12</f>
        <v>6.8084652444090006</v>
      </c>
      <c r="CL133" s="21">
        <f>EXP(-LN(2)/25)*CL132+(1-EXP(-LN(2)/25))/(LN(2)/25)*Calculateur!CG133*Calculateur!CI133*VLOOKUP('Données projet'!$B$12,Paramètres!$A$1:$I$89,3,0)*0.475*44/12</f>
        <v>0.60798291725874365</v>
      </c>
      <c r="CM133" s="21">
        <f>EXP(-LN(2)/2)*CM132+(1-EXP(-LN(2)/2))/(LN(2)/2)*CG133*CJ133*VLOOKUP('Données projet'!$B$12,Paramètres!$A$1:$I$89,3,0)*0.475*44/12</f>
        <v>5.0879506096632947E-16</v>
      </c>
      <c r="CN133" s="22">
        <f t="shared" si="120"/>
        <v>7.4164481616677449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5">
      <c r="A134" s="10">
        <f t="shared" si="139"/>
        <v>131</v>
      </c>
      <c r="B134" s="73">
        <f>'Scénario référence'!$B$16*5+'Scénario référence'!$B$17*0+'Scénario référence'!$B$18*5</f>
        <v>5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1">
        <f t="shared" si="140"/>
        <v>0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4" s="11">
        <f>IF(OR('Scénario référence'!$F$8&gt;0,'Scénario référence'!$F$9&gt;0),('Scénario référence'!$F$8+'Scénario référence'!$F$9)*10,0)</f>
        <v>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18.333333333333332</v>
      </c>
      <c r="H134" s="67">
        <f t="shared" si="110"/>
        <v>183.33333333333334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0</v>
      </c>
      <c r="O134" s="13">
        <f>N134*VLOOKUP('Données projet'!$B$9,Paramètres!$A$1:$I$89,3,0)*VLOOKUP('Données projet'!$B$9,Paramètres!$A$1:$I$89,5,0)</f>
        <v>0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112.82287576550925</v>
      </c>
      <c r="T134" s="59">
        <f t="shared" si="142"/>
        <v>317.78570695363294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6.6749553937198884</v>
      </c>
      <c r="AA134" s="21">
        <f>EXP(-LN(2)/25)*AA133+(1-EXP(-LN(2)/25))/(LN(2)/25)*Calculateur!V134*Calculateur!X134*VLOOKUP('Données projet'!$B$9,Paramètres!$A$1:$I$89,3,0)*0.475*44/12</f>
        <v>0.5913575924138712</v>
      </c>
      <c r="AB134" s="21">
        <f>EXP(-LN(2)/2)*AB133+(1-EXP(-LN(2)/2))/(LN(2)/2)*V134*Y134*VLOOKUP('Données projet'!$B$9,Paramètres!$A$1:$I$89,3,0)*0.475*44/12</f>
        <v>3.5977243784351444E-16</v>
      </c>
      <c r="AC134" s="22">
        <f t="shared" si="111"/>
        <v>7.2663129861337596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0</v>
      </c>
      <c r="AJ134" s="13">
        <f>AI134*VLOOKUP('Données projet'!$B$10,Paramètres!$A$1:$I$89,3,0)*VLOOKUP('Données projet'!$B$10,Paramètres!$A$1:$I$89,5,0)</f>
        <v>0</v>
      </c>
      <c r="AK134" s="13" t="e">
        <f t="shared" si="143"/>
        <v>#NUM!</v>
      </c>
      <c r="AL134" s="20" t="e">
        <f t="shared" si="112"/>
        <v>#NUM!</v>
      </c>
      <c r="AM134" s="59" t="e">
        <f t="shared" si="113"/>
        <v>#NUM!</v>
      </c>
      <c r="AN134" s="59">
        <f ca="1">AVERAGE(OFFSET($AM$3,0,0,'Données projet'!$E$10+1,1))-AVERAGE(OFFSET($H$3,0,0,'Données projet'!$E$10+1,1))</f>
        <v>112.82287576550925</v>
      </c>
      <c r="AO134" s="59">
        <f t="shared" si="144"/>
        <v>317.78570695363294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6.6749553937198884</v>
      </c>
      <c r="AV134" s="21">
        <f>EXP(-LN(2)/25)*AV133+(1-EXP(-LN(2)/25))/(LN(2)/25)*Calculateur!AQ134*Calculateur!AS134*VLOOKUP('Données projet'!$B$10,Paramètres!$A$1:$I$89,3,0)*0.475*44/12</f>
        <v>0.5913575924138712</v>
      </c>
      <c r="AW134" s="21">
        <f>EXP(-LN(2)/2)*AW133+(1-EXP(-LN(2)/2))/(LN(2)/2)*AQ134*AT134*VLOOKUP('Données projet'!$B$10,Paramètres!$A$1:$I$89,3,0)*0.475*44/12</f>
        <v>3.5977243784351444E-16</v>
      </c>
      <c r="AX134" s="21">
        <f t="shared" si="114"/>
        <v>7.2663129861337596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0</v>
      </c>
      <c r="BE134" s="13">
        <f>BD134*VLOOKUP('Données projet'!$B$11,Paramètres!$A$1:$I$89,3,0)*VLOOKUP('Données projet'!$B$11,Paramètres!$A$1:$I$89,5,0)</f>
        <v>0</v>
      </c>
      <c r="BF134" s="13" t="e">
        <f t="shared" si="145"/>
        <v>#NUM!</v>
      </c>
      <c r="BG134" s="20" t="e">
        <f t="shared" si="115"/>
        <v>#NUM!</v>
      </c>
      <c r="BH134" s="59" t="e">
        <f t="shared" si="116"/>
        <v>#NUM!</v>
      </c>
      <c r="BI134" s="59">
        <f ca="1">AVERAGE(OFFSET($BH$3,0,0,'Données projet'!$E$11+1,1))-AVERAGE(OFFSET($H$3,0,0,'Données projet'!$E$11+1,1))</f>
        <v>112.82287576550925</v>
      </c>
      <c r="BJ134" s="59">
        <f t="shared" si="146"/>
        <v>317.78570695363294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6.6749553937198884</v>
      </c>
      <c r="BQ134" s="21">
        <f>EXP(-LN(2)/25)*BQ133+(1-EXP(-LN(2)/25))/(LN(2)/25)*Calculateur!BL134*Calculateur!BN134*VLOOKUP('Données projet'!$B$11,Paramètres!$A$1:$I$89,3,0)*0.475*44/12</f>
        <v>0.5913575924138712</v>
      </c>
      <c r="BR134" s="21">
        <f>EXP(-LN(2)/2)*BR133+(1-EXP(-LN(2)/2))/(LN(2)/2)*BL134*BO134*VLOOKUP('Données projet'!$B$11,Paramètres!$A$1:$I$89,3,0)*0.475*44/12</f>
        <v>3.5977243784351444E-16</v>
      </c>
      <c r="BS134" s="22">
        <f t="shared" si="117"/>
        <v>7.2663129861337596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>
        <f>BY134*VLOOKUP('Données projet'!$B$12,Paramètres!$A$1:$I$89,3,0)*VLOOKUP('Données projet'!$B$12,Paramètres!$A$1:$I$89,5,0)</f>
        <v>0</v>
      </c>
      <c r="CA134" s="13" t="e">
        <f t="shared" si="147"/>
        <v>#NUM!</v>
      </c>
      <c r="CB134" s="20" t="e">
        <f t="shared" si="118"/>
        <v>#NUM!</v>
      </c>
      <c r="CC134" s="59" t="e">
        <f t="shared" si="119"/>
        <v>#NUM!</v>
      </c>
      <c r="CD134" s="59">
        <f ca="1">AVERAGE(OFFSET($CC$3,0,0,'Données projet'!$E$12+1,1))-AVERAGE(OFFSET($H$3,0,0,'Données projet'!$E$12+1,1))</f>
        <v>112.82287576550925</v>
      </c>
      <c r="CE134" s="59">
        <f t="shared" si="148"/>
        <v>317.78570695363294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>
        <f>EXP(-LN(2)/35)*CK133+(1-EXP(-LN(2)/35))/(LN(2)/35)*CG134*CH134*VLOOKUP('Données projet'!$B$12,Paramètres!$A$1:$I$89,3,0)*0.475*44/12</f>
        <v>6.6749553937198884</v>
      </c>
      <c r="CL134" s="21">
        <f>EXP(-LN(2)/25)*CL133+(1-EXP(-LN(2)/25))/(LN(2)/25)*Calculateur!CG134*Calculateur!CI134*VLOOKUP('Données projet'!$B$12,Paramètres!$A$1:$I$89,3,0)*0.475*44/12</f>
        <v>0.5913575924138712</v>
      </c>
      <c r="CM134" s="21">
        <f>EXP(-LN(2)/2)*CM133+(1-EXP(-LN(2)/2))/(LN(2)/2)*CG134*CJ134*VLOOKUP('Données projet'!$B$12,Paramètres!$A$1:$I$89,3,0)*0.475*44/12</f>
        <v>3.5977243784351444E-16</v>
      </c>
      <c r="CN134" s="22">
        <f t="shared" si="120"/>
        <v>7.2663129861337596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5">
      <c r="A135" s="10">
        <f t="shared" si="139"/>
        <v>132</v>
      </c>
      <c r="B135" s="73">
        <f>'Scénario référence'!$B$16*5+'Scénario référence'!$B$17*0+'Scénario référence'!$B$18*5</f>
        <v>5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1">
        <f t="shared" si="140"/>
        <v>0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5" s="11">
        <f>IF(OR('Scénario référence'!$F$8&gt;0,'Scénario référence'!$F$9&gt;0),('Scénario référence'!$F$8+'Scénario référence'!$F$9)*10,0)</f>
        <v>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18.333333333333332</v>
      </c>
      <c r="H135" s="67">
        <f t="shared" si="110"/>
        <v>183.33333333333334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0</v>
      </c>
      <c r="O135" s="13">
        <f>N135*VLOOKUP('Données projet'!$B$9,Paramètres!$A$1:$I$89,3,0)*VLOOKUP('Données projet'!$B$9,Paramètres!$A$1:$I$89,5,0)</f>
        <v>0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112.82287576550925</v>
      </c>
      <c r="T135" s="59">
        <f t="shared" si="142"/>
        <v>317.78570695363294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6.5440635897698218</v>
      </c>
      <c r="AA135" s="21">
        <f>EXP(-LN(2)/25)*AA134+(1-EXP(-LN(2)/25))/(LN(2)/25)*Calculateur!V135*Calculateur!X135*VLOOKUP('Données projet'!$B$9,Paramètres!$A$1:$I$89,3,0)*0.475*44/12</f>
        <v>0.57518688795116968</v>
      </c>
      <c r="AB135" s="21">
        <f>EXP(-LN(2)/2)*AB134+(1-EXP(-LN(2)/2))/(LN(2)/2)*V135*Y135*VLOOKUP('Données projet'!$B$9,Paramètres!$A$1:$I$89,3,0)*0.475*44/12</f>
        <v>2.5439753048316474E-16</v>
      </c>
      <c r="AC135" s="22">
        <f t="shared" si="111"/>
        <v>7.1192504777209917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0</v>
      </c>
      <c r="AJ135" s="13">
        <f>AI135*VLOOKUP('Données projet'!$B$10,Paramètres!$A$1:$I$89,3,0)*VLOOKUP('Données projet'!$B$10,Paramètres!$A$1:$I$89,5,0)</f>
        <v>0</v>
      </c>
      <c r="AK135" s="13" t="e">
        <f t="shared" si="143"/>
        <v>#NUM!</v>
      </c>
      <c r="AL135" s="20" t="e">
        <f t="shared" si="112"/>
        <v>#NUM!</v>
      </c>
      <c r="AM135" s="59" t="e">
        <f t="shared" si="113"/>
        <v>#NUM!</v>
      </c>
      <c r="AN135" s="59">
        <f ca="1">AVERAGE(OFFSET($AM$3,0,0,'Données projet'!$E$10+1,1))-AVERAGE(OFFSET($H$3,0,0,'Données projet'!$E$10+1,1))</f>
        <v>112.82287576550925</v>
      </c>
      <c r="AO135" s="59">
        <f t="shared" si="144"/>
        <v>317.78570695363294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6.5440635897698218</v>
      </c>
      <c r="AV135" s="21">
        <f>EXP(-LN(2)/25)*AV134+(1-EXP(-LN(2)/25))/(LN(2)/25)*Calculateur!AQ135*Calculateur!AS135*VLOOKUP('Données projet'!$B$10,Paramètres!$A$1:$I$89,3,0)*0.475*44/12</f>
        <v>0.57518688795116968</v>
      </c>
      <c r="AW135" s="21">
        <f>EXP(-LN(2)/2)*AW134+(1-EXP(-LN(2)/2))/(LN(2)/2)*AQ135*AT135*VLOOKUP('Données projet'!$B$10,Paramètres!$A$1:$I$89,3,0)*0.475*44/12</f>
        <v>2.5439753048316474E-16</v>
      </c>
      <c r="AX135" s="21">
        <f t="shared" si="114"/>
        <v>7.1192504777209917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0</v>
      </c>
      <c r="BE135" s="13">
        <f>BD135*VLOOKUP('Données projet'!$B$11,Paramètres!$A$1:$I$89,3,0)*VLOOKUP('Données projet'!$B$11,Paramètres!$A$1:$I$89,5,0)</f>
        <v>0</v>
      </c>
      <c r="BF135" s="13" t="e">
        <f t="shared" si="145"/>
        <v>#NUM!</v>
      </c>
      <c r="BG135" s="20" t="e">
        <f t="shared" si="115"/>
        <v>#NUM!</v>
      </c>
      <c r="BH135" s="59" t="e">
        <f t="shared" si="116"/>
        <v>#NUM!</v>
      </c>
      <c r="BI135" s="59">
        <f ca="1">AVERAGE(OFFSET($BH$3,0,0,'Données projet'!$E$11+1,1))-AVERAGE(OFFSET($H$3,0,0,'Données projet'!$E$11+1,1))</f>
        <v>112.82287576550925</v>
      </c>
      <c r="BJ135" s="59">
        <f t="shared" si="146"/>
        <v>317.78570695363294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6.5440635897698218</v>
      </c>
      <c r="BQ135" s="21">
        <f>EXP(-LN(2)/25)*BQ134+(1-EXP(-LN(2)/25))/(LN(2)/25)*Calculateur!BL135*Calculateur!BN135*VLOOKUP('Données projet'!$B$11,Paramètres!$A$1:$I$89,3,0)*0.475*44/12</f>
        <v>0.57518688795116968</v>
      </c>
      <c r="BR135" s="21">
        <f>EXP(-LN(2)/2)*BR134+(1-EXP(-LN(2)/2))/(LN(2)/2)*BL135*BO135*VLOOKUP('Données projet'!$B$11,Paramètres!$A$1:$I$89,3,0)*0.475*44/12</f>
        <v>2.5439753048316474E-16</v>
      </c>
      <c r="BS135" s="22">
        <f t="shared" si="117"/>
        <v>7.1192504777209917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>
        <f>BY135*VLOOKUP('Données projet'!$B$12,Paramètres!$A$1:$I$89,3,0)*VLOOKUP('Données projet'!$B$12,Paramètres!$A$1:$I$89,5,0)</f>
        <v>0</v>
      </c>
      <c r="CA135" s="13" t="e">
        <f t="shared" si="147"/>
        <v>#NUM!</v>
      </c>
      <c r="CB135" s="20" t="e">
        <f t="shared" si="118"/>
        <v>#NUM!</v>
      </c>
      <c r="CC135" s="59" t="e">
        <f t="shared" si="119"/>
        <v>#NUM!</v>
      </c>
      <c r="CD135" s="59">
        <f ca="1">AVERAGE(OFFSET($CC$3,0,0,'Données projet'!$E$12+1,1))-AVERAGE(OFFSET($H$3,0,0,'Données projet'!$E$12+1,1))</f>
        <v>112.82287576550925</v>
      </c>
      <c r="CE135" s="59">
        <f t="shared" si="148"/>
        <v>317.78570695363294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>
        <f>EXP(-LN(2)/35)*CK134+(1-EXP(-LN(2)/35))/(LN(2)/35)*CG135*CH135*VLOOKUP('Données projet'!$B$12,Paramètres!$A$1:$I$89,3,0)*0.475*44/12</f>
        <v>6.5440635897698218</v>
      </c>
      <c r="CL135" s="21">
        <f>EXP(-LN(2)/25)*CL134+(1-EXP(-LN(2)/25))/(LN(2)/25)*Calculateur!CG135*Calculateur!CI135*VLOOKUP('Données projet'!$B$12,Paramètres!$A$1:$I$89,3,0)*0.475*44/12</f>
        <v>0.57518688795116968</v>
      </c>
      <c r="CM135" s="21">
        <f>EXP(-LN(2)/2)*CM134+(1-EXP(-LN(2)/2))/(LN(2)/2)*CG135*CJ135*VLOOKUP('Données projet'!$B$12,Paramètres!$A$1:$I$89,3,0)*0.475*44/12</f>
        <v>2.5439753048316474E-16</v>
      </c>
      <c r="CN135" s="22">
        <f t="shared" si="120"/>
        <v>7.1192504777209917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5">
      <c r="A136" s="10">
        <f t="shared" si="139"/>
        <v>133</v>
      </c>
      <c r="B136" s="73">
        <f>'Scénario référence'!$B$16*5+'Scénario référence'!$B$17*0+'Scénario référence'!$B$18*5</f>
        <v>5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1">
        <f t="shared" si="140"/>
        <v>0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6" s="11">
        <f>IF(OR('Scénario référence'!$F$8&gt;0,'Scénario référence'!$F$9&gt;0),('Scénario référence'!$F$8+'Scénario référence'!$F$9)*10,0)</f>
        <v>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18.333333333333332</v>
      </c>
      <c r="H136" s="67">
        <f t="shared" si="110"/>
        <v>183.33333333333334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0</v>
      </c>
      <c r="O136" s="13">
        <f>N136*VLOOKUP('Données projet'!$B$9,Paramètres!$A$1:$I$89,3,0)*VLOOKUP('Données projet'!$B$9,Paramètres!$A$1:$I$89,5,0)</f>
        <v>0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112.82287576550925</v>
      </c>
      <c r="T136" s="59">
        <f t="shared" si="142"/>
        <v>317.78570695363294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6.4157384942590987</v>
      </c>
      <c r="AA136" s="21">
        <f>EXP(-LN(2)/25)*AA135+(1-EXP(-LN(2)/25))/(LN(2)/25)*Calculateur!V136*Calculateur!X136*VLOOKUP('Données projet'!$B$9,Paramètres!$A$1:$I$89,3,0)*0.475*44/12</f>
        <v>0.55945837225238115</v>
      </c>
      <c r="AB136" s="21">
        <f>EXP(-LN(2)/2)*AB135+(1-EXP(-LN(2)/2))/(LN(2)/2)*V136*Y136*VLOOKUP('Données projet'!$B$9,Paramètres!$A$1:$I$89,3,0)*0.475*44/12</f>
        <v>1.7988621892175722E-16</v>
      </c>
      <c r="AC136" s="22">
        <f t="shared" si="111"/>
        <v>6.9751968665114799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0</v>
      </c>
      <c r="AJ136" s="13">
        <f>AI136*VLOOKUP('Données projet'!$B$10,Paramètres!$A$1:$I$89,3,0)*VLOOKUP('Données projet'!$B$10,Paramètres!$A$1:$I$89,5,0)</f>
        <v>0</v>
      </c>
      <c r="AK136" s="13" t="e">
        <f t="shared" si="143"/>
        <v>#NUM!</v>
      </c>
      <c r="AL136" s="20" t="e">
        <f t="shared" si="112"/>
        <v>#NUM!</v>
      </c>
      <c r="AM136" s="59" t="e">
        <f t="shared" si="113"/>
        <v>#NUM!</v>
      </c>
      <c r="AN136" s="59">
        <f ca="1">AVERAGE(OFFSET($AM$3,0,0,'Données projet'!$E$10+1,1))-AVERAGE(OFFSET($H$3,0,0,'Données projet'!$E$10+1,1))</f>
        <v>112.82287576550925</v>
      </c>
      <c r="AO136" s="59">
        <f t="shared" si="144"/>
        <v>317.78570695363294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6.4157384942590987</v>
      </c>
      <c r="AV136" s="21">
        <f>EXP(-LN(2)/25)*AV135+(1-EXP(-LN(2)/25))/(LN(2)/25)*Calculateur!AQ136*Calculateur!AS136*VLOOKUP('Données projet'!$B$10,Paramètres!$A$1:$I$89,3,0)*0.475*44/12</f>
        <v>0.55945837225238115</v>
      </c>
      <c r="AW136" s="21">
        <f>EXP(-LN(2)/2)*AW135+(1-EXP(-LN(2)/2))/(LN(2)/2)*AQ136*AT136*VLOOKUP('Données projet'!$B$10,Paramètres!$A$1:$I$89,3,0)*0.475*44/12</f>
        <v>1.7988621892175722E-16</v>
      </c>
      <c r="AX136" s="21">
        <f t="shared" si="114"/>
        <v>6.9751968665114799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0</v>
      </c>
      <c r="BE136" s="13">
        <f>BD136*VLOOKUP('Données projet'!$B$11,Paramètres!$A$1:$I$89,3,0)*VLOOKUP('Données projet'!$B$11,Paramètres!$A$1:$I$89,5,0)</f>
        <v>0</v>
      </c>
      <c r="BF136" s="13" t="e">
        <f t="shared" si="145"/>
        <v>#NUM!</v>
      </c>
      <c r="BG136" s="20" t="e">
        <f t="shared" si="115"/>
        <v>#NUM!</v>
      </c>
      <c r="BH136" s="59" t="e">
        <f t="shared" si="116"/>
        <v>#NUM!</v>
      </c>
      <c r="BI136" s="59">
        <f ca="1">AVERAGE(OFFSET($BH$3,0,0,'Données projet'!$E$11+1,1))-AVERAGE(OFFSET($H$3,0,0,'Données projet'!$E$11+1,1))</f>
        <v>112.82287576550925</v>
      </c>
      <c r="BJ136" s="59">
        <f t="shared" si="146"/>
        <v>317.78570695363294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6.4157384942590987</v>
      </c>
      <c r="BQ136" s="21">
        <f>EXP(-LN(2)/25)*BQ135+(1-EXP(-LN(2)/25))/(LN(2)/25)*Calculateur!BL136*Calculateur!BN136*VLOOKUP('Données projet'!$B$11,Paramètres!$A$1:$I$89,3,0)*0.475*44/12</f>
        <v>0.55945837225238115</v>
      </c>
      <c r="BR136" s="21">
        <f>EXP(-LN(2)/2)*BR135+(1-EXP(-LN(2)/2))/(LN(2)/2)*BL136*BO136*VLOOKUP('Données projet'!$B$11,Paramètres!$A$1:$I$89,3,0)*0.475*44/12</f>
        <v>1.7988621892175722E-16</v>
      </c>
      <c r="BS136" s="22">
        <f t="shared" si="117"/>
        <v>6.9751968665114799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>
        <f>BY136*VLOOKUP('Données projet'!$B$12,Paramètres!$A$1:$I$89,3,0)*VLOOKUP('Données projet'!$B$12,Paramètres!$A$1:$I$89,5,0)</f>
        <v>0</v>
      </c>
      <c r="CA136" s="13" t="e">
        <f t="shared" si="147"/>
        <v>#NUM!</v>
      </c>
      <c r="CB136" s="20" t="e">
        <f t="shared" si="118"/>
        <v>#NUM!</v>
      </c>
      <c r="CC136" s="59" t="e">
        <f t="shared" si="119"/>
        <v>#NUM!</v>
      </c>
      <c r="CD136" s="59">
        <f ca="1">AVERAGE(OFFSET($CC$3,0,0,'Données projet'!$E$12+1,1))-AVERAGE(OFFSET($H$3,0,0,'Données projet'!$E$12+1,1))</f>
        <v>112.82287576550925</v>
      </c>
      <c r="CE136" s="59">
        <f t="shared" si="148"/>
        <v>317.78570695363294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>
        <f>EXP(-LN(2)/35)*CK135+(1-EXP(-LN(2)/35))/(LN(2)/35)*CG136*CH136*VLOOKUP('Données projet'!$B$12,Paramètres!$A$1:$I$89,3,0)*0.475*44/12</f>
        <v>6.4157384942590987</v>
      </c>
      <c r="CL136" s="21">
        <f>EXP(-LN(2)/25)*CL135+(1-EXP(-LN(2)/25))/(LN(2)/25)*Calculateur!CG136*Calculateur!CI136*VLOOKUP('Données projet'!$B$12,Paramètres!$A$1:$I$89,3,0)*0.475*44/12</f>
        <v>0.55945837225238115</v>
      </c>
      <c r="CM136" s="21">
        <f>EXP(-LN(2)/2)*CM135+(1-EXP(-LN(2)/2))/(LN(2)/2)*CG136*CJ136*VLOOKUP('Données projet'!$B$12,Paramètres!$A$1:$I$89,3,0)*0.475*44/12</f>
        <v>1.7988621892175722E-16</v>
      </c>
      <c r="CN136" s="22">
        <f t="shared" si="120"/>
        <v>6.9751968665114799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5">
      <c r="A137" s="10">
        <f t="shared" si="139"/>
        <v>134</v>
      </c>
      <c r="B137" s="73">
        <f>'Scénario référence'!$B$16*5+'Scénario référence'!$B$17*0+'Scénario référence'!$B$18*5</f>
        <v>5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1">
        <f t="shared" si="140"/>
        <v>0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7" s="11">
        <f>IF(OR('Scénario référence'!$F$8&gt;0,'Scénario référence'!$F$9&gt;0),('Scénario référence'!$F$8+'Scénario référence'!$F$9)*10,0)</f>
        <v>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18.333333333333332</v>
      </c>
      <c r="H137" s="67">
        <f t="shared" si="110"/>
        <v>183.33333333333334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0</v>
      </c>
      <c r="O137" s="13">
        <f>N137*VLOOKUP('Données projet'!$B$9,Paramètres!$A$1:$I$89,3,0)*VLOOKUP('Données projet'!$B$9,Paramètres!$A$1:$I$89,5,0)</f>
        <v>0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112.82287576550925</v>
      </c>
      <c r="T137" s="59">
        <f t="shared" si="142"/>
        <v>317.78570695363294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6.2899297756007613</v>
      </c>
      <c r="AA137" s="21">
        <f>EXP(-LN(2)/25)*AA136+(1-EXP(-LN(2)/25))/(LN(2)/25)*Calculateur!V137*Calculateur!X137*VLOOKUP('Données projet'!$B$9,Paramètres!$A$1:$I$89,3,0)*0.475*44/12</f>
        <v>0.54415995364250269</v>
      </c>
      <c r="AB137" s="21">
        <f>EXP(-LN(2)/2)*AB136+(1-EXP(-LN(2)/2))/(LN(2)/2)*V137*Y137*VLOOKUP('Données projet'!$B$9,Paramètres!$A$1:$I$89,3,0)*0.475*44/12</f>
        <v>1.2719876524158237E-16</v>
      </c>
      <c r="AC137" s="22">
        <f t="shared" si="111"/>
        <v>6.8340897292432636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0</v>
      </c>
      <c r="AJ137" s="13">
        <f>AI137*VLOOKUP('Données projet'!$B$10,Paramètres!$A$1:$I$89,3,0)*VLOOKUP('Données projet'!$B$10,Paramètres!$A$1:$I$89,5,0)</f>
        <v>0</v>
      </c>
      <c r="AK137" s="13" t="e">
        <f t="shared" si="143"/>
        <v>#NUM!</v>
      </c>
      <c r="AL137" s="20" t="e">
        <f t="shared" si="112"/>
        <v>#NUM!</v>
      </c>
      <c r="AM137" s="59" t="e">
        <f t="shared" si="113"/>
        <v>#NUM!</v>
      </c>
      <c r="AN137" s="59">
        <f ca="1">AVERAGE(OFFSET($AM$3,0,0,'Données projet'!$E$10+1,1))-AVERAGE(OFFSET($H$3,0,0,'Données projet'!$E$10+1,1))</f>
        <v>112.82287576550925</v>
      </c>
      <c r="AO137" s="59">
        <f t="shared" si="144"/>
        <v>317.78570695363294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6.2899297756007613</v>
      </c>
      <c r="AV137" s="21">
        <f>EXP(-LN(2)/25)*AV136+(1-EXP(-LN(2)/25))/(LN(2)/25)*Calculateur!AQ137*Calculateur!AS137*VLOOKUP('Données projet'!$B$10,Paramètres!$A$1:$I$89,3,0)*0.475*44/12</f>
        <v>0.54415995364250269</v>
      </c>
      <c r="AW137" s="21">
        <f>EXP(-LN(2)/2)*AW136+(1-EXP(-LN(2)/2))/(LN(2)/2)*AQ137*AT137*VLOOKUP('Données projet'!$B$10,Paramètres!$A$1:$I$89,3,0)*0.475*44/12</f>
        <v>1.2719876524158237E-16</v>
      </c>
      <c r="AX137" s="21">
        <f t="shared" si="114"/>
        <v>6.8340897292432636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0</v>
      </c>
      <c r="BE137" s="13">
        <f>BD137*VLOOKUP('Données projet'!$B$11,Paramètres!$A$1:$I$89,3,0)*VLOOKUP('Données projet'!$B$11,Paramètres!$A$1:$I$89,5,0)</f>
        <v>0</v>
      </c>
      <c r="BF137" s="13" t="e">
        <f t="shared" si="145"/>
        <v>#NUM!</v>
      </c>
      <c r="BG137" s="20" t="e">
        <f t="shared" si="115"/>
        <v>#NUM!</v>
      </c>
      <c r="BH137" s="59" t="e">
        <f t="shared" si="116"/>
        <v>#NUM!</v>
      </c>
      <c r="BI137" s="59">
        <f ca="1">AVERAGE(OFFSET($BH$3,0,0,'Données projet'!$E$11+1,1))-AVERAGE(OFFSET($H$3,0,0,'Données projet'!$E$11+1,1))</f>
        <v>112.82287576550925</v>
      </c>
      <c r="BJ137" s="59">
        <f t="shared" si="146"/>
        <v>317.78570695363294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6.2899297756007613</v>
      </c>
      <c r="BQ137" s="21">
        <f>EXP(-LN(2)/25)*BQ136+(1-EXP(-LN(2)/25))/(LN(2)/25)*Calculateur!BL137*Calculateur!BN137*VLOOKUP('Données projet'!$B$11,Paramètres!$A$1:$I$89,3,0)*0.475*44/12</f>
        <v>0.54415995364250269</v>
      </c>
      <c r="BR137" s="21">
        <f>EXP(-LN(2)/2)*BR136+(1-EXP(-LN(2)/2))/(LN(2)/2)*BL137*BO137*VLOOKUP('Données projet'!$B$11,Paramètres!$A$1:$I$89,3,0)*0.475*44/12</f>
        <v>1.2719876524158237E-16</v>
      </c>
      <c r="BS137" s="22">
        <f t="shared" si="117"/>
        <v>6.8340897292432636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>
        <f>BY137*VLOOKUP('Données projet'!$B$12,Paramètres!$A$1:$I$89,3,0)*VLOOKUP('Données projet'!$B$12,Paramètres!$A$1:$I$89,5,0)</f>
        <v>0</v>
      </c>
      <c r="CA137" s="13" t="e">
        <f t="shared" si="147"/>
        <v>#NUM!</v>
      </c>
      <c r="CB137" s="20" t="e">
        <f t="shared" si="118"/>
        <v>#NUM!</v>
      </c>
      <c r="CC137" s="59" t="e">
        <f t="shared" si="119"/>
        <v>#NUM!</v>
      </c>
      <c r="CD137" s="59">
        <f ca="1">AVERAGE(OFFSET($CC$3,0,0,'Données projet'!$E$12+1,1))-AVERAGE(OFFSET($H$3,0,0,'Données projet'!$E$12+1,1))</f>
        <v>112.82287576550925</v>
      </c>
      <c r="CE137" s="59">
        <f t="shared" si="148"/>
        <v>317.78570695363294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>
        <f>EXP(-LN(2)/35)*CK136+(1-EXP(-LN(2)/35))/(LN(2)/35)*CG137*CH137*VLOOKUP('Données projet'!$B$12,Paramètres!$A$1:$I$89,3,0)*0.475*44/12</f>
        <v>6.2899297756007613</v>
      </c>
      <c r="CL137" s="21">
        <f>EXP(-LN(2)/25)*CL136+(1-EXP(-LN(2)/25))/(LN(2)/25)*Calculateur!CG137*Calculateur!CI137*VLOOKUP('Données projet'!$B$12,Paramètres!$A$1:$I$89,3,0)*0.475*44/12</f>
        <v>0.54415995364250269</v>
      </c>
      <c r="CM137" s="21">
        <f>EXP(-LN(2)/2)*CM136+(1-EXP(-LN(2)/2))/(LN(2)/2)*CG137*CJ137*VLOOKUP('Données projet'!$B$12,Paramètres!$A$1:$I$89,3,0)*0.475*44/12</f>
        <v>1.2719876524158237E-16</v>
      </c>
      <c r="CN137" s="22">
        <f t="shared" si="120"/>
        <v>6.8340897292432636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5">
      <c r="A138" s="10">
        <f t="shared" si="139"/>
        <v>135</v>
      </c>
      <c r="B138" s="73">
        <f>'Scénario référence'!$B$16*5+'Scénario référence'!$B$17*0+'Scénario référence'!$B$18*5</f>
        <v>5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1">
        <f t="shared" si="140"/>
        <v>0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8" s="11">
        <f>IF(OR('Scénario référence'!$F$8&gt;0,'Scénario référence'!$F$9&gt;0),('Scénario référence'!$F$8+'Scénario référence'!$F$9)*10,0)</f>
        <v>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18.333333333333332</v>
      </c>
      <c r="H138" s="67">
        <f t="shared" si="110"/>
        <v>183.33333333333334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0</v>
      </c>
      <c r="O138" s="13">
        <f>N138*VLOOKUP('Données projet'!$B$9,Paramètres!$A$1:$I$89,3,0)*VLOOKUP('Données projet'!$B$9,Paramètres!$A$1:$I$89,5,0)</f>
        <v>0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112.82287576550925</v>
      </c>
      <c r="T138" s="59">
        <f t="shared" si="142"/>
        <v>317.78570695363294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6.166588089179573</v>
      </c>
      <c r="AA138" s="21">
        <f>EXP(-LN(2)/25)*AA137+(1-EXP(-LN(2)/25))/(LN(2)/25)*Calculateur!V138*Calculateur!X138*VLOOKUP('Données projet'!$B$9,Paramètres!$A$1:$I$89,3,0)*0.475*44/12</f>
        <v>0.52927987109402019</v>
      </c>
      <c r="AB138" s="21">
        <f>EXP(-LN(2)/2)*AB137+(1-EXP(-LN(2)/2))/(LN(2)/2)*V138*Y138*VLOOKUP('Données projet'!$B$9,Paramètres!$A$1:$I$89,3,0)*0.475*44/12</f>
        <v>8.9943109460878611E-17</v>
      </c>
      <c r="AC138" s="22">
        <f t="shared" si="111"/>
        <v>6.6958679602735929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0</v>
      </c>
      <c r="AJ138" s="13">
        <f>AI138*VLOOKUP('Données projet'!$B$10,Paramètres!$A$1:$I$89,3,0)*VLOOKUP('Données projet'!$B$10,Paramètres!$A$1:$I$89,5,0)</f>
        <v>0</v>
      </c>
      <c r="AK138" s="13" t="e">
        <f t="shared" si="143"/>
        <v>#NUM!</v>
      </c>
      <c r="AL138" s="20" t="e">
        <f t="shared" si="112"/>
        <v>#NUM!</v>
      </c>
      <c r="AM138" s="59" t="e">
        <f t="shared" si="113"/>
        <v>#NUM!</v>
      </c>
      <c r="AN138" s="59">
        <f ca="1">AVERAGE(OFFSET($AM$3,0,0,'Données projet'!$E$10+1,1))-AVERAGE(OFFSET($H$3,0,0,'Données projet'!$E$10+1,1))</f>
        <v>112.82287576550925</v>
      </c>
      <c r="AO138" s="59">
        <f t="shared" si="144"/>
        <v>317.78570695363294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6.166588089179573</v>
      </c>
      <c r="AV138" s="21">
        <f>EXP(-LN(2)/25)*AV137+(1-EXP(-LN(2)/25))/(LN(2)/25)*Calculateur!AQ138*Calculateur!AS138*VLOOKUP('Données projet'!$B$10,Paramètres!$A$1:$I$89,3,0)*0.475*44/12</f>
        <v>0.52927987109402019</v>
      </c>
      <c r="AW138" s="21">
        <f>EXP(-LN(2)/2)*AW137+(1-EXP(-LN(2)/2))/(LN(2)/2)*AQ138*AT138*VLOOKUP('Données projet'!$B$10,Paramètres!$A$1:$I$89,3,0)*0.475*44/12</f>
        <v>8.9943109460878611E-17</v>
      </c>
      <c r="AX138" s="21">
        <f t="shared" si="114"/>
        <v>6.6958679602735929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0</v>
      </c>
      <c r="BE138" s="13">
        <f>BD138*VLOOKUP('Données projet'!$B$11,Paramètres!$A$1:$I$89,3,0)*VLOOKUP('Données projet'!$B$11,Paramètres!$A$1:$I$89,5,0)</f>
        <v>0</v>
      </c>
      <c r="BF138" s="13" t="e">
        <f t="shared" si="145"/>
        <v>#NUM!</v>
      </c>
      <c r="BG138" s="20" t="e">
        <f t="shared" si="115"/>
        <v>#NUM!</v>
      </c>
      <c r="BH138" s="59" t="e">
        <f t="shared" si="116"/>
        <v>#NUM!</v>
      </c>
      <c r="BI138" s="59">
        <f ca="1">AVERAGE(OFFSET($BH$3,0,0,'Données projet'!$E$11+1,1))-AVERAGE(OFFSET($H$3,0,0,'Données projet'!$E$11+1,1))</f>
        <v>112.82287576550925</v>
      </c>
      <c r="BJ138" s="59">
        <f t="shared" si="146"/>
        <v>317.78570695363294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6.166588089179573</v>
      </c>
      <c r="BQ138" s="21">
        <f>EXP(-LN(2)/25)*BQ137+(1-EXP(-LN(2)/25))/(LN(2)/25)*Calculateur!BL138*Calculateur!BN138*VLOOKUP('Données projet'!$B$11,Paramètres!$A$1:$I$89,3,0)*0.475*44/12</f>
        <v>0.52927987109402019</v>
      </c>
      <c r="BR138" s="21">
        <f>EXP(-LN(2)/2)*BR137+(1-EXP(-LN(2)/2))/(LN(2)/2)*BL138*BO138*VLOOKUP('Données projet'!$B$11,Paramètres!$A$1:$I$89,3,0)*0.475*44/12</f>
        <v>8.9943109460878611E-17</v>
      </c>
      <c r="BS138" s="22">
        <f t="shared" si="117"/>
        <v>6.6958679602735929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>
        <f>BY138*VLOOKUP('Données projet'!$B$12,Paramètres!$A$1:$I$89,3,0)*VLOOKUP('Données projet'!$B$12,Paramètres!$A$1:$I$89,5,0)</f>
        <v>0</v>
      </c>
      <c r="CA138" s="13" t="e">
        <f t="shared" si="147"/>
        <v>#NUM!</v>
      </c>
      <c r="CB138" s="20" t="e">
        <f t="shared" si="118"/>
        <v>#NUM!</v>
      </c>
      <c r="CC138" s="59" t="e">
        <f t="shared" si="119"/>
        <v>#NUM!</v>
      </c>
      <c r="CD138" s="59">
        <f ca="1">AVERAGE(OFFSET($CC$3,0,0,'Données projet'!$E$12+1,1))-AVERAGE(OFFSET($H$3,0,0,'Données projet'!$E$12+1,1))</f>
        <v>112.82287576550925</v>
      </c>
      <c r="CE138" s="59">
        <f t="shared" si="148"/>
        <v>317.78570695363294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>
        <f>EXP(-LN(2)/35)*CK137+(1-EXP(-LN(2)/35))/(LN(2)/35)*CG138*CH138*VLOOKUP('Données projet'!$B$12,Paramètres!$A$1:$I$89,3,0)*0.475*44/12</f>
        <v>6.166588089179573</v>
      </c>
      <c r="CL138" s="21">
        <f>EXP(-LN(2)/25)*CL137+(1-EXP(-LN(2)/25))/(LN(2)/25)*Calculateur!CG138*Calculateur!CI138*VLOOKUP('Données projet'!$B$12,Paramètres!$A$1:$I$89,3,0)*0.475*44/12</f>
        <v>0.52927987109402019</v>
      </c>
      <c r="CM138" s="21">
        <f>EXP(-LN(2)/2)*CM137+(1-EXP(-LN(2)/2))/(LN(2)/2)*CG138*CJ138*VLOOKUP('Données projet'!$B$12,Paramètres!$A$1:$I$89,3,0)*0.475*44/12</f>
        <v>8.9943109460878611E-17</v>
      </c>
      <c r="CN138" s="22">
        <f t="shared" si="120"/>
        <v>6.6958679602735929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5">
      <c r="A139" s="10">
        <f t="shared" si="139"/>
        <v>136</v>
      </c>
      <c r="B139" s="73">
        <f>'Scénario référence'!$B$16*5+'Scénario référence'!$B$17*0+'Scénario référence'!$B$18*5</f>
        <v>5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1">
        <f t="shared" si="140"/>
        <v>0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9" s="11">
        <f>IF(OR('Scénario référence'!$F$8&gt;0,'Scénario référence'!$F$9&gt;0),('Scénario référence'!$F$8+'Scénario référence'!$F$9)*10,0)</f>
        <v>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18.333333333333332</v>
      </c>
      <c r="H139" s="67">
        <f t="shared" si="110"/>
        <v>183.33333333333334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0</v>
      </c>
      <c r="O139" s="13">
        <f>N139*VLOOKUP('Données projet'!$B$9,Paramètres!$A$1:$I$89,3,0)*VLOOKUP('Données projet'!$B$9,Paramètres!$A$1:$I$89,5,0)</f>
        <v>0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112.82287576550925</v>
      </c>
      <c r="T139" s="59">
        <f t="shared" si="142"/>
        <v>317.78570695363294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6.0456650579981037</v>
      </c>
      <c r="AA139" s="21">
        <f>EXP(-LN(2)/25)*AA138+(1-EXP(-LN(2)/25))/(LN(2)/25)*Calculateur!V139*Calculateur!X139*VLOOKUP('Données projet'!$B$9,Paramètres!$A$1:$I$89,3,0)*0.475*44/12</f>
        <v>0.51480668518533546</v>
      </c>
      <c r="AB139" s="21">
        <f>EXP(-LN(2)/2)*AB138+(1-EXP(-LN(2)/2))/(LN(2)/2)*V139*Y139*VLOOKUP('Données projet'!$B$9,Paramètres!$A$1:$I$89,3,0)*0.475*44/12</f>
        <v>6.3599382620791184E-17</v>
      </c>
      <c r="AC139" s="22">
        <f t="shared" si="111"/>
        <v>6.560471743183439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0</v>
      </c>
      <c r="AJ139" s="13">
        <f>AI139*VLOOKUP('Données projet'!$B$10,Paramètres!$A$1:$I$89,3,0)*VLOOKUP('Données projet'!$B$10,Paramètres!$A$1:$I$89,5,0)</f>
        <v>0</v>
      </c>
      <c r="AK139" s="13" t="e">
        <f t="shared" si="143"/>
        <v>#NUM!</v>
      </c>
      <c r="AL139" s="20" t="e">
        <f t="shared" si="112"/>
        <v>#NUM!</v>
      </c>
      <c r="AM139" s="59" t="e">
        <f t="shared" si="113"/>
        <v>#NUM!</v>
      </c>
      <c r="AN139" s="59">
        <f ca="1">AVERAGE(OFFSET($AM$3,0,0,'Données projet'!$E$10+1,1))-AVERAGE(OFFSET($H$3,0,0,'Données projet'!$E$10+1,1))</f>
        <v>112.82287576550925</v>
      </c>
      <c r="AO139" s="59">
        <f t="shared" si="144"/>
        <v>317.78570695363294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6.0456650579981037</v>
      </c>
      <c r="AV139" s="21">
        <f>EXP(-LN(2)/25)*AV138+(1-EXP(-LN(2)/25))/(LN(2)/25)*Calculateur!AQ139*Calculateur!AS139*VLOOKUP('Données projet'!$B$10,Paramètres!$A$1:$I$89,3,0)*0.475*44/12</f>
        <v>0.51480668518533546</v>
      </c>
      <c r="AW139" s="21">
        <f>EXP(-LN(2)/2)*AW138+(1-EXP(-LN(2)/2))/(LN(2)/2)*AQ139*AT139*VLOOKUP('Données projet'!$B$10,Paramètres!$A$1:$I$89,3,0)*0.475*44/12</f>
        <v>6.3599382620791184E-17</v>
      </c>
      <c r="AX139" s="21">
        <f t="shared" si="114"/>
        <v>6.560471743183439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0</v>
      </c>
      <c r="BE139" s="13">
        <f>BD139*VLOOKUP('Données projet'!$B$11,Paramètres!$A$1:$I$89,3,0)*VLOOKUP('Données projet'!$B$11,Paramètres!$A$1:$I$89,5,0)</f>
        <v>0</v>
      </c>
      <c r="BF139" s="13" t="e">
        <f t="shared" si="145"/>
        <v>#NUM!</v>
      </c>
      <c r="BG139" s="20" t="e">
        <f t="shared" si="115"/>
        <v>#NUM!</v>
      </c>
      <c r="BH139" s="59" t="e">
        <f t="shared" si="116"/>
        <v>#NUM!</v>
      </c>
      <c r="BI139" s="59">
        <f ca="1">AVERAGE(OFFSET($BH$3,0,0,'Données projet'!$E$11+1,1))-AVERAGE(OFFSET($H$3,0,0,'Données projet'!$E$11+1,1))</f>
        <v>112.82287576550925</v>
      </c>
      <c r="BJ139" s="59">
        <f t="shared" si="146"/>
        <v>317.78570695363294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6.0456650579981037</v>
      </c>
      <c r="BQ139" s="21">
        <f>EXP(-LN(2)/25)*BQ138+(1-EXP(-LN(2)/25))/(LN(2)/25)*Calculateur!BL139*Calculateur!BN139*VLOOKUP('Données projet'!$B$11,Paramètres!$A$1:$I$89,3,0)*0.475*44/12</f>
        <v>0.51480668518533546</v>
      </c>
      <c r="BR139" s="21">
        <f>EXP(-LN(2)/2)*BR138+(1-EXP(-LN(2)/2))/(LN(2)/2)*BL139*BO139*VLOOKUP('Données projet'!$B$11,Paramètres!$A$1:$I$89,3,0)*0.475*44/12</f>
        <v>6.3599382620791184E-17</v>
      </c>
      <c r="BS139" s="22">
        <f t="shared" si="117"/>
        <v>6.560471743183439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>
        <f>BY139*VLOOKUP('Données projet'!$B$12,Paramètres!$A$1:$I$89,3,0)*VLOOKUP('Données projet'!$B$12,Paramètres!$A$1:$I$89,5,0)</f>
        <v>0</v>
      </c>
      <c r="CA139" s="13" t="e">
        <f t="shared" si="147"/>
        <v>#NUM!</v>
      </c>
      <c r="CB139" s="20" t="e">
        <f t="shared" si="118"/>
        <v>#NUM!</v>
      </c>
      <c r="CC139" s="59" t="e">
        <f t="shared" si="119"/>
        <v>#NUM!</v>
      </c>
      <c r="CD139" s="59">
        <f ca="1">AVERAGE(OFFSET($CC$3,0,0,'Données projet'!$E$12+1,1))-AVERAGE(OFFSET($H$3,0,0,'Données projet'!$E$12+1,1))</f>
        <v>112.82287576550925</v>
      </c>
      <c r="CE139" s="59">
        <f t="shared" si="148"/>
        <v>317.78570695363294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>
        <f>EXP(-LN(2)/35)*CK138+(1-EXP(-LN(2)/35))/(LN(2)/35)*CG139*CH139*VLOOKUP('Données projet'!$B$12,Paramètres!$A$1:$I$89,3,0)*0.475*44/12</f>
        <v>6.0456650579981037</v>
      </c>
      <c r="CL139" s="21">
        <f>EXP(-LN(2)/25)*CL138+(1-EXP(-LN(2)/25))/(LN(2)/25)*Calculateur!CG139*Calculateur!CI139*VLOOKUP('Données projet'!$B$12,Paramètres!$A$1:$I$89,3,0)*0.475*44/12</f>
        <v>0.51480668518533546</v>
      </c>
      <c r="CM139" s="21">
        <f>EXP(-LN(2)/2)*CM138+(1-EXP(-LN(2)/2))/(LN(2)/2)*CG139*CJ139*VLOOKUP('Données projet'!$B$12,Paramètres!$A$1:$I$89,3,0)*0.475*44/12</f>
        <v>6.3599382620791184E-17</v>
      </c>
      <c r="CN139" s="22">
        <f t="shared" si="120"/>
        <v>6.560471743183439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5">
      <c r="A140" s="10">
        <f t="shared" si="139"/>
        <v>137</v>
      </c>
      <c r="B140" s="73">
        <f>'Scénario référence'!$B$16*5+'Scénario référence'!$B$17*0+'Scénario référence'!$B$18*5</f>
        <v>5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1">
        <f t="shared" si="140"/>
        <v>0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0" s="11">
        <f>IF(OR('Scénario référence'!$F$8&gt;0,'Scénario référence'!$F$9&gt;0),('Scénario référence'!$F$8+'Scénario référence'!$F$9)*10,0)</f>
        <v>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18.333333333333332</v>
      </c>
      <c r="H140" s="67">
        <f t="shared" si="110"/>
        <v>183.33333333333334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0</v>
      </c>
      <c r="O140" s="13">
        <f>N140*VLOOKUP('Données projet'!$B$9,Paramètres!$A$1:$I$89,3,0)*VLOOKUP('Données projet'!$B$9,Paramètres!$A$1:$I$89,5,0)</f>
        <v>0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112.82287576550925</v>
      </c>
      <c r="T140" s="59">
        <f t="shared" si="142"/>
        <v>317.78570695363294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5.9271132537023368</v>
      </c>
      <c r="AA140" s="21">
        <f>EXP(-LN(2)/25)*AA139+(1-EXP(-LN(2)/25))/(LN(2)/25)*Calculateur!V140*Calculateur!X140*VLOOKUP('Données projet'!$B$9,Paramètres!$A$1:$I$89,3,0)*0.475*44/12</f>
        <v>0.50072926930643546</v>
      </c>
      <c r="AB140" s="21">
        <f>EXP(-LN(2)/2)*AB139+(1-EXP(-LN(2)/2))/(LN(2)/2)*V140*Y140*VLOOKUP('Données projet'!$B$9,Paramètres!$A$1:$I$89,3,0)*0.475*44/12</f>
        <v>4.4971554730439305E-17</v>
      </c>
      <c r="AC140" s="22">
        <f t="shared" si="111"/>
        <v>6.4278425230087723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0</v>
      </c>
      <c r="AJ140" s="13">
        <f>AI140*VLOOKUP('Données projet'!$B$10,Paramètres!$A$1:$I$89,3,0)*VLOOKUP('Données projet'!$B$10,Paramètres!$A$1:$I$89,5,0)</f>
        <v>0</v>
      </c>
      <c r="AK140" s="13" t="e">
        <f t="shared" si="143"/>
        <v>#NUM!</v>
      </c>
      <c r="AL140" s="20" t="e">
        <f t="shared" si="112"/>
        <v>#NUM!</v>
      </c>
      <c r="AM140" s="59" t="e">
        <f t="shared" si="113"/>
        <v>#NUM!</v>
      </c>
      <c r="AN140" s="59">
        <f ca="1">AVERAGE(OFFSET($AM$3,0,0,'Données projet'!$E$10+1,1))-AVERAGE(OFFSET($H$3,0,0,'Données projet'!$E$10+1,1))</f>
        <v>112.82287576550925</v>
      </c>
      <c r="AO140" s="59">
        <f t="shared" si="144"/>
        <v>317.78570695363294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5.9271132537023368</v>
      </c>
      <c r="AV140" s="21">
        <f>EXP(-LN(2)/25)*AV139+(1-EXP(-LN(2)/25))/(LN(2)/25)*Calculateur!AQ140*Calculateur!AS140*VLOOKUP('Données projet'!$B$10,Paramètres!$A$1:$I$89,3,0)*0.475*44/12</f>
        <v>0.50072926930643546</v>
      </c>
      <c r="AW140" s="21">
        <f>EXP(-LN(2)/2)*AW139+(1-EXP(-LN(2)/2))/(LN(2)/2)*AQ140*AT140*VLOOKUP('Données projet'!$B$10,Paramètres!$A$1:$I$89,3,0)*0.475*44/12</f>
        <v>4.4971554730439305E-17</v>
      </c>
      <c r="AX140" s="21">
        <f t="shared" si="114"/>
        <v>6.4278425230087723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0</v>
      </c>
      <c r="BE140" s="13">
        <f>BD140*VLOOKUP('Données projet'!$B$11,Paramètres!$A$1:$I$89,3,0)*VLOOKUP('Données projet'!$B$11,Paramètres!$A$1:$I$89,5,0)</f>
        <v>0</v>
      </c>
      <c r="BF140" s="13" t="e">
        <f t="shared" si="145"/>
        <v>#NUM!</v>
      </c>
      <c r="BG140" s="20" t="e">
        <f t="shared" si="115"/>
        <v>#NUM!</v>
      </c>
      <c r="BH140" s="59" t="e">
        <f t="shared" si="116"/>
        <v>#NUM!</v>
      </c>
      <c r="BI140" s="59">
        <f ca="1">AVERAGE(OFFSET($BH$3,0,0,'Données projet'!$E$11+1,1))-AVERAGE(OFFSET($H$3,0,0,'Données projet'!$E$11+1,1))</f>
        <v>112.82287576550925</v>
      </c>
      <c r="BJ140" s="59">
        <f t="shared" si="146"/>
        <v>317.78570695363294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5.9271132537023368</v>
      </c>
      <c r="BQ140" s="21">
        <f>EXP(-LN(2)/25)*BQ139+(1-EXP(-LN(2)/25))/(LN(2)/25)*Calculateur!BL140*Calculateur!BN140*VLOOKUP('Données projet'!$B$11,Paramètres!$A$1:$I$89,3,0)*0.475*44/12</f>
        <v>0.50072926930643546</v>
      </c>
      <c r="BR140" s="21">
        <f>EXP(-LN(2)/2)*BR139+(1-EXP(-LN(2)/2))/(LN(2)/2)*BL140*BO140*VLOOKUP('Données projet'!$B$11,Paramètres!$A$1:$I$89,3,0)*0.475*44/12</f>
        <v>4.4971554730439305E-17</v>
      </c>
      <c r="BS140" s="22">
        <f t="shared" si="117"/>
        <v>6.4278425230087723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>
        <f>BY140*VLOOKUP('Données projet'!$B$12,Paramètres!$A$1:$I$89,3,0)*VLOOKUP('Données projet'!$B$12,Paramètres!$A$1:$I$89,5,0)</f>
        <v>0</v>
      </c>
      <c r="CA140" s="13" t="e">
        <f t="shared" si="147"/>
        <v>#NUM!</v>
      </c>
      <c r="CB140" s="20" t="e">
        <f t="shared" si="118"/>
        <v>#NUM!</v>
      </c>
      <c r="CC140" s="59" t="e">
        <f t="shared" si="119"/>
        <v>#NUM!</v>
      </c>
      <c r="CD140" s="59">
        <f ca="1">AVERAGE(OFFSET($CC$3,0,0,'Données projet'!$E$12+1,1))-AVERAGE(OFFSET($H$3,0,0,'Données projet'!$E$12+1,1))</f>
        <v>112.82287576550925</v>
      </c>
      <c r="CE140" s="59">
        <f t="shared" si="148"/>
        <v>317.78570695363294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>
        <f>EXP(-LN(2)/35)*CK139+(1-EXP(-LN(2)/35))/(LN(2)/35)*CG140*CH140*VLOOKUP('Données projet'!$B$12,Paramètres!$A$1:$I$89,3,0)*0.475*44/12</f>
        <v>5.9271132537023368</v>
      </c>
      <c r="CL140" s="21">
        <f>EXP(-LN(2)/25)*CL139+(1-EXP(-LN(2)/25))/(LN(2)/25)*Calculateur!CG140*Calculateur!CI140*VLOOKUP('Données projet'!$B$12,Paramètres!$A$1:$I$89,3,0)*0.475*44/12</f>
        <v>0.50072926930643546</v>
      </c>
      <c r="CM140" s="21">
        <f>EXP(-LN(2)/2)*CM139+(1-EXP(-LN(2)/2))/(LN(2)/2)*CG140*CJ140*VLOOKUP('Données projet'!$B$12,Paramètres!$A$1:$I$89,3,0)*0.475*44/12</f>
        <v>4.4971554730439305E-17</v>
      </c>
      <c r="CN140" s="22">
        <f t="shared" si="120"/>
        <v>6.4278425230087723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5">
      <c r="A141" s="10">
        <f t="shared" si="139"/>
        <v>138</v>
      </c>
      <c r="B141" s="73">
        <f>'Scénario référence'!$B$16*5+'Scénario référence'!$B$17*0+'Scénario référence'!$B$18*5</f>
        <v>5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1">
        <f t="shared" si="140"/>
        <v>0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1" s="11">
        <f>IF(OR('Scénario référence'!$F$8&gt;0,'Scénario référence'!$F$9&gt;0),('Scénario référence'!$F$8+'Scénario référence'!$F$9)*10,0)</f>
        <v>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18.333333333333332</v>
      </c>
      <c r="H141" s="67">
        <f t="shared" si="110"/>
        <v>183.33333333333334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0</v>
      </c>
      <c r="O141" s="13">
        <f>N141*VLOOKUP('Données projet'!$B$9,Paramètres!$A$1:$I$89,3,0)*VLOOKUP('Données projet'!$B$9,Paramètres!$A$1:$I$89,5,0)</f>
        <v>0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112.82287576550925</v>
      </c>
      <c r="T141" s="59">
        <f t="shared" si="142"/>
        <v>317.78570695363294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5.8108861779793495</v>
      </c>
      <c r="AA141" s="21">
        <f>EXP(-LN(2)/25)*AA140+(1-EXP(-LN(2)/25))/(LN(2)/25)*Calculateur!V141*Calculateur!X141*VLOOKUP('Données projet'!$B$9,Paramètres!$A$1:$I$89,3,0)*0.475*44/12</f>
        <v>0.48703680110504316</v>
      </c>
      <c r="AB141" s="21">
        <f>EXP(-LN(2)/2)*AB140+(1-EXP(-LN(2)/2))/(LN(2)/2)*V141*Y141*VLOOKUP('Données projet'!$B$9,Paramètres!$A$1:$I$89,3,0)*0.475*44/12</f>
        <v>3.1799691310395592E-17</v>
      </c>
      <c r="AC141" s="22">
        <f t="shared" si="111"/>
        <v>6.2979229790843929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0</v>
      </c>
      <c r="AJ141" s="13">
        <f>AI141*VLOOKUP('Données projet'!$B$10,Paramètres!$A$1:$I$89,3,0)*VLOOKUP('Données projet'!$B$10,Paramètres!$A$1:$I$89,5,0)</f>
        <v>0</v>
      </c>
      <c r="AK141" s="13" t="e">
        <f t="shared" si="143"/>
        <v>#NUM!</v>
      </c>
      <c r="AL141" s="20" t="e">
        <f t="shared" si="112"/>
        <v>#NUM!</v>
      </c>
      <c r="AM141" s="59" t="e">
        <f t="shared" si="113"/>
        <v>#NUM!</v>
      </c>
      <c r="AN141" s="59">
        <f ca="1">AVERAGE(OFFSET($AM$3,0,0,'Données projet'!$E$10+1,1))-AVERAGE(OFFSET($H$3,0,0,'Données projet'!$E$10+1,1))</f>
        <v>112.82287576550925</v>
      </c>
      <c r="AO141" s="59">
        <f t="shared" si="144"/>
        <v>317.78570695363294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5.8108861779793495</v>
      </c>
      <c r="AV141" s="21">
        <f>EXP(-LN(2)/25)*AV140+(1-EXP(-LN(2)/25))/(LN(2)/25)*Calculateur!AQ141*Calculateur!AS141*VLOOKUP('Données projet'!$B$10,Paramètres!$A$1:$I$89,3,0)*0.475*44/12</f>
        <v>0.48703680110504316</v>
      </c>
      <c r="AW141" s="21">
        <f>EXP(-LN(2)/2)*AW140+(1-EXP(-LN(2)/2))/(LN(2)/2)*AQ141*AT141*VLOOKUP('Données projet'!$B$10,Paramètres!$A$1:$I$89,3,0)*0.475*44/12</f>
        <v>3.1799691310395592E-17</v>
      </c>
      <c r="AX141" s="21">
        <f t="shared" si="114"/>
        <v>6.2979229790843929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0</v>
      </c>
      <c r="BE141" s="13">
        <f>BD141*VLOOKUP('Données projet'!$B$11,Paramètres!$A$1:$I$89,3,0)*VLOOKUP('Données projet'!$B$11,Paramètres!$A$1:$I$89,5,0)</f>
        <v>0</v>
      </c>
      <c r="BF141" s="13" t="e">
        <f t="shared" si="145"/>
        <v>#NUM!</v>
      </c>
      <c r="BG141" s="20" t="e">
        <f t="shared" si="115"/>
        <v>#NUM!</v>
      </c>
      <c r="BH141" s="59" t="e">
        <f t="shared" si="116"/>
        <v>#NUM!</v>
      </c>
      <c r="BI141" s="59">
        <f ca="1">AVERAGE(OFFSET($BH$3,0,0,'Données projet'!$E$11+1,1))-AVERAGE(OFFSET($H$3,0,0,'Données projet'!$E$11+1,1))</f>
        <v>112.82287576550925</v>
      </c>
      <c r="BJ141" s="59">
        <f t="shared" si="146"/>
        <v>317.78570695363294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5.8108861779793495</v>
      </c>
      <c r="BQ141" s="21">
        <f>EXP(-LN(2)/25)*BQ140+(1-EXP(-LN(2)/25))/(LN(2)/25)*Calculateur!BL141*Calculateur!BN141*VLOOKUP('Données projet'!$B$11,Paramètres!$A$1:$I$89,3,0)*0.475*44/12</f>
        <v>0.48703680110504316</v>
      </c>
      <c r="BR141" s="21">
        <f>EXP(-LN(2)/2)*BR140+(1-EXP(-LN(2)/2))/(LN(2)/2)*BL141*BO141*VLOOKUP('Données projet'!$B$11,Paramètres!$A$1:$I$89,3,0)*0.475*44/12</f>
        <v>3.1799691310395592E-17</v>
      </c>
      <c r="BS141" s="22">
        <f t="shared" si="117"/>
        <v>6.2979229790843929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>
        <f>BY141*VLOOKUP('Données projet'!$B$12,Paramètres!$A$1:$I$89,3,0)*VLOOKUP('Données projet'!$B$12,Paramètres!$A$1:$I$89,5,0)</f>
        <v>0</v>
      </c>
      <c r="CA141" s="13" t="e">
        <f t="shared" si="147"/>
        <v>#NUM!</v>
      </c>
      <c r="CB141" s="20" t="e">
        <f t="shared" si="118"/>
        <v>#NUM!</v>
      </c>
      <c r="CC141" s="59" t="e">
        <f t="shared" si="119"/>
        <v>#NUM!</v>
      </c>
      <c r="CD141" s="59">
        <f ca="1">AVERAGE(OFFSET($CC$3,0,0,'Données projet'!$E$12+1,1))-AVERAGE(OFFSET($H$3,0,0,'Données projet'!$E$12+1,1))</f>
        <v>112.82287576550925</v>
      </c>
      <c r="CE141" s="59">
        <f t="shared" si="148"/>
        <v>317.78570695363294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>
        <f>EXP(-LN(2)/35)*CK140+(1-EXP(-LN(2)/35))/(LN(2)/35)*CG141*CH141*VLOOKUP('Données projet'!$B$12,Paramètres!$A$1:$I$89,3,0)*0.475*44/12</f>
        <v>5.8108861779793495</v>
      </c>
      <c r="CL141" s="21">
        <f>EXP(-LN(2)/25)*CL140+(1-EXP(-LN(2)/25))/(LN(2)/25)*Calculateur!CG141*Calculateur!CI141*VLOOKUP('Données projet'!$B$12,Paramètres!$A$1:$I$89,3,0)*0.475*44/12</f>
        <v>0.48703680110504316</v>
      </c>
      <c r="CM141" s="21">
        <f>EXP(-LN(2)/2)*CM140+(1-EXP(-LN(2)/2))/(LN(2)/2)*CG141*CJ141*VLOOKUP('Données projet'!$B$12,Paramètres!$A$1:$I$89,3,0)*0.475*44/12</f>
        <v>3.1799691310395592E-17</v>
      </c>
      <c r="CN141" s="22">
        <f t="shared" si="120"/>
        <v>6.2979229790843929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5">
      <c r="A142" s="10">
        <f t="shared" si="139"/>
        <v>139</v>
      </c>
      <c r="B142" s="73">
        <f>'Scénario référence'!$B$16*5+'Scénario référence'!$B$17*0+'Scénario référence'!$B$18*5</f>
        <v>5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1">
        <f t="shared" si="140"/>
        <v>0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2" s="11">
        <f>IF(OR('Scénario référence'!$F$8&gt;0,'Scénario référence'!$F$9&gt;0),('Scénario référence'!$F$8+'Scénario référence'!$F$9)*10,0)</f>
        <v>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18.333333333333332</v>
      </c>
      <c r="H142" s="67">
        <f t="shared" si="110"/>
        <v>183.33333333333334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0</v>
      </c>
      <c r="O142" s="13">
        <f>N142*VLOOKUP('Données projet'!$B$9,Paramètres!$A$1:$I$89,3,0)*VLOOKUP('Données projet'!$B$9,Paramètres!$A$1:$I$89,5,0)</f>
        <v>0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112.82287576550925</v>
      </c>
      <c r="T142" s="59">
        <f t="shared" si="142"/>
        <v>317.78570695363294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5.6969382443197736</v>
      </c>
      <c r="AA142" s="21">
        <f>EXP(-LN(2)/25)*AA141+(1-EXP(-LN(2)/25))/(LN(2)/25)*Calculateur!V142*Calculateur!X142*VLOOKUP('Données projet'!$B$9,Paramètres!$A$1:$I$89,3,0)*0.475*44/12</f>
        <v>0.47371875416667353</v>
      </c>
      <c r="AB142" s="21">
        <f>EXP(-LN(2)/2)*AB141+(1-EXP(-LN(2)/2))/(LN(2)/2)*V142*Y142*VLOOKUP('Données projet'!$B$9,Paramètres!$A$1:$I$89,3,0)*0.475*44/12</f>
        <v>2.2485777365219653E-17</v>
      </c>
      <c r="AC142" s="22">
        <f t="shared" si="111"/>
        <v>6.1706569984864474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0</v>
      </c>
      <c r="AJ142" s="13">
        <f>AI142*VLOOKUP('Données projet'!$B$10,Paramètres!$A$1:$I$89,3,0)*VLOOKUP('Données projet'!$B$10,Paramètres!$A$1:$I$89,5,0)</f>
        <v>0</v>
      </c>
      <c r="AK142" s="13" t="e">
        <f t="shared" si="143"/>
        <v>#NUM!</v>
      </c>
      <c r="AL142" s="20" t="e">
        <f t="shared" si="112"/>
        <v>#NUM!</v>
      </c>
      <c r="AM142" s="59" t="e">
        <f t="shared" si="113"/>
        <v>#NUM!</v>
      </c>
      <c r="AN142" s="59">
        <f ca="1">AVERAGE(OFFSET($AM$3,0,0,'Données projet'!$E$10+1,1))-AVERAGE(OFFSET($H$3,0,0,'Données projet'!$E$10+1,1))</f>
        <v>112.82287576550925</v>
      </c>
      <c r="AO142" s="59">
        <f t="shared" si="144"/>
        <v>317.78570695363294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5.6969382443197736</v>
      </c>
      <c r="AV142" s="21">
        <f>EXP(-LN(2)/25)*AV141+(1-EXP(-LN(2)/25))/(LN(2)/25)*Calculateur!AQ142*Calculateur!AS142*VLOOKUP('Données projet'!$B$10,Paramètres!$A$1:$I$89,3,0)*0.475*44/12</f>
        <v>0.47371875416667353</v>
      </c>
      <c r="AW142" s="21">
        <f>EXP(-LN(2)/2)*AW141+(1-EXP(-LN(2)/2))/(LN(2)/2)*AQ142*AT142*VLOOKUP('Données projet'!$B$10,Paramètres!$A$1:$I$89,3,0)*0.475*44/12</f>
        <v>2.2485777365219653E-17</v>
      </c>
      <c r="AX142" s="21">
        <f t="shared" si="114"/>
        <v>6.1706569984864474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0</v>
      </c>
      <c r="BE142" s="13">
        <f>BD142*VLOOKUP('Données projet'!$B$11,Paramètres!$A$1:$I$89,3,0)*VLOOKUP('Données projet'!$B$11,Paramètres!$A$1:$I$89,5,0)</f>
        <v>0</v>
      </c>
      <c r="BF142" s="13" t="e">
        <f t="shared" si="145"/>
        <v>#NUM!</v>
      </c>
      <c r="BG142" s="20" t="e">
        <f t="shared" si="115"/>
        <v>#NUM!</v>
      </c>
      <c r="BH142" s="59" t="e">
        <f t="shared" si="116"/>
        <v>#NUM!</v>
      </c>
      <c r="BI142" s="59">
        <f ca="1">AVERAGE(OFFSET($BH$3,0,0,'Données projet'!$E$11+1,1))-AVERAGE(OFFSET($H$3,0,0,'Données projet'!$E$11+1,1))</f>
        <v>112.82287576550925</v>
      </c>
      <c r="BJ142" s="59">
        <f t="shared" si="146"/>
        <v>317.78570695363294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5.6969382443197736</v>
      </c>
      <c r="BQ142" s="21">
        <f>EXP(-LN(2)/25)*BQ141+(1-EXP(-LN(2)/25))/(LN(2)/25)*Calculateur!BL142*Calculateur!BN142*VLOOKUP('Données projet'!$B$11,Paramètres!$A$1:$I$89,3,0)*0.475*44/12</f>
        <v>0.47371875416667353</v>
      </c>
      <c r="BR142" s="21">
        <f>EXP(-LN(2)/2)*BR141+(1-EXP(-LN(2)/2))/(LN(2)/2)*BL142*BO142*VLOOKUP('Données projet'!$B$11,Paramètres!$A$1:$I$89,3,0)*0.475*44/12</f>
        <v>2.2485777365219653E-17</v>
      </c>
      <c r="BS142" s="22">
        <f t="shared" si="117"/>
        <v>6.1706569984864474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>
        <f>BY142*VLOOKUP('Données projet'!$B$12,Paramètres!$A$1:$I$89,3,0)*VLOOKUP('Données projet'!$B$12,Paramètres!$A$1:$I$89,5,0)</f>
        <v>0</v>
      </c>
      <c r="CA142" s="13" t="e">
        <f t="shared" si="147"/>
        <v>#NUM!</v>
      </c>
      <c r="CB142" s="20" t="e">
        <f t="shared" si="118"/>
        <v>#NUM!</v>
      </c>
      <c r="CC142" s="59" t="e">
        <f t="shared" si="119"/>
        <v>#NUM!</v>
      </c>
      <c r="CD142" s="59">
        <f ca="1">AVERAGE(OFFSET($CC$3,0,0,'Données projet'!$E$12+1,1))-AVERAGE(OFFSET($H$3,0,0,'Données projet'!$E$12+1,1))</f>
        <v>112.82287576550925</v>
      </c>
      <c r="CE142" s="59">
        <f t="shared" si="148"/>
        <v>317.78570695363294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>
        <f>EXP(-LN(2)/35)*CK141+(1-EXP(-LN(2)/35))/(LN(2)/35)*CG142*CH142*VLOOKUP('Données projet'!$B$12,Paramètres!$A$1:$I$89,3,0)*0.475*44/12</f>
        <v>5.6969382443197736</v>
      </c>
      <c r="CL142" s="21">
        <f>EXP(-LN(2)/25)*CL141+(1-EXP(-LN(2)/25))/(LN(2)/25)*Calculateur!CG142*Calculateur!CI142*VLOOKUP('Données projet'!$B$12,Paramètres!$A$1:$I$89,3,0)*0.475*44/12</f>
        <v>0.47371875416667353</v>
      </c>
      <c r="CM142" s="21">
        <f>EXP(-LN(2)/2)*CM141+(1-EXP(-LN(2)/2))/(LN(2)/2)*CG142*CJ142*VLOOKUP('Données projet'!$B$12,Paramètres!$A$1:$I$89,3,0)*0.475*44/12</f>
        <v>2.2485777365219653E-17</v>
      </c>
      <c r="CN142" s="22">
        <f t="shared" si="120"/>
        <v>6.1706569984864474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5">
      <c r="A143" s="10">
        <f t="shared" si="139"/>
        <v>140</v>
      </c>
      <c r="B143" s="73">
        <f>'Scénario référence'!$B$16*5+'Scénario référence'!$B$17*0+'Scénario référence'!$B$18*5</f>
        <v>5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1">
        <f t="shared" si="140"/>
        <v>0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3" s="11">
        <f>IF(OR('Scénario référence'!$F$8&gt;0,'Scénario référence'!$F$9&gt;0),('Scénario référence'!$F$8+'Scénario référence'!$F$9)*10,0)</f>
        <v>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18.333333333333332</v>
      </c>
      <c r="H143" s="67">
        <f t="shared" si="110"/>
        <v>183.33333333333334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0</v>
      </c>
      <c r="O143" s="13">
        <f>N143*VLOOKUP('Données projet'!$B$9,Paramètres!$A$1:$I$89,3,0)*VLOOKUP('Données projet'!$B$9,Paramètres!$A$1:$I$89,5,0)</f>
        <v>0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112.82287576550925</v>
      </c>
      <c r="T143" s="59">
        <f t="shared" si="142"/>
        <v>317.78570695363294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5.5852247601378853</v>
      </c>
      <c r="AA143" s="21">
        <f>EXP(-LN(2)/25)*AA142+(1-EXP(-LN(2)/25))/(LN(2)/25)*Calculateur!V143*Calculateur!X143*VLOOKUP('Données projet'!$B$9,Paramètres!$A$1:$I$89,3,0)*0.475*44/12</f>
        <v>0.46076488992219927</v>
      </c>
      <c r="AB143" s="21">
        <f>EXP(-LN(2)/2)*AB142+(1-EXP(-LN(2)/2))/(LN(2)/2)*V143*Y143*VLOOKUP('Données projet'!$B$9,Paramètres!$A$1:$I$89,3,0)*0.475*44/12</f>
        <v>1.5899845655197796E-17</v>
      </c>
      <c r="AC143" s="22">
        <f t="shared" si="111"/>
        <v>6.0459896500600845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0</v>
      </c>
      <c r="AJ143" s="13">
        <f>AI143*VLOOKUP('Données projet'!$B$10,Paramètres!$A$1:$I$89,3,0)*VLOOKUP('Données projet'!$B$10,Paramètres!$A$1:$I$89,5,0)</f>
        <v>0</v>
      </c>
      <c r="AK143" s="13" t="e">
        <f t="shared" si="143"/>
        <v>#NUM!</v>
      </c>
      <c r="AL143" s="20" t="e">
        <f t="shared" si="112"/>
        <v>#NUM!</v>
      </c>
      <c r="AM143" s="59" t="e">
        <f t="shared" si="113"/>
        <v>#NUM!</v>
      </c>
      <c r="AN143" s="59">
        <f ca="1">AVERAGE(OFFSET($AM$3,0,0,'Données projet'!$E$10+1,1))-AVERAGE(OFFSET($H$3,0,0,'Données projet'!$E$10+1,1))</f>
        <v>112.82287576550925</v>
      </c>
      <c r="AO143" s="59">
        <f t="shared" si="144"/>
        <v>317.78570695363294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5.5852247601378853</v>
      </c>
      <c r="AV143" s="21">
        <f>EXP(-LN(2)/25)*AV142+(1-EXP(-LN(2)/25))/(LN(2)/25)*Calculateur!AQ143*Calculateur!AS143*VLOOKUP('Données projet'!$B$10,Paramètres!$A$1:$I$89,3,0)*0.475*44/12</f>
        <v>0.46076488992219927</v>
      </c>
      <c r="AW143" s="21">
        <f>EXP(-LN(2)/2)*AW142+(1-EXP(-LN(2)/2))/(LN(2)/2)*AQ143*AT143*VLOOKUP('Données projet'!$B$10,Paramètres!$A$1:$I$89,3,0)*0.475*44/12</f>
        <v>1.5899845655197796E-17</v>
      </c>
      <c r="AX143" s="21">
        <f t="shared" si="114"/>
        <v>6.0459896500600845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0</v>
      </c>
      <c r="BE143" s="13">
        <f>BD143*VLOOKUP('Données projet'!$B$11,Paramètres!$A$1:$I$89,3,0)*VLOOKUP('Données projet'!$B$11,Paramètres!$A$1:$I$89,5,0)</f>
        <v>0</v>
      </c>
      <c r="BF143" s="13" t="e">
        <f t="shared" si="145"/>
        <v>#NUM!</v>
      </c>
      <c r="BG143" s="20" t="e">
        <f t="shared" si="115"/>
        <v>#NUM!</v>
      </c>
      <c r="BH143" s="59" t="e">
        <f t="shared" si="116"/>
        <v>#NUM!</v>
      </c>
      <c r="BI143" s="59">
        <f ca="1">AVERAGE(OFFSET($BH$3,0,0,'Données projet'!$E$11+1,1))-AVERAGE(OFFSET($H$3,0,0,'Données projet'!$E$11+1,1))</f>
        <v>112.82287576550925</v>
      </c>
      <c r="BJ143" s="59">
        <f t="shared" si="146"/>
        <v>317.78570695363294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5.5852247601378853</v>
      </c>
      <c r="BQ143" s="21">
        <f>EXP(-LN(2)/25)*BQ142+(1-EXP(-LN(2)/25))/(LN(2)/25)*Calculateur!BL143*Calculateur!BN143*VLOOKUP('Données projet'!$B$11,Paramètres!$A$1:$I$89,3,0)*0.475*44/12</f>
        <v>0.46076488992219927</v>
      </c>
      <c r="BR143" s="21">
        <f>EXP(-LN(2)/2)*BR142+(1-EXP(-LN(2)/2))/(LN(2)/2)*BL143*BO143*VLOOKUP('Données projet'!$B$11,Paramètres!$A$1:$I$89,3,0)*0.475*44/12</f>
        <v>1.5899845655197796E-17</v>
      </c>
      <c r="BS143" s="22">
        <f t="shared" si="117"/>
        <v>6.0459896500600845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>
        <f>BY143*VLOOKUP('Données projet'!$B$12,Paramètres!$A$1:$I$89,3,0)*VLOOKUP('Données projet'!$B$12,Paramètres!$A$1:$I$89,5,0)</f>
        <v>0</v>
      </c>
      <c r="CA143" s="13" t="e">
        <f t="shared" si="147"/>
        <v>#NUM!</v>
      </c>
      <c r="CB143" s="20" t="e">
        <f t="shared" si="118"/>
        <v>#NUM!</v>
      </c>
      <c r="CC143" s="59" t="e">
        <f t="shared" si="119"/>
        <v>#NUM!</v>
      </c>
      <c r="CD143" s="59">
        <f ca="1">AVERAGE(OFFSET($CC$3,0,0,'Données projet'!$E$12+1,1))-AVERAGE(OFFSET($H$3,0,0,'Données projet'!$E$12+1,1))</f>
        <v>112.82287576550925</v>
      </c>
      <c r="CE143" s="59">
        <f t="shared" si="148"/>
        <v>317.78570695363294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>
        <f>EXP(-LN(2)/35)*CK142+(1-EXP(-LN(2)/35))/(LN(2)/35)*CG143*CH143*VLOOKUP('Données projet'!$B$12,Paramètres!$A$1:$I$89,3,0)*0.475*44/12</f>
        <v>5.5852247601378853</v>
      </c>
      <c r="CL143" s="21">
        <f>EXP(-LN(2)/25)*CL142+(1-EXP(-LN(2)/25))/(LN(2)/25)*Calculateur!CG143*Calculateur!CI143*VLOOKUP('Données projet'!$B$12,Paramètres!$A$1:$I$89,3,0)*0.475*44/12</f>
        <v>0.46076488992219927</v>
      </c>
      <c r="CM143" s="21">
        <f>EXP(-LN(2)/2)*CM142+(1-EXP(-LN(2)/2))/(LN(2)/2)*CG143*CJ143*VLOOKUP('Données projet'!$B$12,Paramètres!$A$1:$I$89,3,0)*0.475*44/12</f>
        <v>1.5899845655197796E-17</v>
      </c>
      <c r="CN143" s="22">
        <f t="shared" si="120"/>
        <v>6.0459896500600845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5">
      <c r="A144" s="10">
        <f t="shared" si="139"/>
        <v>141</v>
      </c>
      <c r="B144" s="73">
        <f>'Scénario référence'!$B$16*5+'Scénario référence'!$B$17*0+'Scénario référence'!$B$18*5</f>
        <v>5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1">
        <f t="shared" si="140"/>
        <v>0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4" s="11">
        <f>IF(OR('Scénario référence'!$F$8&gt;0,'Scénario référence'!$F$9&gt;0),('Scénario référence'!$F$8+'Scénario référence'!$F$9)*10,0)</f>
        <v>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18.333333333333332</v>
      </c>
      <c r="H144" s="67">
        <f t="shared" si="110"/>
        <v>183.33333333333334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0</v>
      </c>
      <c r="O144" s="13">
        <f>N144*VLOOKUP('Données projet'!$B$9,Paramètres!$A$1:$I$89,3,0)*VLOOKUP('Données projet'!$B$9,Paramètres!$A$1:$I$89,5,0)</f>
        <v>0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112.82287576550925</v>
      </c>
      <c r="T144" s="59">
        <f t="shared" si="142"/>
        <v>317.78570695363294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5.4757019092423063</v>
      </c>
      <c r="AA144" s="21">
        <f>EXP(-LN(2)/25)*AA143+(1-EXP(-LN(2)/25))/(LN(2)/25)*Calculateur!V144*Calculateur!X144*VLOOKUP('Données projet'!$B$9,Paramètres!$A$1:$I$89,3,0)*0.475*44/12</f>
        <v>0.44816524977670424</v>
      </c>
      <c r="AB144" s="21">
        <f>EXP(-LN(2)/2)*AB143+(1-EXP(-LN(2)/2))/(LN(2)/2)*V144*Y144*VLOOKUP('Données projet'!$B$9,Paramètres!$A$1:$I$89,3,0)*0.475*44/12</f>
        <v>1.1242888682609826E-17</v>
      </c>
      <c r="AC144" s="22">
        <f t="shared" si="111"/>
        <v>5.9238671590190108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0</v>
      </c>
      <c r="AJ144" s="13">
        <f>AI144*VLOOKUP('Données projet'!$B$10,Paramètres!$A$1:$I$89,3,0)*VLOOKUP('Données projet'!$B$10,Paramètres!$A$1:$I$89,5,0)</f>
        <v>0</v>
      </c>
      <c r="AK144" s="13" t="e">
        <f t="shared" si="143"/>
        <v>#NUM!</v>
      </c>
      <c r="AL144" s="20" t="e">
        <f t="shared" si="112"/>
        <v>#NUM!</v>
      </c>
      <c r="AM144" s="59" t="e">
        <f t="shared" si="113"/>
        <v>#NUM!</v>
      </c>
      <c r="AN144" s="59">
        <f ca="1">AVERAGE(OFFSET($AM$3,0,0,'Données projet'!$E$10+1,1))-AVERAGE(OFFSET($H$3,0,0,'Données projet'!$E$10+1,1))</f>
        <v>112.82287576550925</v>
      </c>
      <c r="AO144" s="59">
        <f t="shared" si="144"/>
        <v>317.78570695363294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5.4757019092423063</v>
      </c>
      <c r="AV144" s="21">
        <f>EXP(-LN(2)/25)*AV143+(1-EXP(-LN(2)/25))/(LN(2)/25)*Calculateur!AQ144*Calculateur!AS144*VLOOKUP('Données projet'!$B$10,Paramètres!$A$1:$I$89,3,0)*0.475*44/12</f>
        <v>0.44816524977670424</v>
      </c>
      <c r="AW144" s="21">
        <f>EXP(-LN(2)/2)*AW143+(1-EXP(-LN(2)/2))/(LN(2)/2)*AQ144*AT144*VLOOKUP('Données projet'!$B$10,Paramètres!$A$1:$I$89,3,0)*0.475*44/12</f>
        <v>1.1242888682609826E-17</v>
      </c>
      <c r="AX144" s="21">
        <f t="shared" si="114"/>
        <v>5.9238671590190108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0</v>
      </c>
      <c r="BE144" s="13">
        <f>BD144*VLOOKUP('Données projet'!$B$11,Paramètres!$A$1:$I$89,3,0)*VLOOKUP('Données projet'!$B$11,Paramètres!$A$1:$I$89,5,0)</f>
        <v>0</v>
      </c>
      <c r="BF144" s="13" t="e">
        <f t="shared" si="145"/>
        <v>#NUM!</v>
      </c>
      <c r="BG144" s="20" t="e">
        <f t="shared" si="115"/>
        <v>#NUM!</v>
      </c>
      <c r="BH144" s="59" t="e">
        <f t="shared" si="116"/>
        <v>#NUM!</v>
      </c>
      <c r="BI144" s="59">
        <f ca="1">AVERAGE(OFFSET($BH$3,0,0,'Données projet'!$E$11+1,1))-AVERAGE(OFFSET($H$3,0,0,'Données projet'!$E$11+1,1))</f>
        <v>112.82287576550925</v>
      </c>
      <c r="BJ144" s="59">
        <f t="shared" si="146"/>
        <v>317.78570695363294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5.4757019092423063</v>
      </c>
      <c r="BQ144" s="21">
        <f>EXP(-LN(2)/25)*BQ143+(1-EXP(-LN(2)/25))/(LN(2)/25)*Calculateur!BL144*Calculateur!BN144*VLOOKUP('Données projet'!$B$11,Paramètres!$A$1:$I$89,3,0)*0.475*44/12</f>
        <v>0.44816524977670424</v>
      </c>
      <c r="BR144" s="21">
        <f>EXP(-LN(2)/2)*BR143+(1-EXP(-LN(2)/2))/(LN(2)/2)*BL144*BO144*VLOOKUP('Données projet'!$B$11,Paramètres!$A$1:$I$89,3,0)*0.475*44/12</f>
        <v>1.1242888682609826E-17</v>
      </c>
      <c r="BS144" s="22">
        <f t="shared" si="117"/>
        <v>5.9238671590190108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>
        <f>BY144*VLOOKUP('Données projet'!$B$12,Paramètres!$A$1:$I$89,3,0)*VLOOKUP('Données projet'!$B$12,Paramètres!$A$1:$I$89,5,0)</f>
        <v>0</v>
      </c>
      <c r="CA144" s="13" t="e">
        <f t="shared" si="147"/>
        <v>#NUM!</v>
      </c>
      <c r="CB144" s="20" t="e">
        <f t="shared" si="118"/>
        <v>#NUM!</v>
      </c>
      <c r="CC144" s="59" t="e">
        <f t="shared" si="119"/>
        <v>#NUM!</v>
      </c>
      <c r="CD144" s="59">
        <f ca="1">AVERAGE(OFFSET($CC$3,0,0,'Données projet'!$E$12+1,1))-AVERAGE(OFFSET($H$3,0,0,'Données projet'!$E$12+1,1))</f>
        <v>112.82287576550925</v>
      </c>
      <c r="CE144" s="59">
        <f t="shared" si="148"/>
        <v>317.78570695363294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>
        <f>EXP(-LN(2)/35)*CK143+(1-EXP(-LN(2)/35))/(LN(2)/35)*CG144*CH144*VLOOKUP('Données projet'!$B$12,Paramètres!$A$1:$I$89,3,0)*0.475*44/12</f>
        <v>5.4757019092423063</v>
      </c>
      <c r="CL144" s="21">
        <f>EXP(-LN(2)/25)*CL143+(1-EXP(-LN(2)/25))/(LN(2)/25)*Calculateur!CG144*Calculateur!CI144*VLOOKUP('Données projet'!$B$12,Paramètres!$A$1:$I$89,3,0)*0.475*44/12</f>
        <v>0.44816524977670424</v>
      </c>
      <c r="CM144" s="21">
        <f>EXP(-LN(2)/2)*CM143+(1-EXP(-LN(2)/2))/(LN(2)/2)*CG144*CJ144*VLOOKUP('Données projet'!$B$12,Paramètres!$A$1:$I$89,3,0)*0.475*44/12</f>
        <v>1.1242888682609826E-17</v>
      </c>
      <c r="CN144" s="22">
        <f t="shared" si="120"/>
        <v>5.9238671590190108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5">
      <c r="A145" s="10">
        <f t="shared" si="139"/>
        <v>142</v>
      </c>
      <c r="B145" s="73">
        <f>'Scénario référence'!$B$16*5+'Scénario référence'!$B$17*0+'Scénario référence'!$B$18*5</f>
        <v>5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1">
        <f t="shared" si="140"/>
        <v>0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5" s="11">
        <f>IF(OR('Scénario référence'!$F$8&gt;0,'Scénario référence'!$F$9&gt;0),('Scénario référence'!$F$8+'Scénario référence'!$F$9)*10,0)</f>
        <v>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18.333333333333332</v>
      </c>
      <c r="H145" s="67">
        <f t="shared" si="110"/>
        <v>183.33333333333334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0</v>
      </c>
      <c r="O145" s="13">
        <f>N145*VLOOKUP('Données projet'!$B$9,Paramètres!$A$1:$I$89,3,0)*VLOOKUP('Données projet'!$B$9,Paramètres!$A$1:$I$89,5,0)</f>
        <v>0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112.82287576550925</v>
      </c>
      <c r="T145" s="59">
        <f t="shared" si="142"/>
        <v>317.78570695363294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5.3683267346504469</v>
      </c>
      <c r="AA145" s="21">
        <f>EXP(-LN(2)/25)*AA144+(1-EXP(-LN(2)/25))/(LN(2)/25)*Calculateur!V145*Calculateur!X145*VLOOKUP('Données projet'!$B$9,Paramètres!$A$1:$I$89,3,0)*0.475*44/12</f>
        <v>0.43591014745357409</v>
      </c>
      <c r="AB145" s="21">
        <f>EXP(-LN(2)/2)*AB144+(1-EXP(-LN(2)/2))/(LN(2)/2)*V145*Y145*VLOOKUP('Données projet'!$B$9,Paramètres!$A$1:$I$89,3,0)*0.475*44/12</f>
        <v>7.949922827598898E-18</v>
      </c>
      <c r="AC145" s="22">
        <f t="shared" si="111"/>
        <v>5.8042368821040213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0</v>
      </c>
      <c r="AJ145" s="13">
        <f>AI145*VLOOKUP('Données projet'!$B$10,Paramètres!$A$1:$I$89,3,0)*VLOOKUP('Données projet'!$B$10,Paramètres!$A$1:$I$89,5,0)</f>
        <v>0</v>
      </c>
      <c r="AK145" s="13" t="e">
        <f t="shared" si="143"/>
        <v>#NUM!</v>
      </c>
      <c r="AL145" s="20" t="e">
        <f t="shared" si="112"/>
        <v>#NUM!</v>
      </c>
      <c r="AM145" s="59" t="e">
        <f t="shared" si="113"/>
        <v>#NUM!</v>
      </c>
      <c r="AN145" s="59">
        <f ca="1">AVERAGE(OFFSET($AM$3,0,0,'Données projet'!$E$10+1,1))-AVERAGE(OFFSET($H$3,0,0,'Données projet'!$E$10+1,1))</f>
        <v>112.82287576550925</v>
      </c>
      <c r="AO145" s="59">
        <f t="shared" si="144"/>
        <v>317.78570695363294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5.3683267346504469</v>
      </c>
      <c r="AV145" s="21">
        <f>EXP(-LN(2)/25)*AV144+(1-EXP(-LN(2)/25))/(LN(2)/25)*Calculateur!AQ145*Calculateur!AS145*VLOOKUP('Données projet'!$B$10,Paramètres!$A$1:$I$89,3,0)*0.475*44/12</f>
        <v>0.43591014745357409</v>
      </c>
      <c r="AW145" s="21">
        <f>EXP(-LN(2)/2)*AW144+(1-EXP(-LN(2)/2))/(LN(2)/2)*AQ145*AT145*VLOOKUP('Données projet'!$B$10,Paramètres!$A$1:$I$89,3,0)*0.475*44/12</f>
        <v>7.949922827598898E-18</v>
      </c>
      <c r="AX145" s="21">
        <f t="shared" si="114"/>
        <v>5.8042368821040213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0</v>
      </c>
      <c r="BE145" s="13">
        <f>BD145*VLOOKUP('Données projet'!$B$11,Paramètres!$A$1:$I$89,3,0)*VLOOKUP('Données projet'!$B$11,Paramètres!$A$1:$I$89,5,0)</f>
        <v>0</v>
      </c>
      <c r="BF145" s="13" t="e">
        <f t="shared" si="145"/>
        <v>#NUM!</v>
      </c>
      <c r="BG145" s="20" t="e">
        <f t="shared" si="115"/>
        <v>#NUM!</v>
      </c>
      <c r="BH145" s="59" t="e">
        <f t="shared" si="116"/>
        <v>#NUM!</v>
      </c>
      <c r="BI145" s="59">
        <f ca="1">AVERAGE(OFFSET($BH$3,0,0,'Données projet'!$E$11+1,1))-AVERAGE(OFFSET($H$3,0,0,'Données projet'!$E$11+1,1))</f>
        <v>112.82287576550925</v>
      </c>
      <c r="BJ145" s="59">
        <f t="shared" si="146"/>
        <v>317.78570695363294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5.3683267346504469</v>
      </c>
      <c r="BQ145" s="21">
        <f>EXP(-LN(2)/25)*BQ144+(1-EXP(-LN(2)/25))/(LN(2)/25)*Calculateur!BL145*Calculateur!BN145*VLOOKUP('Données projet'!$B$11,Paramètres!$A$1:$I$89,3,0)*0.475*44/12</f>
        <v>0.43591014745357409</v>
      </c>
      <c r="BR145" s="21">
        <f>EXP(-LN(2)/2)*BR144+(1-EXP(-LN(2)/2))/(LN(2)/2)*BL145*BO145*VLOOKUP('Données projet'!$B$11,Paramètres!$A$1:$I$89,3,0)*0.475*44/12</f>
        <v>7.949922827598898E-18</v>
      </c>
      <c r="BS145" s="22">
        <f t="shared" si="117"/>
        <v>5.8042368821040213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>
        <f>BY145*VLOOKUP('Données projet'!$B$12,Paramètres!$A$1:$I$89,3,0)*VLOOKUP('Données projet'!$B$12,Paramètres!$A$1:$I$89,5,0)</f>
        <v>0</v>
      </c>
      <c r="CA145" s="13" t="e">
        <f t="shared" si="147"/>
        <v>#NUM!</v>
      </c>
      <c r="CB145" s="20" t="e">
        <f t="shared" si="118"/>
        <v>#NUM!</v>
      </c>
      <c r="CC145" s="59" t="e">
        <f t="shared" si="119"/>
        <v>#NUM!</v>
      </c>
      <c r="CD145" s="59">
        <f ca="1">AVERAGE(OFFSET($CC$3,0,0,'Données projet'!$E$12+1,1))-AVERAGE(OFFSET($H$3,0,0,'Données projet'!$E$12+1,1))</f>
        <v>112.82287576550925</v>
      </c>
      <c r="CE145" s="59">
        <f t="shared" si="148"/>
        <v>317.78570695363294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>
        <f>EXP(-LN(2)/35)*CK144+(1-EXP(-LN(2)/35))/(LN(2)/35)*CG145*CH145*VLOOKUP('Données projet'!$B$12,Paramètres!$A$1:$I$89,3,0)*0.475*44/12</f>
        <v>5.3683267346504469</v>
      </c>
      <c r="CL145" s="21">
        <f>EXP(-LN(2)/25)*CL144+(1-EXP(-LN(2)/25))/(LN(2)/25)*Calculateur!CG145*Calculateur!CI145*VLOOKUP('Données projet'!$B$12,Paramètres!$A$1:$I$89,3,0)*0.475*44/12</f>
        <v>0.43591014745357409</v>
      </c>
      <c r="CM145" s="21">
        <f>EXP(-LN(2)/2)*CM144+(1-EXP(-LN(2)/2))/(LN(2)/2)*CG145*CJ145*VLOOKUP('Données projet'!$B$12,Paramètres!$A$1:$I$89,3,0)*0.475*44/12</f>
        <v>7.949922827598898E-18</v>
      </c>
      <c r="CN145" s="22">
        <f t="shared" si="120"/>
        <v>5.8042368821040213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5">
      <c r="A146" s="10">
        <f t="shared" si="139"/>
        <v>143</v>
      </c>
      <c r="B146" s="73">
        <f>'Scénario référence'!$B$16*5+'Scénario référence'!$B$17*0+'Scénario référence'!$B$18*5</f>
        <v>5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1">
        <f t="shared" si="140"/>
        <v>0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6" s="11">
        <f>IF(OR('Scénario référence'!$F$8&gt;0,'Scénario référence'!$F$9&gt;0),('Scénario référence'!$F$8+'Scénario référence'!$F$9)*10,0)</f>
        <v>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18.333333333333332</v>
      </c>
      <c r="H146" s="67">
        <f t="shared" si="110"/>
        <v>183.33333333333334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0</v>
      </c>
      <c r="O146" s="13">
        <f>N146*VLOOKUP('Données projet'!$B$9,Paramètres!$A$1:$I$89,3,0)*VLOOKUP('Données projet'!$B$9,Paramètres!$A$1:$I$89,5,0)</f>
        <v>0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112.82287576550925</v>
      </c>
      <c r="T146" s="59">
        <f t="shared" si="142"/>
        <v>317.78570695363294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5.2630571217399442</v>
      </c>
      <c r="AA146" s="21">
        <f>EXP(-LN(2)/25)*AA145+(1-EXP(-LN(2)/25))/(LN(2)/25)*Calculateur!V146*Calculateur!X146*VLOOKUP('Données projet'!$B$9,Paramètres!$A$1:$I$89,3,0)*0.475*44/12</f>
        <v>0.42399016154793773</v>
      </c>
      <c r="AB146" s="21">
        <f>EXP(-LN(2)/2)*AB145+(1-EXP(-LN(2)/2))/(LN(2)/2)*V146*Y146*VLOOKUP('Données projet'!$B$9,Paramètres!$A$1:$I$89,3,0)*0.475*44/12</f>
        <v>5.6214443413049132E-18</v>
      </c>
      <c r="AC146" s="22">
        <f t="shared" si="111"/>
        <v>5.6870472832878818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0</v>
      </c>
      <c r="AJ146" s="13">
        <f>AI146*VLOOKUP('Données projet'!$B$10,Paramètres!$A$1:$I$89,3,0)*VLOOKUP('Données projet'!$B$10,Paramètres!$A$1:$I$89,5,0)</f>
        <v>0</v>
      </c>
      <c r="AK146" s="13" t="e">
        <f t="shared" si="143"/>
        <v>#NUM!</v>
      </c>
      <c r="AL146" s="20" t="e">
        <f t="shared" si="112"/>
        <v>#NUM!</v>
      </c>
      <c r="AM146" s="59" t="e">
        <f t="shared" si="113"/>
        <v>#NUM!</v>
      </c>
      <c r="AN146" s="59">
        <f ca="1">AVERAGE(OFFSET($AM$3,0,0,'Données projet'!$E$10+1,1))-AVERAGE(OFFSET($H$3,0,0,'Données projet'!$E$10+1,1))</f>
        <v>112.82287576550925</v>
      </c>
      <c r="AO146" s="59">
        <f t="shared" si="144"/>
        <v>317.78570695363294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5.2630571217399442</v>
      </c>
      <c r="AV146" s="21">
        <f>EXP(-LN(2)/25)*AV145+(1-EXP(-LN(2)/25))/(LN(2)/25)*Calculateur!AQ146*Calculateur!AS146*VLOOKUP('Données projet'!$B$10,Paramètres!$A$1:$I$89,3,0)*0.475*44/12</f>
        <v>0.42399016154793773</v>
      </c>
      <c r="AW146" s="21">
        <f>EXP(-LN(2)/2)*AW145+(1-EXP(-LN(2)/2))/(LN(2)/2)*AQ146*AT146*VLOOKUP('Données projet'!$B$10,Paramètres!$A$1:$I$89,3,0)*0.475*44/12</f>
        <v>5.6214443413049132E-18</v>
      </c>
      <c r="AX146" s="21">
        <f t="shared" si="114"/>
        <v>5.6870472832878818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0</v>
      </c>
      <c r="BE146" s="13">
        <f>BD146*VLOOKUP('Données projet'!$B$11,Paramètres!$A$1:$I$89,3,0)*VLOOKUP('Données projet'!$B$11,Paramètres!$A$1:$I$89,5,0)</f>
        <v>0</v>
      </c>
      <c r="BF146" s="13" t="e">
        <f t="shared" si="145"/>
        <v>#NUM!</v>
      </c>
      <c r="BG146" s="20" t="e">
        <f t="shared" si="115"/>
        <v>#NUM!</v>
      </c>
      <c r="BH146" s="59" t="e">
        <f t="shared" si="116"/>
        <v>#NUM!</v>
      </c>
      <c r="BI146" s="59">
        <f ca="1">AVERAGE(OFFSET($BH$3,0,0,'Données projet'!$E$11+1,1))-AVERAGE(OFFSET($H$3,0,0,'Données projet'!$E$11+1,1))</f>
        <v>112.82287576550925</v>
      </c>
      <c r="BJ146" s="59">
        <f t="shared" si="146"/>
        <v>317.78570695363294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5.2630571217399442</v>
      </c>
      <c r="BQ146" s="21">
        <f>EXP(-LN(2)/25)*BQ145+(1-EXP(-LN(2)/25))/(LN(2)/25)*Calculateur!BL146*Calculateur!BN146*VLOOKUP('Données projet'!$B$11,Paramètres!$A$1:$I$89,3,0)*0.475*44/12</f>
        <v>0.42399016154793773</v>
      </c>
      <c r="BR146" s="21">
        <f>EXP(-LN(2)/2)*BR145+(1-EXP(-LN(2)/2))/(LN(2)/2)*BL146*BO146*VLOOKUP('Données projet'!$B$11,Paramètres!$A$1:$I$89,3,0)*0.475*44/12</f>
        <v>5.6214443413049132E-18</v>
      </c>
      <c r="BS146" s="22">
        <f t="shared" si="117"/>
        <v>5.6870472832878818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>
        <f>BY146*VLOOKUP('Données projet'!$B$12,Paramètres!$A$1:$I$89,3,0)*VLOOKUP('Données projet'!$B$12,Paramètres!$A$1:$I$89,5,0)</f>
        <v>0</v>
      </c>
      <c r="CA146" s="13" t="e">
        <f t="shared" si="147"/>
        <v>#NUM!</v>
      </c>
      <c r="CB146" s="20" t="e">
        <f t="shared" si="118"/>
        <v>#NUM!</v>
      </c>
      <c r="CC146" s="59" t="e">
        <f t="shared" si="119"/>
        <v>#NUM!</v>
      </c>
      <c r="CD146" s="59">
        <f ca="1">AVERAGE(OFFSET($CC$3,0,0,'Données projet'!$E$12+1,1))-AVERAGE(OFFSET($H$3,0,0,'Données projet'!$E$12+1,1))</f>
        <v>112.82287576550925</v>
      </c>
      <c r="CE146" s="59">
        <f t="shared" si="148"/>
        <v>317.78570695363294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>
        <f>EXP(-LN(2)/35)*CK145+(1-EXP(-LN(2)/35))/(LN(2)/35)*CG146*CH146*VLOOKUP('Données projet'!$B$12,Paramètres!$A$1:$I$89,3,0)*0.475*44/12</f>
        <v>5.2630571217399442</v>
      </c>
      <c r="CL146" s="21">
        <f>EXP(-LN(2)/25)*CL145+(1-EXP(-LN(2)/25))/(LN(2)/25)*Calculateur!CG146*Calculateur!CI146*VLOOKUP('Données projet'!$B$12,Paramètres!$A$1:$I$89,3,0)*0.475*44/12</f>
        <v>0.42399016154793773</v>
      </c>
      <c r="CM146" s="21">
        <f>EXP(-LN(2)/2)*CM145+(1-EXP(-LN(2)/2))/(LN(2)/2)*CG146*CJ146*VLOOKUP('Données projet'!$B$12,Paramètres!$A$1:$I$89,3,0)*0.475*44/12</f>
        <v>5.6214443413049132E-18</v>
      </c>
      <c r="CN146" s="22">
        <f t="shared" si="120"/>
        <v>5.6870472832878818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5">
      <c r="A147" s="10">
        <f t="shared" si="139"/>
        <v>144</v>
      </c>
      <c r="B147" s="73">
        <f>'Scénario référence'!$B$16*5+'Scénario référence'!$B$17*0+'Scénario référence'!$B$18*5</f>
        <v>5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1">
        <f t="shared" si="140"/>
        <v>0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7" s="11">
        <f>IF(OR('Scénario référence'!$F$8&gt;0,'Scénario référence'!$F$9&gt;0),('Scénario référence'!$F$8+'Scénario référence'!$F$9)*10,0)</f>
        <v>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18.333333333333332</v>
      </c>
      <c r="H147" s="67">
        <f t="shared" si="110"/>
        <v>183.33333333333334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0</v>
      </c>
      <c r="O147" s="13">
        <f>N147*VLOOKUP('Données projet'!$B$9,Paramètres!$A$1:$I$89,3,0)*VLOOKUP('Données projet'!$B$9,Paramètres!$A$1:$I$89,5,0)</f>
        <v>0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112.82287576550925</v>
      </c>
      <c r="T147" s="59">
        <f t="shared" si="142"/>
        <v>317.78570695363294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5.1598517817304925</v>
      </c>
      <c r="AA147" s="21">
        <f>EXP(-LN(2)/25)*AA146+(1-EXP(-LN(2)/25))/(LN(2)/25)*Calculateur!V147*Calculateur!X147*VLOOKUP('Données projet'!$B$9,Paramètres!$A$1:$I$89,3,0)*0.475*44/12</f>
        <v>0.41239612828373584</v>
      </c>
      <c r="AB147" s="21">
        <f>EXP(-LN(2)/2)*AB146+(1-EXP(-LN(2)/2))/(LN(2)/2)*V147*Y147*VLOOKUP('Données projet'!$B$9,Paramètres!$A$1:$I$89,3,0)*0.475*44/12</f>
        <v>3.974961413799449E-18</v>
      </c>
      <c r="AC147" s="22">
        <f t="shared" si="111"/>
        <v>5.5722479100142284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0</v>
      </c>
      <c r="AJ147" s="13">
        <f>AI147*VLOOKUP('Données projet'!$B$10,Paramètres!$A$1:$I$89,3,0)*VLOOKUP('Données projet'!$B$10,Paramètres!$A$1:$I$89,5,0)</f>
        <v>0</v>
      </c>
      <c r="AK147" s="13" t="e">
        <f t="shared" si="143"/>
        <v>#NUM!</v>
      </c>
      <c r="AL147" s="20" t="e">
        <f t="shared" si="112"/>
        <v>#NUM!</v>
      </c>
      <c r="AM147" s="59" t="e">
        <f t="shared" si="113"/>
        <v>#NUM!</v>
      </c>
      <c r="AN147" s="59">
        <f ca="1">AVERAGE(OFFSET($AM$3,0,0,'Données projet'!$E$10+1,1))-AVERAGE(OFFSET($H$3,0,0,'Données projet'!$E$10+1,1))</f>
        <v>112.82287576550925</v>
      </c>
      <c r="AO147" s="59">
        <f t="shared" si="144"/>
        <v>317.78570695363294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5.1598517817304925</v>
      </c>
      <c r="AV147" s="21">
        <f>EXP(-LN(2)/25)*AV146+(1-EXP(-LN(2)/25))/(LN(2)/25)*Calculateur!AQ147*Calculateur!AS147*VLOOKUP('Données projet'!$B$10,Paramètres!$A$1:$I$89,3,0)*0.475*44/12</f>
        <v>0.41239612828373584</v>
      </c>
      <c r="AW147" s="21">
        <f>EXP(-LN(2)/2)*AW146+(1-EXP(-LN(2)/2))/(LN(2)/2)*AQ147*AT147*VLOOKUP('Données projet'!$B$10,Paramètres!$A$1:$I$89,3,0)*0.475*44/12</f>
        <v>3.974961413799449E-18</v>
      </c>
      <c r="AX147" s="21">
        <f t="shared" si="114"/>
        <v>5.5722479100142284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0</v>
      </c>
      <c r="BE147" s="13">
        <f>BD147*VLOOKUP('Données projet'!$B$11,Paramètres!$A$1:$I$89,3,0)*VLOOKUP('Données projet'!$B$11,Paramètres!$A$1:$I$89,5,0)</f>
        <v>0</v>
      </c>
      <c r="BF147" s="13" t="e">
        <f t="shared" si="145"/>
        <v>#NUM!</v>
      </c>
      <c r="BG147" s="20" t="e">
        <f t="shared" si="115"/>
        <v>#NUM!</v>
      </c>
      <c r="BH147" s="59" t="e">
        <f t="shared" si="116"/>
        <v>#NUM!</v>
      </c>
      <c r="BI147" s="59">
        <f ca="1">AVERAGE(OFFSET($BH$3,0,0,'Données projet'!$E$11+1,1))-AVERAGE(OFFSET($H$3,0,0,'Données projet'!$E$11+1,1))</f>
        <v>112.82287576550925</v>
      </c>
      <c r="BJ147" s="59">
        <f t="shared" si="146"/>
        <v>317.78570695363294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5.1598517817304925</v>
      </c>
      <c r="BQ147" s="21">
        <f>EXP(-LN(2)/25)*BQ146+(1-EXP(-LN(2)/25))/(LN(2)/25)*Calculateur!BL147*Calculateur!BN147*VLOOKUP('Données projet'!$B$11,Paramètres!$A$1:$I$89,3,0)*0.475*44/12</f>
        <v>0.41239612828373584</v>
      </c>
      <c r="BR147" s="21">
        <f>EXP(-LN(2)/2)*BR146+(1-EXP(-LN(2)/2))/(LN(2)/2)*BL147*BO147*VLOOKUP('Données projet'!$B$11,Paramètres!$A$1:$I$89,3,0)*0.475*44/12</f>
        <v>3.974961413799449E-18</v>
      </c>
      <c r="BS147" s="22">
        <f t="shared" si="117"/>
        <v>5.5722479100142284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>
        <f>BY147*VLOOKUP('Données projet'!$B$12,Paramètres!$A$1:$I$89,3,0)*VLOOKUP('Données projet'!$B$12,Paramètres!$A$1:$I$89,5,0)</f>
        <v>0</v>
      </c>
      <c r="CA147" s="13" t="e">
        <f t="shared" si="147"/>
        <v>#NUM!</v>
      </c>
      <c r="CB147" s="20" t="e">
        <f t="shared" si="118"/>
        <v>#NUM!</v>
      </c>
      <c r="CC147" s="59" t="e">
        <f t="shared" si="119"/>
        <v>#NUM!</v>
      </c>
      <c r="CD147" s="59">
        <f ca="1">AVERAGE(OFFSET($CC$3,0,0,'Données projet'!$E$12+1,1))-AVERAGE(OFFSET($H$3,0,0,'Données projet'!$E$12+1,1))</f>
        <v>112.82287576550925</v>
      </c>
      <c r="CE147" s="59">
        <f t="shared" si="148"/>
        <v>317.78570695363294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>
        <f>EXP(-LN(2)/35)*CK146+(1-EXP(-LN(2)/35))/(LN(2)/35)*CG147*CH147*VLOOKUP('Données projet'!$B$12,Paramètres!$A$1:$I$89,3,0)*0.475*44/12</f>
        <v>5.1598517817304925</v>
      </c>
      <c r="CL147" s="21">
        <f>EXP(-LN(2)/25)*CL146+(1-EXP(-LN(2)/25))/(LN(2)/25)*Calculateur!CG147*Calculateur!CI147*VLOOKUP('Données projet'!$B$12,Paramètres!$A$1:$I$89,3,0)*0.475*44/12</f>
        <v>0.41239612828373584</v>
      </c>
      <c r="CM147" s="21">
        <f>EXP(-LN(2)/2)*CM146+(1-EXP(-LN(2)/2))/(LN(2)/2)*CG147*CJ147*VLOOKUP('Données projet'!$B$12,Paramètres!$A$1:$I$89,3,0)*0.475*44/12</f>
        <v>3.974961413799449E-18</v>
      </c>
      <c r="CN147" s="22">
        <f t="shared" si="120"/>
        <v>5.5722479100142284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5">
      <c r="A148" s="10">
        <f t="shared" si="139"/>
        <v>145</v>
      </c>
      <c r="B148" s="73">
        <f>'Scénario référence'!$B$16*5+'Scénario référence'!$B$17*0+'Scénario référence'!$B$18*5</f>
        <v>5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1">
        <f t="shared" si="140"/>
        <v>0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8" s="11">
        <f>IF(OR('Scénario référence'!$F$8&gt;0,'Scénario référence'!$F$9&gt;0),('Scénario référence'!$F$8+'Scénario référence'!$F$9)*10,0)</f>
        <v>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18.333333333333332</v>
      </c>
      <c r="H148" s="67">
        <f t="shared" si="110"/>
        <v>183.33333333333334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0</v>
      </c>
      <c r="O148" s="13">
        <f>N148*VLOOKUP('Données projet'!$B$9,Paramètres!$A$1:$I$89,3,0)*VLOOKUP('Données projet'!$B$9,Paramètres!$A$1:$I$89,5,0)</f>
        <v>0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112.82287576550925</v>
      </c>
      <c r="T148" s="59">
        <f t="shared" si="142"/>
        <v>317.78570695363294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5.0586702354895845</v>
      </c>
      <c r="AA148" s="21">
        <f>EXP(-LN(2)/25)*AA147+(1-EXP(-LN(2)/25))/(LN(2)/25)*Calculateur!V148*Calculateur!X148*VLOOKUP('Données projet'!$B$9,Paramètres!$A$1:$I$89,3,0)*0.475*44/12</f>
        <v>0.40111913446884723</v>
      </c>
      <c r="AB148" s="21">
        <f>EXP(-LN(2)/2)*AB147+(1-EXP(-LN(2)/2))/(LN(2)/2)*V148*Y148*VLOOKUP('Données projet'!$B$9,Paramètres!$A$1:$I$89,3,0)*0.475*44/12</f>
        <v>2.8107221706524566E-18</v>
      </c>
      <c r="AC148" s="22">
        <f t="shared" si="111"/>
        <v>5.4597893699584317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0</v>
      </c>
      <c r="AJ148" s="13">
        <f>AI148*VLOOKUP('Données projet'!$B$10,Paramètres!$A$1:$I$89,3,0)*VLOOKUP('Données projet'!$B$10,Paramètres!$A$1:$I$89,5,0)</f>
        <v>0</v>
      </c>
      <c r="AK148" s="13" t="e">
        <f t="shared" si="143"/>
        <v>#NUM!</v>
      </c>
      <c r="AL148" s="20" t="e">
        <f t="shared" si="112"/>
        <v>#NUM!</v>
      </c>
      <c r="AM148" s="59" t="e">
        <f t="shared" si="113"/>
        <v>#NUM!</v>
      </c>
      <c r="AN148" s="59">
        <f ca="1">AVERAGE(OFFSET($AM$3,0,0,'Données projet'!$E$10+1,1))-AVERAGE(OFFSET($H$3,0,0,'Données projet'!$E$10+1,1))</f>
        <v>112.82287576550925</v>
      </c>
      <c r="AO148" s="59">
        <f t="shared" si="144"/>
        <v>317.78570695363294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5.0586702354895845</v>
      </c>
      <c r="AV148" s="21">
        <f>EXP(-LN(2)/25)*AV147+(1-EXP(-LN(2)/25))/(LN(2)/25)*Calculateur!AQ148*Calculateur!AS148*VLOOKUP('Données projet'!$B$10,Paramètres!$A$1:$I$89,3,0)*0.475*44/12</f>
        <v>0.40111913446884723</v>
      </c>
      <c r="AW148" s="21">
        <f>EXP(-LN(2)/2)*AW147+(1-EXP(-LN(2)/2))/(LN(2)/2)*AQ148*AT148*VLOOKUP('Données projet'!$B$10,Paramètres!$A$1:$I$89,3,0)*0.475*44/12</f>
        <v>2.8107221706524566E-18</v>
      </c>
      <c r="AX148" s="21">
        <f t="shared" si="114"/>
        <v>5.4597893699584317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0</v>
      </c>
      <c r="BE148" s="13">
        <f>BD148*VLOOKUP('Données projet'!$B$11,Paramètres!$A$1:$I$89,3,0)*VLOOKUP('Données projet'!$B$11,Paramètres!$A$1:$I$89,5,0)</f>
        <v>0</v>
      </c>
      <c r="BF148" s="13" t="e">
        <f t="shared" si="145"/>
        <v>#NUM!</v>
      </c>
      <c r="BG148" s="20" t="e">
        <f t="shared" si="115"/>
        <v>#NUM!</v>
      </c>
      <c r="BH148" s="59" t="e">
        <f t="shared" si="116"/>
        <v>#NUM!</v>
      </c>
      <c r="BI148" s="59">
        <f ca="1">AVERAGE(OFFSET($BH$3,0,0,'Données projet'!$E$11+1,1))-AVERAGE(OFFSET($H$3,0,0,'Données projet'!$E$11+1,1))</f>
        <v>112.82287576550925</v>
      </c>
      <c r="BJ148" s="59">
        <f t="shared" si="146"/>
        <v>317.78570695363294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5.0586702354895845</v>
      </c>
      <c r="BQ148" s="21">
        <f>EXP(-LN(2)/25)*BQ147+(1-EXP(-LN(2)/25))/(LN(2)/25)*Calculateur!BL148*Calculateur!BN148*VLOOKUP('Données projet'!$B$11,Paramètres!$A$1:$I$89,3,0)*0.475*44/12</f>
        <v>0.40111913446884723</v>
      </c>
      <c r="BR148" s="21">
        <f>EXP(-LN(2)/2)*BR147+(1-EXP(-LN(2)/2))/(LN(2)/2)*BL148*BO148*VLOOKUP('Données projet'!$B$11,Paramètres!$A$1:$I$89,3,0)*0.475*44/12</f>
        <v>2.8107221706524566E-18</v>
      </c>
      <c r="BS148" s="22">
        <f t="shared" si="117"/>
        <v>5.4597893699584317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>
        <f>BY148*VLOOKUP('Données projet'!$B$12,Paramètres!$A$1:$I$89,3,0)*VLOOKUP('Données projet'!$B$12,Paramètres!$A$1:$I$89,5,0)</f>
        <v>0</v>
      </c>
      <c r="CA148" s="13" t="e">
        <f t="shared" si="147"/>
        <v>#NUM!</v>
      </c>
      <c r="CB148" s="20" t="e">
        <f t="shared" si="118"/>
        <v>#NUM!</v>
      </c>
      <c r="CC148" s="59" t="e">
        <f t="shared" si="119"/>
        <v>#NUM!</v>
      </c>
      <c r="CD148" s="59">
        <f ca="1">AVERAGE(OFFSET($CC$3,0,0,'Données projet'!$E$12+1,1))-AVERAGE(OFFSET($H$3,0,0,'Données projet'!$E$12+1,1))</f>
        <v>112.82287576550925</v>
      </c>
      <c r="CE148" s="59">
        <f t="shared" si="148"/>
        <v>317.78570695363294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>
        <f>EXP(-LN(2)/35)*CK147+(1-EXP(-LN(2)/35))/(LN(2)/35)*CG148*CH148*VLOOKUP('Données projet'!$B$12,Paramètres!$A$1:$I$89,3,0)*0.475*44/12</f>
        <v>5.0586702354895845</v>
      </c>
      <c r="CL148" s="21">
        <f>EXP(-LN(2)/25)*CL147+(1-EXP(-LN(2)/25))/(LN(2)/25)*Calculateur!CG148*Calculateur!CI148*VLOOKUP('Données projet'!$B$12,Paramètres!$A$1:$I$89,3,0)*0.475*44/12</f>
        <v>0.40111913446884723</v>
      </c>
      <c r="CM148" s="21">
        <f>EXP(-LN(2)/2)*CM147+(1-EXP(-LN(2)/2))/(LN(2)/2)*CG148*CJ148*VLOOKUP('Données projet'!$B$12,Paramètres!$A$1:$I$89,3,0)*0.475*44/12</f>
        <v>2.8107221706524566E-18</v>
      </c>
      <c r="CN148" s="22">
        <f t="shared" si="120"/>
        <v>5.4597893699584317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5">
      <c r="A149" s="10">
        <f t="shared" si="139"/>
        <v>146</v>
      </c>
      <c r="B149" s="73">
        <f>'Scénario référence'!$B$16*5+'Scénario référence'!$B$17*0+'Scénario référence'!$B$18*5</f>
        <v>5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1">
        <f t="shared" si="140"/>
        <v>0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9" s="11">
        <f>IF(OR('Scénario référence'!$F$8&gt;0,'Scénario référence'!$F$9&gt;0),('Scénario référence'!$F$8+'Scénario référence'!$F$9)*10,0)</f>
        <v>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18.333333333333332</v>
      </c>
      <c r="H149" s="67">
        <f t="shared" si="110"/>
        <v>183.33333333333334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0</v>
      </c>
      <c r="O149" s="13">
        <f>N149*VLOOKUP('Données projet'!$B$9,Paramètres!$A$1:$I$89,3,0)*VLOOKUP('Données projet'!$B$9,Paramètres!$A$1:$I$89,5,0)</f>
        <v>0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112.82287576550925</v>
      </c>
      <c r="T149" s="59">
        <f t="shared" si="142"/>
        <v>317.78570695363294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4.9594727976558115</v>
      </c>
      <c r="AA149" s="21">
        <f>EXP(-LN(2)/25)*AA148+(1-EXP(-LN(2)/25))/(LN(2)/25)*Calculateur!V149*Calculateur!X149*VLOOKUP('Données projet'!$B$9,Paramètres!$A$1:$I$89,3,0)*0.475*44/12</f>
        <v>0.39015051064285811</v>
      </c>
      <c r="AB149" s="21">
        <f>EXP(-LN(2)/2)*AB148+(1-EXP(-LN(2)/2))/(LN(2)/2)*V149*Y149*VLOOKUP('Données projet'!$B$9,Paramètres!$A$1:$I$89,3,0)*0.475*44/12</f>
        <v>1.9874807068997245E-18</v>
      </c>
      <c r="AC149" s="22">
        <f t="shared" si="111"/>
        <v>5.3496233082986695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0</v>
      </c>
      <c r="AJ149" s="13">
        <f>AI149*VLOOKUP('Données projet'!$B$10,Paramètres!$A$1:$I$89,3,0)*VLOOKUP('Données projet'!$B$10,Paramètres!$A$1:$I$89,5,0)</f>
        <v>0</v>
      </c>
      <c r="AK149" s="13" t="e">
        <f t="shared" si="143"/>
        <v>#NUM!</v>
      </c>
      <c r="AL149" s="20" t="e">
        <f t="shared" si="112"/>
        <v>#NUM!</v>
      </c>
      <c r="AM149" s="59" t="e">
        <f t="shared" si="113"/>
        <v>#NUM!</v>
      </c>
      <c r="AN149" s="59">
        <f ca="1">AVERAGE(OFFSET($AM$3,0,0,'Données projet'!$E$10+1,1))-AVERAGE(OFFSET($H$3,0,0,'Données projet'!$E$10+1,1))</f>
        <v>112.82287576550925</v>
      </c>
      <c r="AO149" s="59">
        <f t="shared" si="144"/>
        <v>317.78570695363294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4.9594727976558115</v>
      </c>
      <c r="AV149" s="21">
        <f>EXP(-LN(2)/25)*AV148+(1-EXP(-LN(2)/25))/(LN(2)/25)*Calculateur!AQ149*Calculateur!AS149*VLOOKUP('Données projet'!$B$10,Paramètres!$A$1:$I$89,3,0)*0.475*44/12</f>
        <v>0.39015051064285811</v>
      </c>
      <c r="AW149" s="21">
        <f>EXP(-LN(2)/2)*AW148+(1-EXP(-LN(2)/2))/(LN(2)/2)*AQ149*AT149*VLOOKUP('Données projet'!$B$10,Paramètres!$A$1:$I$89,3,0)*0.475*44/12</f>
        <v>1.9874807068997245E-18</v>
      </c>
      <c r="AX149" s="21">
        <f t="shared" si="114"/>
        <v>5.3496233082986695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0</v>
      </c>
      <c r="BE149" s="13">
        <f>BD149*VLOOKUP('Données projet'!$B$11,Paramètres!$A$1:$I$89,3,0)*VLOOKUP('Données projet'!$B$11,Paramètres!$A$1:$I$89,5,0)</f>
        <v>0</v>
      </c>
      <c r="BF149" s="13" t="e">
        <f t="shared" si="145"/>
        <v>#NUM!</v>
      </c>
      <c r="BG149" s="20" t="e">
        <f t="shared" si="115"/>
        <v>#NUM!</v>
      </c>
      <c r="BH149" s="59" t="e">
        <f t="shared" si="116"/>
        <v>#NUM!</v>
      </c>
      <c r="BI149" s="59">
        <f ca="1">AVERAGE(OFFSET($BH$3,0,0,'Données projet'!$E$11+1,1))-AVERAGE(OFFSET($H$3,0,0,'Données projet'!$E$11+1,1))</f>
        <v>112.82287576550925</v>
      </c>
      <c r="BJ149" s="59">
        <f t="shared" si="146"/>
        <v>317.78570695363294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4.9594727976558115</v>
      </c>
      <c r="BQ149" s="21">
        <f>EXP(-LN(2)/25)*BQ148+(1-EXP(-LN(2)/25))/(LN(2)/25)*Calculateur!BL149*Calculateur!BN149*VLOOKUP('Données projet'!$B$11,Paramètres!$A$1:$I$89,3,0)*0.475*44/12</f>
        <v>0.39015051064285811</v>
      </c>
      <c r="BR149" s="21">
        <f>EXP(-LN(2)/2)*BR148+(1-EXP(-LN(2)/2))/(LN(2)/2)*BL149*BO149*VLOOKUP('Données projet'!$B$11,Paramètres!$A$1:$I$89,3,0)*0.475*44/12</f>
        <v>1.9874807068997245E-18</v>
      </c>
      <c r="BS149" s="22">
        <f t="shared" si="117"/>
        <v>5.3496233082986695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>
        <f>BY149*VLOOKUP('Données projet'!$B$12,Paramètres!$A$1:$I$89,3,0)*VLOOKUP('Données projet'!$B$12,Paramètres!$A$1:$I$89,5,0)</f>
        <v>0</v>
      </c>
      <c r="CA149" s="13" t="e">
        <f t="shared" si="147"/>
        <v>#NUM!</v>
      </c>
      <c r="CB149" s="20" t="e">
        <f t="shared" si="118"/>
        <v>#NUM!</v>
      </c>
      <c r="CC149" s="59" t="e">
        <f t="shared" si="119"/>
        <v>#NUM!</v>
      </c>
      <c r="CD149" s="59">
        <f ca="1">AVERAGE(OFFSET($CC$3,0,0,'Données projet'!$E$12+1,1))-AVERAGE(OFFSET($H$3,0,0,'Données projet'!$E$12+1,1))</f>
        <v>112.82287576550925</v>
      </c>
      <c r="CE149" s="59">
        <f t="shared" si="148"/>
        <v>317.78570695363294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>
        <f>EXP(-LN(2)/35)*CK148+(1-EXP(-LN(2)/35))/(LN(2)/35)*CG149*CH149*VLOOKUP('Données projet'!$B$12,Paramètres!$A$1:$I$89,3,0)*0.475*44/12</f>
        <v>4.9594727976558115</v>
      </c>
      <c r="CL149" s="21">
        <f>EXP(-LN(2)/25)*CL148+(1-EXP(-LN(2)/25))/(LN(2)/25)*Calculateur!CG149*Calculateur!CI149*VLOOKUP('Données projet'!$B$12,Paramètres!$A$1:$I$89,3,0)*0.475*44/12</f>
        <v>0.39015051064285811</v>
      </c>
      <c r="CM149" s="21">
        <f>EXP(-LN(2)/2)*CM148+(1-EXP(-LN(2)/2))/(LN(2)/2)*CG149*CJ149*VLOOKUP('Données projet'!$B$12,Paramètres!$A$1:$I$89,3,0)*0.475*44/12</f>
        <v>1.9874807068997245E-18</v>
      </c>
      <c r="CN149" s="22">
        <f t="shared" si="120"/>
        <v>5.3496233082986695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5">
      <c r="A150" s="10">
        <f t="shared" si="139"/>
        <v>147</v>
      </c>
      <c r="B150" s="73">
        <f>'Scénario référence'!$B$16*5+'Scénario référence'!$B$17*0+'Scénario référence'!$B$18*5</f>
        <v>5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1">
        <f t="shared" si="140"/>
        <v>0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0" s="11">
        <f>IF(OR('Scénario référence'!$F$8&gt;0,'Scénario référence'!$F$9&gt;0),('Scénario référence'!$F$8+'Scénario référence'!$F$9)*10,0)</f>
        <v>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18.333333333333332</v>
      </c>
      <c r="H150" s="67">
        <f t="shared" si="110"/>
        <v>183.33333333333334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0</v>
      </c>
      <c r="O150" s="13">
        <f>N150*VLOOKUP('Données projet'!$B$9,Paramètres!$A$1:$I$89,3,0)*VLOOKUP('Données projet'!$B$9,Paramètres!$A$1:$I$89,5,0)</f>
        <v>0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112.82287576550925</v>
      </c>
      <c r="T150" s="59">
        <f t="shared" si="142"/>
        <v>317.78570695363294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4.8622205610734959</v>
      </c>
      <c r="AA150" s="21">
        <f>EXP(-LN(2)/25)*AA149+(1-EXP(-LN(2)/25))/(LN(2)/25)*Calculateur!V150*Calculateur!X150*VLOOKUP('Données projet'!$B$9,Paramètres!$A$1:$I$89,3,0)*0.475*44/12</f>
        <v>0.37948182441220552</v>
      </c>
      <c r="AB150" s="21">
        <f>EXP(-LN(2)/2)*AB149+(1-EXP(-LN(2)/2))/(LN(2)/2)*V150*Y150*VLOOKUP('Données projet'!$B$9,Paramètres!$A$1:$I$89,3,0)*0.475*44/12</f>
        <v>1.4053610853262283E-18</v>
      </c>
      <c r="AC150" s="22">
        <f t="shared" si="111"/>
        <v>5.2417023854857012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0</v>
      </c>
      <c r="AJ150" s="13">
        <f>AI150*VLOOKUP('Données projet'!$B$10,Paramètres!$A$1:$I$89,3,0)*VLOOKUP('Données projet'!$B$10,Paramètres!$A$1:$I$89,5,0)</f>
        <v>0</v>
      </c>
      <c r="AK150" s="13" t="e">
        <f t="shared" si="143"/>
        <v>#NUM!</v>
      </c>
      <c r="AL150" s="20" t="e">
        <f t="shared" si="112"/>
        <v>#NUM!</v>
      </c>
      <c r="AM150" s="59" t="e">
        <f t="shared" si="113"/>
        <v>#NUM!</v>
      </c>
      <c r="AN150" s="59">
        <f ca="1">AVERAGE(OFFSET($AM$3,0,0,'Données projet'!$E$10+1,1))-AVERAGE(OFFSET($H$3,0,0,'Données projet'!$E$10+1,1))</f>
        <v>112.82287576550925</v>
      </c>
      <c r="AO150" s="59">
        <f t="shared" si="144"/>
        <v>317.78570695363294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4.8622205610734959</v>
      </c>
      <c r="AV150" s="21">
        <f>EXP(-LN(2)/25)*AV149+(1-EXP(-LN(2)/25))/(LN(2)/25)*Calculateur!AQ150*Calculateur!AS150*VLOOKUP('Données projet'!$B$10,Paramètres!$A$1:$I$89,3,0)*0.475*44/12</f>
        <v>0.37948182441220552</v>
      </c>
      <c r="AW150" s="21">
        <f>EXP(-LN(2)/2)*AW149+(1-EXP(-LN(2)/2))/(LN(2)/2)*AQ150*AT150*VLOOKUP('Données projet'!$B$10,Paramètres!$A$1:$I$89,3,0)*0.475*44/12</f>
        <v>1.4053610853262283E-18</v>
      </c>
      <c r="AX150" s="21">
        <f t="shared" si="114"/>
        <v>5.2417023854857012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0</v>
      </c>
      <c r="BE150" s="13">
        <f>BD150*VLOOKUP('Données projet'!$B$11,Paramètres!$A$1:$I$89,3,0)*VLOOKUP('Données projet'!$B$11,Paramètres!$A$1:$I$89,5,0)</f>
        <v>0</v>
      </c>
      <c r="BF150" s="13" t="e">
        <f t="shared" si="145"/>
        <v>#NUM!</v>
      </c>
      <c r="BG150" s="20" t="e">
        <f t="shared" si="115"/>
        <v>#NUM!</v>
      </c>
      <c r="BH150" s="59" t="e">
        <f t="shared" si="116"/>
        <v>#NUM!</v>
      </c>
      <c r="BI150" s="59">
        <f ca="1">AVERAGE(OFFSET($BH$3,0,0,'Données projet'!$E$11+1,1))-AVERAGE(OFFSET($H$3,0,0,'Données projet'!$E$11+1,1))</f>
        <v>112.82287576550925</v>
      </c>
      <c r="BJ150" s="59">
        <f t="shared" si="146"/>
        <v>317.78570695363294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4.8622205610734959</v>
      </c>
      <c r="BQ150" s="21">
        <f>EXP(-LN(2)/25)*BQ149+(1-EXP(-LN(2)/25))/(LN(2)/25)*Calculateur!BL150*Calculateur!BN150*VLOOKUP('Données projet'!$B$11,Paramètres!$A$1:$I$89,3,0)*0.475*44/12</f>
        <v>0.37948182441220552</v>
      </c>
      <c r="BR150" s="21">
        <f>EXP(-LN(2)/2)*BR149+(1-EXP(-LN(2)/2))/(LN(2)/2)*BL150*BO150*VLOOKUP('Données projet'!$B$11,Paramètres!$A$1:$I$89,3,0)*0.475*44/12</f>
        <v>1.4053610853262283E-18</v>
      </c>
      <c r="BS150" s="22">
        <f t="shared" si="117"/>
        <v>5.2417023854857012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>
        <f>BY150*VLOOKUP('Données projet'!$B$12,Paramètres!$A$1:$I$89,3,0)*VLOOKUP('Données projet'!$B$12,Paramètres!$A$1:$I$89,5,0)</f>
        <v>0</v>
      </c>
      <c r="CA150" s="13" t="e">
        <f t="shared" si="147"/>
        <v>#NUM!</v>
      </c>
      <c r="CB150" s="20" t="e">
        <f t="shared" si="118"/>
        <v>#NUM!</v>
      </c>
      <c r="CC150" s="59" t="e">
        <f t="shared" si="119"/>
        <v>#NUM!</v>
      </c>
      <c r="CD150" s="59">
        <f ca="1">AVERAGE(OFFSET($CC$3,0,0,'Données projet'!$E$12+1,1))-AVERAGE(OFFSET($H$3,0,0,'Données projet'!$E$12+1,1))</f>
        <v>112.82287576550925</v>
      </c>
      <c r="CE150" s="59">
        <f t="shared" si="148"/>
        <v>317.78570695363294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>
        <f>EXP(-LN(2)/35)*CK149+(1-EXP(-LN(2)/35))/(LN(2)/35)*CG150*CH150*VLOOKUP('Données projet'!$B$12,Paramètres!$A$1:$I$89,3,0)*0.475*44/12</f>
        <v>4.8622205610734959</v>
      </c>
      <c r="CL150" s="21">
        <f>EXP(-LN(2)/25)*CL149+(1-EXP(-LN(2)/25))/(LN(2)/25)*Calculateur!CG150*Calculateur!CI150*VLOOKUP('Données projet'!$B$12,Paramètres!$A$1:$I$89,3,0)*0.475*44/12</f>
        <v>0.37948182441220552</v>
      </c>
      <c r="CM150" s="21">
        <f>EXP(-LN(2)/2)*CM149+(1-EXP(-LN(2)/2))/(LN(2)/2)*CG150*CJ150*VLOOKUP('Données projet'!$B$12,Paramètres!$A$1:$I$89,3,0)*0.475*44/12</f>
        <v>1.4053610853262283E-18</v>
      </c>
      <c r="CN150" s="22">
        <f t="shared" si="120"/>
        <v>5.2417023854857012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5">
      <c r="A151" s="10">
        <f t="shared" si="139"/>
        <v>148</v>
      </c>
      <c r="B151" s="73">
        <f>'Scénario référence'!$B$16*5+'Scénario référence'!$B$17*0+'Scénario référence'!$B$18*5</f>
        <v>5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1">
        <f t="shared" si="140"/>
        <v>0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1" s="11">
        <f>IF(OR('Scénario référence'!$F$8&gt;0,'Scénario référence'!$F$9&gt;0),('Scénario référence'!$F$8+'Scénario référence'!$F$9)*10,0)</f>
        <v>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18.333333333333332</v>
      </c>
      <c r="H151" s="67">
        <f t="shared" si="110"/>
        <v>183.33333333333334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0</v>
      </c>
      <c r="O151" s="13">
        <f>N151*VLOOKUP('Données projet'!$B$9,Paramètres!$A$1:$I$89,3,0)*VLOOKUP('Données projet'!$B$9,Paramètres!$A$1:$I$89,5,0)</f>
        <v>0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112.82287576550925</v>
      </c>
      <c r="T151" s="59">
        <f t="shared" si="142"/>
        <v>317.78570695363294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4.766875381532552</v>
      </c>
      <c r="AA151" s="21">
        <f>EXP(-LN(2)/25)*AA150+(1-EXP(-LN(2)/25))/(LN(2)/25)*Calculateur!V151*Calculateur!X151*VLOOKUP('Données projet'!$B$9,Paramètres!$A$1:$I$89,3,0)*0.475*44/12</f>
        <v>0.36910487396757191</v>
      </c>
      <c r="AB151" s="21">
        <f>EXP(-LN(2)/2)*AB150+(1-EXP(-LN(2)/2))/(LN(2)/2)*V151*Y151*VLOOKUP('Données projet'!$B$9,Paramètres!$A$1:$I$89,3,0)*0.475*44/12</f>
        <v>9.9374035344986225E-19</v>
      </c>
      <c r="AC151" s="22">
        <f t="shared" si="111"/>
        <v>5.1359802555001242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0</v>
      </c>
      <c r="AJ151" s="13">
        <f>AI151*VLOOKUP('Données projet'!$B$10,Paramètres!$A$1:$I$89,3,0)*VLOOKUP('Données projet'!$B$10,Paramètres!$A$1:$I$89,5,0)</f>
        <v>0</v>
      </c>
      <c r="AK151" s="13" t="e">
        <f t="shared" si="143"/>
        <v>#NUM!</v>
      </c>
      <c r="AL151" s="20" t="e">
        <f t="shared" si="112"/>
        <v>#NUM!</v>
      </c>
      <c r="AM151" s="59" t="e">
        <f t="shared" si="113"/>
        <v>#NUM!</v>
      </c>
      <c r="AN151" s="59">
        <f ca="1">AVERAGE(OFFSET($AM$3,0,0,'Données projet'!$E$10+1,1))-AVERAGE(OFFSET($H$3,0,0,'Données projet'!$E$10+1,1))</f>
        <v>112.82287576550925</v>
      </c>
      <c r="AO151" s="59">
        <f t="shared" si="144"/>
        <v>317.78570695363294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4.766875381532552</v>
      </c>
      <c r="AV151" s="21">
        <f>EXP(-LN(2)/25)*AV150+(1-EXP(-LN(2)/25))/(LN(2)/25)*Calculateur!AQ151*Calculateur!AS151*VLOOKUP('Données projet'!$B$10,Paramètres!$A$1:$I$89,3,0)*0.475*44/12</f>
        <v>0.36910487396757191</v>
      </c>
      <c r="AW151" s="21">
        <f>EXP(-LN(2)/2)*AW150+(1-EXP(-LN(2)/2))/(LN(2)/2)*AQ151*AT151*VLOOKUP('Données projet'!$B$10,Paramètres!$A$1:$I$89,3,0)*0.475*44/12</f>
        <v>9.9374035344986225E-19</v>
      </c>
      <c r="AX151" s="21">
        <f t="shared" si="114"/>
        <v>5.1359802555001242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0</v>
      </c>
      <c r="BE151" s="13">
        <f>BD151*VLOOKUP('Données projet'!$B$11,Paramètres!$A$1:$I$89,3,0)*VLOOKUP('Données projet'!$B$11,Paramètres!$A$1:$I$89,5,0)</f>
        <v>0</v>
      </c>
      <c r="BF151" s="13" t="e">
        <f t="shared" si="145"/>
        <v>#NUM!</v>
      </c>
      <c r="BG151" s="20" t="e">
        <f t="shared" si="115"/>
        <v>#NUM!</v>
      </c>
      <c r="BH151" s="59" t="e">
        <f t="shared" si="116"/>
        <v>#NUM!</v>
      </c>
      <c r="BI151" s="59">
        <f ca="1">AVERAGE(OFFSET($BH$3,0,0,'Données projet'!$E$11+1,1))-AVERAGE(OFFSET($H$3,0,0,'Données projet'!$E$11+1,1))</f>
        <v>112.82287576550925</v>
      </c>
      <c r="BJ151" s="59">
        <f t="shared" si="146"/>
        <v>317.78570695363294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4.766875381532552</v>
      </c>
      <c r="BQ151" s="21">
        <f>EXP(-LN(2)/25)*BQ150+(1-EXP(-LN(2)/25))/(LN(2)/25)*Calculateur!BL151*Calculateur!BN151*VLOOKUP('Données projet'!$B$11,Paramètres!$A$1:$I$89,3,0)*0.475*44/12</f>
        <v>0.36910487396757191</v>
      </c>
      <c r="BR151" s="21">
        <f>EXP(-LN(2)/2)*BR150+(1-EXP(-LN(2)/2))/(LN(2)/2)*BL151*BO151*VLOOKUP('Données projet'!$B$11,Paramètres!$A$1:$I$89,3,0)*0.475*44/12</f>
        <v>9.9374035344986225E-19</v>
      </c>
      <c r="BS151" s="22">
        <f t="shared" si="117"/>
        <v>5.1359802555001242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>
        <f>BY151*VLOOKUP('Données projet'!$B$12,Paramètres!$A$1:$I$89,3,0)*VLOOKUP('Données projet'!$B$12,Paramètres!$A$1:$I$89,5,0)</f>
        <v>0</v>
      </c>
      <c r="CA151" s="13" t="e">
        <f t="shared" si="147"/>
        <v>#NUM!</v>
      </c>
      <c r="CB151" s="20" t="e">
        <f t="shared" si="118"/>
        <v>#NUM!</v>
      </c>
      <c r="CC151" s="59" t="e">
        <f t="shared" si="119"/>
        <v>#NUM!</v>
      </c>
      <c r="CD151" s="59">
        <f ca="1">AVERAGE(OFFSET($CC$3,0,0,'Données projet'!$E$12+1,1))-AVERAGE(OFFSET($H$3,0,0,'Données projet'!$E$12+1,1))</f>
        <v>112.82287576550925</v>
      </c>
      <c r="CE151" s="59">
        <f t="shared" si="148"/>
        <v>317.78570695363294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>
        <f>EXP(-LN(2)/35)*CK150+(1-EXP(-LN(2)/35))/(LN(2)/35)*CG151*CH151*VLOOKUP('Données projet'!$B$12,Paramètres!$A$1:$I$89,3,0)*0.475*44/12</f>
        <v>4.766875381532552</v>
      </c>
      <c r="CL151" s="21">
        <f>EXP(-LN(2)/25)*CL150+(1-EXP(-LN(2)/25))/(LN(2)/25)*Calculateur!CG151*Calculateur!CI151*VLOOKUP('Données projet'!$B$12,Paramètres!$A$1:$I$89,3,0)*0.475*44/12</f>
        <v>0.36910487396757191</v>
      </c>
      <c r="CM151" s="21">
        <f>EXP(-LN(2)/2)*CM150+(1-EXP(-LN(2)/2))/(LN(2)/2)*CG151*CJ151*VLOOKUP('Données projet'!$B$12,Paramètres!$A$1:$I$89,3,0)*0.475*44/12</f>
        <v>9.9374035344986225E-19</v>
      </c>
      <c r="CN151" s="22">
        <f t="shared" si="120"/>
        <v>5.1359802555001242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5">
      <c r="A152" s="10">
        <f t="shared" si="139"/>
        <v>149</v>
      </c>
      <c r="B152" s="73">
        <f>'Scénario référence'!$B$16*5+'Scénario référence'!$B$17*0+'Scénario référence'!$B$18*5</f>
        <v>5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1">
        <f t="shared" si="140"/>
        <v>0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2" s="11">
        <f>IF(OR('Scénario référence'!$F$8&gt;0,'Scénario référence'!$F$9&gt;0),('Scénario référence'!$F$8+'Scénario référence'!$F$9)*10,0)</f>
        <v>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18.333333333333332</v>
      </c>
      <c r="H152" s="67">
        <f t="shared" si="110"/>
        <v>183.33333333333334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0</v>
      </c>
      <c r="O152" s="13">
        <f>N152*VLOOKUP('Données projet'!$B$9,Paramètres!$A$1:$I$89,3,0)*VLOOKUP('Données projet'!$B$9,Paramètres!$A$1:$I$89,5,0)</f>
        <v>0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112.82287576550925</v>
      </c>
      <c r="T152" s="59">
        <f t="shared" si="142"/>
        <v>317.78570695363294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4.6733998628075888</v>
      </c>
      <c r="AA152" s="21">
        <f>EXP(-LN(2)/25)*AA151+(1-EXP(-LN(2)/25))/(LN(2)/25)*Calculateur!V152*Calculateur!X152*VLOOKUP('Données projet'!$B$9,Paramètres!$A$1:$I$89,3,0)*0.475*44/12</f>
        <v>0.35901168177854692</v>
      </c>
      <c r="AB152" s="21">
        <f>EXP(-LN(2)/2)*AB151+(1-EXP(-LN(2)/2))/(LN(2)/2)*V152*Y152*VLOOKUP('Données projet'!$B$9,Paramètres!$A$1:$I$89,3,0)*0.475*44/12</f>
        <v>7.0268054266311415E-19</v>
      </c>
      <c r="AC152" s="22">
        <f t="shared" si="111"/>
        <v>5.0324115445861359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0</v>
      </c>
      <c r="AJ152" s="13">
        <f>AI152*VLOOKUP('Données projet'!$B$10,Paramètres!$A$1:$I$89,3,0)*VLOOKUP('Données projet'!$B$10,Paramètres!$A$1:$I$89,5,0)</f>
        <v>0</v>
      </c>
      <c r="AK152" s="13" t="e">
        <f t="shared" si="143"/>
        <v>#NUM!</v>
      </c>
      <c r="AL152" s="20" t="e">
        <f t="shared" si="112"/>
        <v>#NUM!</v>
      </c>
      <c r="AM152" s="59" t="e">
        <f t="shared" si="113"/>
        <v>#NUM!</v>
      </c>
      <c r="AN152" s="59">
        <f ca="1">AVERAGE(OFFSET($AM$3,0,0,'Données projet'!$E$10+1,1))-AVERAGE(OFFSET($H$3,0,0,'Données projet'!$E$10+1,1))</f>
        <v>112.82287576550925</v>
      </c>
      <c r="AO152" s="59">
        <f t="shared" si="144"/>
        <v>317.78570695363294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4.6733998628075888</v>
      </c>
      <c r="AV152" s="21">
        <f>EXP(-LN(2)/25)*AV151+(1-EXP(-LN(2)/25))/(LN(2)/25)*Calculateur!AQ152*Calculateur!AS152*VLOOKUP('Données projet'!$B$10,Paramètres!$A$1:$I$89,3,0)*0.475*44/12</f>
        <v>0.35901168177854692</v>
      </c>
      <c r="AW152" s="21">
        <f>EXP(-LN(2)/2)*AW151+(1-EXP(-LN(2)/2))/(LN(2)/2)*AQ152*AT152*VLOOKUP('Données projet'!$B$10,Paramètres!$A$1:$I$89,3,0)*0.475*44/12</f>
        <v>7.0268054266311415E-19</v>
      </c>
      <c r="AX152" s="21">
        <f t="shared" si="114"/>
        <v>5.0324115445861359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0</v>
      </c>
      <c r="BE152" s="13">
        <f>BD152*VLOOKUP('Données projet'!$B$11,Paramètres!$A$1:$I$89,3,0)*VLOOKUP('Données projet'!$B$11,Paramètres!$A$1:$I$89,5,0)</f>
        <v>0</v>
      </c>
      <c r="BF152" s="13" t="e">
        <f t="shared" si="145"/>
        <v>#NUM!</v>
      </c>
      <c r="BG152" s="20" t="e">
        <f t="shared" si="115"/>
        <v>#NUM!</v>
      </c>
      <c r="BH152" s="59" t="e">
        <f t="shared" si="116"/>
        <v>#NUM!</v>
      </c>
      <c r="BI152" s="59">
        <f ca="1">AVERAGE(OFFSET($BH$3,0,0,'Données projet'!$E$11+1,1))-AVERAGE(OFFSET($H$3,0,0,'Données projet'!$E$11+1,1))</f>
        <v>112.82287576550925</v>
      </c>
      <c r="BJ152" s="59">
        <f t="shared" si="146"/>
        <v>317.78570695363294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4.6733998628075888</v>
      </c>
      <c r="BQ152" s="21">
        <f>EXP(-LN(2)/25)*BQ151+(1-EXP(-LN(2)/25))/(LN(2)/25)*Calculateur!BL152*Calculateur!BN152*VLOOKUP('Données projet'!$B$11,Paramètres!$A$1:$I$89,3,0)*0.475*44/12</f>
        <v>0.35901168177854692</v>
      </c>
      <c r="BR152" s="21">
        <f>EXP(-LN(2)/2)*BR151+(1-EXP(-LN(2)/2))/(LN(2)/2)*BL152*BO152*VLOOKUP('Données projet'!$B$11,Paramètres!$A$1:$I$89,3,0)*0.475*44/12</f>
        <v>7.0268054266311415E-19</v>
      </c>
      <c r="BS152" s="22">
        <f t="shared" si="117"/>
        <v>5.0324115445861359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>
        <f>BY152*VLOOKUP('Données projet'!$B$12,Paramètres!$A$1:$I$89,3,0)*VLOOKUP('Données projet'!$B$12,Paramètres!$A$1:$I$89,5,0)</f>
        <v>0</v>
      </c>
      <c r="CA152" s="13" t="e">
        <f t="shared" si="147"/>
        <v>#NUM!</v>
      </c>
      <c r="CB152" s="20" t="e">
        <f t="shared" si="118"/>
        <v>#NUM!</v>
      </c>
      <c r="CC152" s="59" t="e">
        <f t="shared" si="119"/>
        <v>#NUM!</v>
      </c>
      <c r="CD152" s="59">
        <f ca="1">AVERAGE(OFFSET($CC$3,0,0,'Données projet'!$E$12+1,1))-AVERAGE(OFFSET($H$3,0,0,'Données projet'!$E$12+1,1))</f>
        <v>112.82287576550925</v>
      </c>
      <c r="CE152" s="59">
        <f t="shared" si="148"/>
        <v>317.78570695363294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>
        <f>EXP(-LN(2)/35)*CK151+(1-EXP(-LN(2)/35))/(LN(2)/35)*CG152*CH152*VLOOKUP('Données projet'!$B$12,Paramètres!$A$1:$I$89,3,0)*0.475*44/12</f>
        <v>4.6733998628075888</v>
      </c>
      <c r="CL152" s="21">
        <f>EXP(-LN(2)/25)*CL151+(1-EXP(-LN(2)/25))/(LN(2)/25)*Calculateur!CG152*Calculateur!CI152*VLOOKUP('Données projet'!$B$12,Paramètres!$A$1:$I$89,3,0)*0.475*44/12</f>
        <v>0.35901168177854692</v>
      </c>
      <c r="CM152" s="21">
        <f>EXP(-LN(2)/2)*CM151+(1-EXP(-LN(2)/2))/(LN(2)/2)*CG152*CJ152*VLOOKUP('Données projet'!$B$12,Paramètres!$A$1:$I$89,3,0)*0.475*44/12</f>
        <v>7.0268054266311415E-19</v>
      </c>
      <c r="CN152" s="22">
        <f t="shared" si="120"/>
        <v>5.0324115445861359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5">
      <c r="A153" s="10">
        <f>A152+1</f>
        <v>150</v>
      </c>
      <c r="B153" s="73">
        <f>'Scénario référence'!$B$16*5+'Scénario référence'!$B$17*0+'Scénario référence'!$B$18*5</f>
        <v>5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1">
        <f t="shared" si="140"/>
        <v>0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3" s="11">
        <f>IF(OR('Scénario référence'!$F$8&gt;0,'Scénario référence'!$F$9&gt;0),('Scénario référence'!$F$8+'Scénario référence'!$F$9)*10,0)</f>
        <v>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18.333333333333332</v>
      </c>
      <c r="H153" s="67">
        <f t="shared" si="110"/>
        <v>183.33333333333334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0</v>
      </c>
      <c r="O153" s="13">
        <f>N153*VLOOKUP('Données projet'!$B$9,Paramètres!$A$1:$I$89,3,0)*VLOOKUP('Données projet'!$B$9,Paramètres!$A$1:$I$89,5,0)</f>
        <v>0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112.82287576550925</v>
      </c>
      <c r="T153" s="59">
        <f t="shared" si="142"/>
        <v>317.78570695363294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4.5817573419903859</v>
      </c>
      <c r="AA153" s="21">
        <f>EXP(-LN(2)/25)*AA152+(1-EXP(-LN(2)/25))/(LN(2)/25)*Calculateur!V153*Calculateur!X153*VLOOKUP('Données projet'!$B$9,Paramètres!$A$1:$I$89,3,0)*0.475*44/12</f>
        <v>0.34919448846070872</v>
      </c>
      <c r="AB153" s="21">
        <f>EXP(-LN(2)/2)*AB152+(1-EXP(-LN(2)/2))/(LN(2)/2)*V153*Y153*VLOOKUP('Données projet'!$B$9,Paramètres!$A$1:$I$89,3,0)*0.475*44/12</f>
        <v>4.9687017672493112E-19</v>
      </c>
      <c r="AC153" s="22">
        <f t="shared" si="111"/>
        <v>4.9309518304510949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0</v>
      </c>
      <c r="AJ153" s="13">
        <f>AI153*VLOOKUP('Données projet'!$B$10,Paramètres!$A$1:$I$89,3,0)*VLOOKUP('Données projet'!$B$10,Paramètres!$A$1:$I$89,5,0)</f>
        <v>0</v>
      </c>
      <c r="AK153" s="13" t="e">
        <f t="shared" si="143"/>
        <v>#NUM!</v>
      </c>
      <c r="AL153" s="20" t="e">
        <f t="shared" si="112"/>
        <v>#NUM!</v>
      </c>
      <c r="AM153" s="59" t="e">
        <f t="shared" si="113"/>
        <v>#NUM!</v>
      </c>
      <c r="AN153" s="59">
        <f ca="1">AVERAGE(OFFSET($AM$3,0,0,'Données projet'!$E$10+1,1))-AVERAGE(OFFSET($H$3,0,0,'Données projet'!$E$10+1,1))</f>
        <v>112.82287576550925</v>
      </c>
      <c r="AO153" s="59">
        <f t="shared" si="144"/>
        <v>317.78570695363294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4.5817573419903859</v>
      </c>
      <c r="AV153" s="21">
        <f>EXP(-LN(2)/25)*AV152+(1-EXP(-LN(2)/25))/(LN(2)/25)*Calculateur!AQ153*Calculateur!AS153*VLOOKUP('Données projet'!$B$10,Paramètres!$A$1:$I$89,3,0)*0.475*44/12</f>
        <v>0.34919448846070872</v>
      </c>
      <c r="AW153" s="21">
        <f>EXP(-LN(2)/2)*AW152+(1-EXP(-LN(2)/2))/(LN(2)/2)*AQ153*AT153*VLOOKUP('Données projet'!$B$10,Paramètres!$A$1:$I$89,3,0)*0.475*44/12</f>
        <v>4.9687017672493112E-19</v>
      </c>
      <c r="AX153" s="21">
        <f t="shared" si="114"/>
        <v>4.9309518304510949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0</v>
      </c>
      <c r="BE153" s="13">
        <f>BD153*VLOOKUP('Données projet'!$B$11,Paramètres!$A$1:$I$89,3,0)*VLOOKUP('Données projet'!$B$11,Paramètres!$A$1:$I$89,5,0)</f>
        <v>0</v>
      </c>
      <c r="BF153" s="13" t="e">
        <f t="shared" si="145"/>
        <v>#NUM!</v>
      </c>
      <c r="BG153" s="20" t="e">
        <f t="shared" si="115"/>
        <v>#NUM!</v>
      </c>
      <c r="BH153" s="59" t="e">
        <f t="shared" si="116"/>
        <v>#NUM!</v>
      </c>
      <c r="BI153" s="59">
        <f ca="1">AVERAGE(OFFSET($BH$3,0,0,'Données projet'!$E$11+1,1))-AVERAGE(OFFSET($H$3,0,0,'Données projet'!$E$11+1,1))</f>
        <v>112.82287576550925</v>
      </c>
      <c r="BJ153" s="59">
        <f t="shared" si="146"/>
        <v>317.78570695363294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4.5817573419903859</v>
      </c>
      <c r="BQ153" s="21">
        <f>EXP(-LN(2)/25)*BQ152+(1-EXP(-LN(2)/25))/(LN(2)/25)*Calculateur!BL153*Calculateur!BN153*VLOOKUP('Données projet'!$B$11,Paramètres!$A$1:$I$89,3,0)*0.475*44/12</f>
        <v>0.34919448846070872</v>
      </c>
      <c r="BR153" s="21">
        <f>EXP(-LN(2)/2)*BR152+(1-EXP(-LN(2)/2))/(LN(2)/2)*BL153*BO153*VLOOKUP('Données projet'!$B$11,Paramètres!$A$1:$I$89,3,0)*0.475*44/12</f>
        <v>4.9687017672493112E-19</v>
      </c>
      <c r="BS153" s="22">
        <f t="shared" si="117"/>
        <v>4.9309518304510949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>
        <f>BY153*VLOOKUP('Données projet'!$B$12,Paramètres!$A$1:$I$89,3,0)*VLOOKUP('Données projet'!$B$12,Paramètres!$A$1:$I$89,5,0)</f>
        <v>0</v>
      </c>
      <c r="CA153" s="13" t="e">
        <f t="shared" si="147"/>
        <v>#NUM!</v>
      </c>
      <c r="CB153" s="20" t="e">
        <f t="shared" si="118"/>
        <v>#NUM!</v>
      </c>
      <c r="CC153" s="59" t="e">
        <f t="shared" si="119"/>
        <v>#NUM!</v>
      </c>
      <c r="CD153" s="59">
        <f ca="1">AVERAGE(OFFSET($CC$3,0,0,'Données projet'!$E$12+1,1))-AVERAGE(OFFSET($H$3,0,0,'Données projet'!$E$12+1,1))</f>
        <v>112.82287576550925</v>
      </c>
      <c r="CE153" s="59">
        <f t="shared" si="148"/>
        <v>317.78570695363294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>
        <f>EXP(-LN(2)/35)*CK152+(1-EXP(-LN(2)/35))/(LN(2)/35)*CG153*CH153*VLOOKUP('Données projet'!$B$12,Paramètres!$A$1:$I$89,3,0)*0.475*44/12</f>
        <v>4.5817573419903859</v>
      </c>
      <c r="CL153" s="21">
        <f>EXP(-LN(2)/25)*CL152+(1-EXP(-LN(2)/25))/(LN(2)/25)*Calculateur!CG153*Calculateur!CI153*VLOOKUP('Données projet'!$B$12,Paramètres!$A$1:$I$89,3,0)*0.475*44/12</f>
        <v>0.34919448846070872</v>
      </c>
      <c r="CM153" s="21">
        <f>EXP(-LN(2)/2)*CM152+(1-EXP(-LN(2)/2))/(LN(2)/2)*CG153*CJ153*VLOOKUP('Données projet'!$B$12,Paramètres!$A$1:$I$89,3,0)*0.475*44/12</f>
        <v>4.9687017672493112E-19</v>
      </c>
      <c r="CN153" s="22">
        <f t="shared" si="120"/>
        <v>4.9309518304510949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5">
      <c r="A154" s="10">
        <f t="shared" ref="A154:A202" si="161">A153+1</f>
        <v>151</v>
      </c>
      <c r="B154" s="73">
        <f>'Scénario référence'!$B$16*5+'Scénario référence'!$B$17*0+'Scénario référence'!$B$18*5</f>
        <v>5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1">
        <f t="shared" si="140"/>
        <v>0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4" s="11">
        <f>IF(OR('Scénario référence'!$F$8&gt;0,'Scénario référence'!$F$9&gt;0),('Scénario référence'!$F$8+'Scénario référence'!$F$9)*10,0)</f>
        <v>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18.333333333333332</v>
      </c>
      <c r="H154" s="67">
        <f t="shared" si="110"/>
        <v>183.33333333333334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0</v>
      </c>
      <c r="O154" s="13">
        <f>N154*VLOOKUP('Données projet'!$B$9,Paramètres!$A$1:$I$89,3,0)*VLOOKUP('Données projet'!$B$9,Paramètres!$A$1:$I$89,5,0)</f>
        <v>0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112.82287576550925</v>
      </c>
      <c r="T154" s="59">
        <f t="shared" si="142"/>
        <v>317.78570695363294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4.4919118751099898</v>
      </c>
      <c r="AA154" s="21">
        <f>EXP(-LN(2)/25)*AA153+(1-EXP(-LN(2)/25))/(LN(2)/25)*Calculateur!V154*Calculateur!X154*VLOOKUP('Données projet'!$B$9,Paramètres!$A$1:$I$89,3,0)*0.475*44/12</f>
        <v>0.3396457468104106</v>
      </c>
      <c r="AB154" s="21">
        <f>EXP(-LN(2)/2)*AB153+(1-EXP(-LN(2)/2))/(LN(2)/2)*V154*Y154*VLOOKUP('Données projet'!$B$9,Paramètres!$A$1:$I$89,3,0)*0.475*44/12</f>
        <v>3.5134027133155707E-19</v>
      </c>
      <c r="AC154" s="22">
        <f t="shared" ref="AC154:AC203" si="163">SUM(Z154:AB154)</f>
        <v>4.8315576219204006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0</v>
      </c>
      <c r="AJ154" s="13">
        <f>AI154*VLOOKUP('Données projet'!$B$10,Paramètres!$A$1:$I$89,3,0)*VLOOKUP('Données projet'!$B$10,Paramètres!$A$1:$I$89,5,0)</f>
        <v>0</v>
      </c>
      <c r="AK154" s="13" t="e">
        <f t="shared" ref="AK154:AK203" si="164">EXP(-1.0587+0.8836*LN(AJ154)+0.284)</f>
        <v>#NUM!</v>
      </c>
      <c r="AL154" s="20" t="e">
        <f t="shared" ref="AL154:AL203" si="165">(AJ154+AK154)*0.475*44/12</f>
        <v>#NUM!</v>
      </c>
      <c r="AM154" s="59" t="e">
        <f t="shared" si="113"/>
        <v>#NUM!</v>
      </c>
      <c r="AN154" s="59">
        <f ca="1">AVERAGE(OFFSET($AM$3,0,0,'Données projet'!$E$10+1,1))-AVERAGE(OFFSET($H$3,0,0,'Données projet'!$E$10+1,1))</f>
        <v>112.82287576550925</v>
      </c>
      <c r="AO154" s="59">
        <f t="shared" si="144"/>
        <v>317.78570695363294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4.4919118751099898</v>
      </c>
      <c r="AV154" s="21">
        <f>EXP(-LN(2)/25)*AV153+(1-EXP(-LN(2)/25))/(LN(2)/25)*Calculateur!AQ154*Calculateur!AS154*VLOOKUP('Données projet'!$B$10,Paramètres!$A$1:$I$89,3,0)*0.475*44/12</f>
        <v>0.3396457468104106</v>
      </c>
      <c r="AW154" s="21">
        <f>EXP(-LN(2)/2)*AW153+(1-EXP(-LN(2)/2))/(LN(2)/2)*AQ154*AT154*VLOOKUP('Données projet'!$B$10,Paramètres!$A$1:$I$89,3,0)*0.475*44/12</f>
        <v>3.5134027133155707E-19</v>
      </c>
      <c r="AX154" s="21">
        <f t="shared" ref="AX154:AX203" si="166">SUM(AU154:AW154)</f>
        <v>4.8315576219204006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0</v>
      </c>
      <c r="BE154" s="13">
        <f>BD154*VLOOKUP('Données projet'!$B$11,Paramètres!$A$1:$I$89,3,0)*VLOOKUP('Données projet'!$B$11,Paramètres!$A$1:$I$89,5,0)</f>
        <v>0</v>
      </c>
      <c r="BF154" s="13" t="e">
        <f t="shared" ref="BF154:BF203" si="167">EXP(-1.0587+0.8836*LN(BE154)+0.284)</f>
        <v>#NUM!</v>
      </c>
      <c r="BG154" s="20" t="e">
        <f t="shared" ref="BG154:BG203" si="168">(BE154+BF154)*0.475*44/12</f>
        <v>#NUM!</v>
      </c>
      <c r="BH154" s="59" t="e">
        <f t="shared" si="116"/>
        <v>#NUM!</v>
      </c>
      <c r="BI154" s="59">
        <f ca="1">AVERAGE(OFFSET($BH$3,0,0,'Données projet'!$E$11+1,1))-AVERAGE(OFFSET($H$3,0,0,'Données projet'!$E$11+1,1))</f>
        <v>112.82287576550925</v>
      </c>
      <c r="BJ154" s="59">
        <f t="shared" si="146"/>
        <v>317.78570695363294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4.4919118751099898</v>
      </c>
      <c r="BQ154" s="21">
        <f>EXP(-LN(2)/25)*BQ153+(1-EXP(-LN(2)/25))/(LN(2)/25)*Calculateur!BL154*Calculateur!BN154*VLOOKUP('Données projet'!$B$11,Paramètres!$A$1:$I$89,3,0)*0.475*44/12</f>
        <v>0.3396457468104106</v>
      </c>
      <c r="BR154" s="21">
        <f>EXP(-LN(2)/2)*BR153+(1-EXP(-LN(2)/2))/(LN(2)/2)*BL154*BO154*VLOOKUP('Données projet'!$B$11,Paramètres!$A$1:$I$89,3,0)*0.475*44/12</f>
        <v>3.5134027133155707E-19</v>
      </c>
      <c r="BS154" s="22">
        <f t="shared" ref="BS154:BS203" si="169">SUM(BP154:BR154)</f>
        <v>4.8315576219204006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>
        <f>BY154*VLOOKUP('Données projet'!$B$12,Paramètres!$A$1:$I$89,3,0)*VLOOKUP('Données projet'!$B$12,Paramètres!$A$1:$I$89,5,0)</f>
        <v>0</v>
      </c>
      <c r="CA154" s="13" t="e">
        <f t="shared" ref="CA154:CA203" si="170">EXP(-1.0587+0.8836*LN(BZ154)+0.284)</f>
        <v>#NUM!</v>
      </c>
      <c r="CB154" s="20" t="e">
        <f t="shared" ref="CB154:CB203" si="171">(BZ154+CA154)*0.475*44/12</f>
        <v>#NUM!</v>
      </c>
      <c r="CC154" s="59" t="e">
        <f t="shared" si="119"/>
        <v>#NUM!</v>
      </c>
      <c r="CD154" s="59">
        <f ca="1">AVERAGE(OFFSET($CC$3,0,0,'Données projet'!$E$12+1,1))-AVERAGE(OFFSET($H$3,0,0,'Données projet'!$E$12+1,1))</f>
        <v>112.82287576550925</v>
      </c>
      <c r="CE154" s="59">
        <f t="shared" si="148"/>
        <v>317.78570695363294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>
        <f>EXP(-LN(2)/35)*CK153+(1-EXP(-LN(2)/35))/(LN(2)/35)*CG154*CH154*VLOOKUP('Données projet'!$B$12,Paramètres!$A$1:$I$89,3,0)*0.475*44/12</f>
        <v>4.4919118751099898</v>
      </c>
      <c r="CL154" s="21">
        <f>EXP(-LN(2)/25)*CL153+(1-EXP(-LN(2)/25))/(LN(2)/25)*Calculateur!CG154*Calculateur!CI154*VLOOKUP('Données projet'!$B$12,Paramètres!$A$1:$I$89,3,0)*0.475*44/12</f>
        <v>0.3396457468104106</v>
      </c>
      <c r="CM154" s="21">
        <f>EXP(-LN(2)/2)*CM153+(1-EXP(-LN(2)/2))/(LN(2)/2)*CG154*CJ154*VLOOKUP('Données projet'!$B$12,Paramètres!$A$1:$I$89,3,0)*0.475*44/12</f>
        <v>3.5134027133155707E-19</v>
      </c>
      <c r="CN154" s="22">
        <f t="shared" ref="CN154:CN203" si="172">SUM(CK154:CM154)</f>
        <v>4.8315576219204006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5">
      <c r="A155" s="10">
        <f t="shared" si="161"/>
        <v>152</v>
      </c>
      <c r="B155" s="73">
        <f>'Scénario référence'!$B$16*5+'Scénario référence'!$B$17*0+'Scénario référence'!$B$18*5</f>
        <v>5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1">
        <f t="shared" si="140"/>
        <v>0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5" s="11">
        <f>IF(OR('Scénario référence'!$F$8&gt;0,'Scénario référence'!$F$9&gt;0),('Scénario référence'!$F$8+'Scénario référence'!$F$9)*10,0)</f>
        <v>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18.333333333333332</v>
      </c>
      <c r="H155" s="67">
        <f t="shared" si="110"/>
        <v>183.33333333333334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0</v>
      </c>
      <c r="O155" s="13">
        <f>N155*VLOOKUP('Données projet'!$B$9,Paramètres!$A$1:$I$89,3,0)*VLOOKUP('Données projet'!$B$9,Paramètres!$A$1:$I$89,5,0)</f>
        <v>0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112.82287576550925</v>
      </c>
      <c r="T155" s="59">
        <f t="shared" si="142"/>
        <v>317.78570695363294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4.403828223034794</v>
      </c>
      <c r="AA155" s="21">
        <f>EXP(-LN(2)/25)*AA154+(1-EXP(-LN(2)/25))/(LN(2)/25)*Calculateur!V155*Calculateur!X155*VLOOKUP('Données projet'!$B$9,Paramètres!$A$1:$I$89,3,0)*0.475*44/12</f>
        <v>0.33035811600268639</v>
      </c>
      <c r="AB155" s="21">
        <f>EXP(-LN(2)/2)*AB154+(1-EXP(-LN(2)/2))/(LN(2)/2)*V155*Y155*VLOOKUP('Données projet'!$B$9,Paramètres!$A$1:$I$89,3,0)*0.475*44/12</f>
        <v>2.4843508836246556E-19</v>
      </c>
      <c r="AC155" s="22">
        <f t="shared" si="163"/>
        <v>4.7341863390374801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0</v>
      </c>
      <c r="AJ155" s="13">
        <f>AI155*VLOOKUP('Données projet'!$B$10,Paramètres!$A$1:$I$89,3,0)*VLOOKUP('Données projet'!$B$10,Paramètres!$A$1:$I$89,5,0)</f>
        <v>0</v>
      </c>
      <c r="AK155" s="13" t="e">
        <f t="shared" si="164"/>
        <v>#NUM!</v>
      </c>
      <c r="AL155" s="20" t="e">
        <f t="shared" si="165"/>
        <v>#NUM!</v>
      </c>
      <c r="AM155" s="59" t="e">
        <f t="shared" si="113"/>
        <v>#NUM!</v>
      </c>
      <c r="AN155" s="59">
        <f ca="1">AVERAGE(OFFSET($AM$3,0,0,'Données projet'!$E$10+1,1))-AVERAGE(OFFSET($H$3,0,0,'Données projet'!$E$10+1,1))</f>
        <v>112.82287576550925</v>
      </c>
      <c r="AO155" s="59">
        <f t="shared" si="144"/>
        <v>317.78570695363294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4.403828223034794</v>
      </c>
      <c r="AV155" s="21">
        <f>EXP(-LN(2)/25)*AV154+(1-EXP(-LN(2)/25))/(LN(2)/25)*Calculateur!AQ155*Calculateur!AS155*VLOOKUP('Données projet'!$B$10,Paramètres!$A$1:$I$89,3,0)*0.475*44/12</f>
        <v>0.33035811600268639</v>
      </c>
      <c r="AW155" s="21">
        <f>EXP(-LN(2)/2)*AW154+(1-EXP(-LN(2)/2))/(LN(2)/2)*AQ155*AT155*VLOOKUP('Données projet'!$B$10,Paramètres!$A$1:$I$89,3,0)*0.475*44/12</f>
        <v>2.4843508836246556E-19</v>
      </c>
      <c r="AX155" s="21">
        <f t="shared" si="166"/>
        <v>4.7341863390374801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0</v>
      </c>
      <c r="BE155" s="13">
        <f>BD155*VLOOKUP('Données projet'!$B$11,Paramètres!$A$1:$I$89,3,0)*VLOOKUP('Données projet'!$B$11,Paramètres!$A$1:$I$89,5,0)</f>
        <v>0</v>
      </c>
      <c r="BF155" s="13" t="e">
        <f t="shared" si="167"/>
        <v>#NUM!</v>
      </c>
      <c r="BG155" s="20" t="e">
        <f t="shared" si="168"/>
        <v>#NUM!</v>
      </c>
      <c r="BH155" s="59" t="e">
        <f t="shared" si="116"/>
        <v>#NUM!</v>
      </c>
      <c r="BI155" s="59">
        <f ca="1">AVERAGE(OFFSET($BH$3,0,0,'Données projet'!$E$11+1,1))-AVERAGE(OFFSET($H$3,0,0,'Données projet'!$E$11+1,1))</f>
        <v>112.82287576550925</v>
      </c>
      <c r="BJ155" s="59">
        <f t="shared" si="146"/>
        <v>317.78570695363294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4.403828223034794</v>
      </c>
      <c r="BQ155" s="21">
        <f>EXP(-LN(2)/25)*BQ154+(1-EXP(-LN(2)/25))/(LN(2)/25)*Calculateur!BL155*Calculateur!BN155*VLOOKUP('Données projet'!$B$11,Paramètres!$A$1:$I$89,3,0)*0.475*44/12</f>
        <v>0.33035811600268639</v>
      </c>
      <c r="BR155" s="21">
        <f>EXP(-LN(2)/2)*BR154+(1-EXP(-LN(2)/2))/(LN(2)/2)*BL155*BO155*VLOOKUP('Données projet'!$B$11,Paramètres!$A$1:$I$89,3,0)*0.475*44/12</f>
        <v>2.4843508836246556E-19</v>
      </c>
      <c r="BS155" s="22">
        <f t="shared" si="169"/>
        <v>4.7341863390374801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>
        <f>BY155*VLOOKUP('Données projet'!$B$12,Paramètres!$A$1:$I$89,3,0)*VLOOKUP('Données projet'!$B$12,Paramètres!$A$1:$I$89,5,0)</f>
        <v>0</v>
      </c>
      <c r="CA155" s="13" t="e">
        <f t="shared" si="170"/>
        <v>#NUM!</v>
      </c>
      <c r="CB155" s="20" t="e">
        <f t="shared" si="171"/>
        <v>#NUM!</v>
      </c>
      <c r="CC155" s="59" t="e">
        <f t="shared" si="119"/>
        <v>#NUM!</v>
      </c>
      <c r="CD155" s="59">
        <f ca="1">AVERAGE(OFFSET($CC$3,0,0,'Données projet'!$E$12+1,1))-AVERAGE(OFFSET($H$3,0,0,'Données projet'!$E$12+1,1))</f>
        <v>112.82287576550925</v>
      </c>
      <c r="CE155" s="59">
        <f t="shared" si="148"/>
        <v>317.78570695363294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>
        <f>EXP(-LN(2)/35)*CK154+(1-EXP(-LN(2)/35))/(LN(2)/35)*CG155*CH155*VLOOKUP('Données projet'!$B$12,Paramètres!$A$1:$I$89,3,0)*0.475*44/12</f>
        <v>4.403828223034794</v>
      </c>
      <c r="CL155" s="21">
        <f>EXP(-LN(2)/25)*CL154+(1-EXP(-LN(2)/25))/(LN(2)/25)*Calculateur!CG155*Calculateur!CI155*VLOOKUP('Données projet'!$B$12,Paramètres!$A$1:$I$89,3,0)*0.475*44/12</f>
        <v>0.33035811600268639</v>
      </c>
      <c r="CM155" s="21">
        <f>EXP(-LN(2)/2)*CM154+(1-EXP(-LN(2)/2))/(LN(2)/2)*CG155*CJ155*VLOOKUP('Données projet'!$B$12,Paramètres!$A$1:$I$89,3,0)*0.475*44/12</f>
        <v>2.4843508836246556E-19</v>
      </c>
      <c r="CN155" s="22">
        <f t="shared" si="172"/>
        <v>4.7341863390374801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5">
      <c r="A156" s="10">
        <f t="shared" si="161"/>
        <v>153</v>
      </c>
      <c r="B156" s="73">
        <f>'Scénario référence'!$B$16*5+'Scénario référence'!$B$17*0+'Scénario référence'!$B$18*5</f>
        <v>5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1">
        <f t="shared" si="140"/>
        <v>0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6" s="11">
        <f>IF(OR('Scénario référence'!$F$8&gt;0,'Scénario référence'!$F$9&gt;0),('Scénario référence'!$F$8+'Scénario référence'!$F$9)*10,0)</f>
        <v>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18.333333333333332</v>
      </c>
      <c r="H156" s="67">
        <f t="shared" si="110"/>
        <v>183.33333333333334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0</v>
      </c>
      <c r="O156" s="13">
        <f>N156*VLOOKUP('Données projet'!$B$9,Paramètres!$A$1:$I$89,3,0)*VLOOKUP('Données projet'!$B$9,Paramètres!$A$1:$I$89,5,0)</f>
        <v>0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112.82287576550925</v>
      </c>
      <c r="T156" s="59">
        <f t="shared" si="142"/>
        <v>317.78570695363294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4.3174718376510706</v>
      </c>
      <c r="AA156" s="21">
        <f>EXP(-LN(2)/25)*AA155+(1-EXP(-LN(2)/25))/(LN(2)/25)*Calculateur!V156*Calculateur!X156*VLOOKUP('Données projet'!$B$9,Paramètres!$A$1:$I$89,3,0)*0.475*44/12</f>
        <v>0.32132445594781467</v>
      </c>
      <c r="AB156" s="21">
        <f>EXP(-LN(2)/2)*AB155+(1-EXP(-LN(2)/2))/(LN(2)/2)*V156*Y156*VLOOKUP('Données projet'!$B$9,Paramètres!$A$1:$I$89,3,0)*0.475*44/12</f>
        <v>1.7567013566577854E-19</v>
      </c>
      <c r="AC156" s="22">
        <f t="shared" si="163"/>
        <v>4.6387962935988849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0</v>
      </c>
      <c r="AJ156" s="13">
        <f>AI156*VLOOKUP('Données projet'!$B$10,Paramètres!$A$1:$I$89,3,0)*VLOOKUP('Données projet'!$B$10,Paramètres!$A$1:$I$89,5,0)</f>
        <v>0</v>
      </c>
      <c r="AK156" s="13" t="e">
        <f t="shared" si="164"/>
        <v>#NUM!</v>
      </c>
      <c r="AL156" s="20" t="e">
        <f t="shared" si="165"/>
        <v>#NUM!</v>
      </c>
      <c r="AM156" s="59" t="e">
        <f t="shared" si="113"/>
        <v>#NUM!</v>
      </c>
      <c r="AN156" s="59">
        <f ca="1">AVERAGE(OFFSET($AM$3,0,0,'Données projet'!$E$10+1,1))-AVERAGE(OFFSET($H$3,0,0,'Données projet'!$E$10+1,1))</f>
        <v>112.82287576550925</v>
      </c>
      <c r="AO156" s="59">
        <f t="shared" si="144"/>
        <v>317.78570695363294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4.3174718376510706</v>
      </c>
      <c r="AV156" s="21">
        <f>EXP(-LN(2)/25)*AV155+(1-EXP(-LN(2)/25))/(LN(2)/25)*Calculateur!AQ156*Calculateur!AS156*VLOOKUP('Données projet'!$B$10,Paramètres!$A$1:$I$89,3,0)*0.475*44/12</f>
        <v>0.32132445594781467</v>
      </c>
      <c r="AW156" s="21">
        <f>EXP(-LN(2)/2)*AW155+(1-EXP(-LN(2)/2))/(LN(2)/2)*AQ156*AT156*VLOOKUP('Données projet'!$B$10,Paramètres!$A$1:$I$89,3,0)*0.475*44/12</f>
        <v>1.7567013566577854E-19</v>
      </c>
      <c r="AX156" s="21">
        <f t="shared" si="166"/>
        <v>4.6387962935988849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0</v>
      </c>
      <c r="BE156" s="13">
        <f>BD156*VLOOKUP('Données projet'!$B$11,Paramètres!$A$1:$I$89,3,0)*VLOOKUP('Données projet'!$B$11,Paramètres!$A$1:$I$89,5,0)</f>
        <v>0</v>
      </c>
      <c r="BF156" s="13" t="e">
        <f t="shared" si="167"/>
        <v>#NUM!</v>
      </c>
      <c r="BG156" s="20" t="e">
        <f t="shared" si="168"/>
        <v>#NUM!</v>
      </c>
      <c r="BH156" s="59" t="e">
        <f t="shared" si="116"/>
        <v>#NUM!</v>
      </c>
      <c r="BI156" s="59">
        <f ca="1">AVERAGE(OFFSET($BH$3,0,0,'Données projet'!$E$11+1,1))-AVERAGE(OFFSET($H$3,0,0,'Données projet'!$E$11+1,1))</f>
        <v>112.82287576550925</v>
      </c>
      <c r="BJ156" s="59">
        <f t="shared" si="146"/>
        <v>317.78570695363294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4.3174718376510706</v>
      </c>
      <c r="BQ156" s="21">
        <f>EXP(-LN(2)/25)*BQ155+(1-EXP(-LN(2)/25))/(LN(2)/25)*Calculateur!BL156*Calculateur!BN156*VLOOKUP('Données projet'!$B$11,Paramètres!$A$1:$I$89,3,0)*0.475*44/12</f>
        <v>0.32132445594781467</v>
      </c>
      <c r="BR156" s="21">
        <f>EXP(-LN(2)/2)*BR155+(1-EXP(-LN(2)/2))/(LN(2)/2)*BL156*BO156*VLOOKUP('Données projet'!$B$11,Paramètres!$A$1:$I$89,3,0)*0.475*44/12</f>
        <v>1.7567013566577854E-19</v>
      </c>
      <c r="BS156" s="22">
        <f t="shared" si="169"/>
        <v>4.6387962935988849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>
        <f>BY156*VLOOKUP('Données projet'!$B$12,Paramètres!$A$1:$I$89,3,0)*VLOOKUP('Données projet'!$B$12,Paramètres!$A$1:$I$89,5,0)</f>
        <v>0</v>
      </c>
      <c r="CA156" s="13" t="e">
        <f t="shared" si="170"/>
        <v>#NUM!</v>
      </c>
      <c r="CB156" s="20" t="e">
        <f t="shared" si="171"/>
        <v>#NUM!</v>
      </c>
      <c r="CC156" s="59" t="e">
        <f t="shared" si="119"/>
        <v>#NUM!</v>
      </c>
      <c r="CD156" s="59">
        <f ca="1">AVERAGE(OFFSET($CC$3,0,0,'Données projet'!$E$12+1,1))-AVERAGE(OFFSET($H$3,0,0,'Données projet'!$E$12+1,1))</f>
        <v>112.82287576550925</v>
      </c>
      <c r="CE156" s="59">
        <f t="shared" si="148"/>
        <v>317.78570695363294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>
        <f>EXP(-LN(2)/35)*CK155+(1-EXP(-LN(2)/35))/(LN(2)/35)*CG156*CH156*VLOOKUP('Données projet'!$B$12,Paramètres!$A$1:$I$89,3,0)*0.475*44/12</f>
        <v>4.3174718376510706</v>
      </c>
      <c r="CL156" s="21">
        <f>EXP(-LN(2)/25)*CL155+(1-EXP(-LN(2)/25))/(LN(2)/25)*Calculateur!CG156*Calculateur!CI156*VLOOKUP('Données projet'!$B$12,Paramètres!$A$1:$I$89,3,0)*0.475*44/12</f>
        <v>0.32132445594781467</v>
      </c>
      <c r="CM156" s="21">
        <f>EXP(-LN(2)/2)*CM155+(1-EXP(-LN(2)/2))/(LN(2)/2)*CG156*CJ156*VLOOKUP('Données projet'!$B$12,Paramètres!$A$1:$I$89,3,0)*0.475*44/12</f>
        <v>1.7567013566577854E-19</v>
      </c>
      <c r="CN156" s="22">
        <f t="shared" si="172"/>
        <v>4.6387962935988849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5">
      <c r="A157" s="10">
        <f t="shared" si="161"/>
        <v>154</v>
      </c>
      <c r="B157" s="73">
        <f>'Scénario référence'!$B$16*5+'Scénario référence'!$B$17*0+'Scénario référence'!$B$18*5</f>
        <v>5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1">
        <f t="shared" si="140"/>
        <v>0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7" s="11">
        <f>IF(OR('Scénario référence'!$F$8&gt;0,'Scénario référence'!$F$9&gt;0),('Scénario référence'!$F$8+'Scénario référence'!$F$9)*10,0)</f>
        <v>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18.333333333333332</v>
      </c>
      <c r="H157" s="67">
        <f t="shared" si="110"/>
        <v>183.33333333333334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0</v>
      </c>
      <c r="O157" s="13">
        <f>N157*VLOOKUP('Données projet'!$B$9,Paramètres!$A$1:$I$89,3,0)*VLOOKUP('Données projet'!$B$9,Paramètres!$A$1:$I$89,5,0)</f>
        <v>0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112.82287576550925</v>
      </c>
      <c r="T157" s="59">
        <f t="shared" si="142"/>
        <v>317.78570695363294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4.2328088483125272</v>
      </c>
      <c r="AA157" s="21">
        <f>EXP(-LN(2)/25)*AA156+(1-EXP(-LN(2)/25))/(LN(2)/25)*Calculateur!V157*Calculateur!X157*VLOOKUP('Données projet'!$B$9,Paramètres!$A$1:$I$89,3,0)*0.475*44/12</f>
        <v>0.31253782180220291</v>
      </c>
      <c r="AB157" s="21">
        <f>EXP(-LN(2)/2)*AB156+(1-EXP(-LN(2)/2))/(LN(2)/2)*V157*Y157*VLOOKUP('Données projet'!$B$9,Paramètres!$A$1:$I$89,3,0)*0.475*44/12</f>
        <v>1.2421754418123278E-19</v>
      </c>
      <c r="AC157" s="22">
        <f t="shared" si="163"/>
        <v>4.5453466701147303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0</v>
      </c>
      <c r="AJ157" s="13">
        <f>AI157*VLOOKUP('Données projet'!$B$10,Paramètres!$A$1:$I$89,3,0)*VLOOKUP('Données projet'!$B$10,Paramètres!$A$1:$I$89,5,0)</f>
        <v>0</v>
      </c>
      <c r="AK157" s="13" t="e">
        <f t="shared" si="164"/>
        <v>#NUM!</v>
      </c>
      <c r="AL157" s="20" t="e">
        <f t="shared" si="165"/>
        <v>#NUM!</v>
      </c>
      <c r="AM157" s="59" t="e">
        <f t="shared" si="113"/>
        <v>#NUM!</v>
      </c>
      <c r="AN157" s="59">
        <f ca="1">AVERAGE(OFFSET($AM$3,0,0,'Données projet'!$E$10+1,1))-AVERAGE(OFFSET($H$3,0,0,'Données projet'!$E$10+1,1))</f>
        <v>112.82287576550925</v>
      </c>
      <c r="AO157" s="59">
        <f t="shared" si="144"/>
        <v>317.78570695363294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4.2328088483125272</v>
      </c>
      <c r="AV157" s="21">
        <f>EXP(-LN(2)/25)*AV156+(1-EXP(-LN(2)/25))/(LN(2)/25)*Calculateur!AQ157*Calculateur!AS157*VLOOKUP('Données projet'!$B$10,Paramètres!$A$1:$I$89,3,0)*0.475*44/12</f>
        <v>0.31253782180220291</v>
      </c>
      <c r="AW157" s="21">
        <f>EXP(-LN(2)/2)*AW156+(1-EXP(-LN(2)/2))/(LN(2)/2)*AQ157*AT157*VLOOKUP('Données projet'!$B$10,Paramètres!$A$1:$I$89,3,0)*0.475*44/12</f>
        <v>1.2421754418123278E-19</v>
      </c>
      <c r="AX157" s="21">
        <f t="shared" si="166"/>
        <v>4.5453466701147303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0</v>
      </c>
      <c r="BE157" s="13">
        <f>BD157*VLOOKUP('Données projet'!$B$11,Paramètres!$A$1:$I$89,3,0)*VLOOKUP('Données projet'!$B$11,Paramètres!$A$1:$I$89,5,0)</f>
        <v>0</v>
      </c>
      <c r="BF157" s="13" t="e">
        <f t="shared" si="167"/>
        <v>#NUM!</v>
      </c>
      <c r="BG157" s="20" t="e">
        <f t="shared" si="168"/>
        <v>#NUM!</v>
      </c>
      <c r="BH157" s="59" t="e">
        <f t="shared" si="116"/>
        <v>#NUM!</v>
      </c>
      <c r="BI157" s="59">
        <f ca="1">AVERAGE(OFFSET($BH$3,0,0,'Données projet'!$E$11+1,1))-AVERAGE(OFFSET($H$3,0,0,'Données projet'!$E$11+1,1))</f>
        <v>112.82287576550925</v>
      </c>
      <c r="BJ157" s="59">
        <f t="shared" si="146"/>
        <v>317.78570695363294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4.2328088483125272</v>
      </c>
      <c r="BQ157" s="21">
        <f>EXP(-LN(2)/25)*BQ156+(1-EXP(-LN(2)/25))/(LN(2)/25)*Calculateur!BL157*Calculateur!BN157*VLOOKUP('Données projet'!$B$11,Paramètres!$A$1:$I$89,3,0)*0.475*44/12</f>
        <v>0.31253782180220291</v>
      </c>
      <c r="BR157" s="21">
        <f>EXP(-LN(2)/2)*BR156+(1-EXP(-LN(2)/2))/(LN(2)/2)*BL157*BO157*VLOOKUP('Données projet'!$B$11,Paramètres!$A$1:$I$89,3,0)*0.475*44/12</f>
        <v>1.2421754418123278E-19</v>
      </c>
      <c r="BS157" s="22">
        <f t="shared" si="169"/>
        <v>4.5453466701147303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>
        <f>BY157*VLOOKUP('Données projet'!$B$12,Paramètres!$A$1:$I$89,3,0)*VLOOKUP('Données projet'!$B$12,Paramètres!$A$1:$I$89,5,0)</f>
        <v>0</v>
      </c>
      <c r="CA157" s="13" t="e">
        <f t="shared" si="170"/>
        <v>#NUM!</v>
      </c>
      <c r="CB157" s="20" t="e">
        <f t="shared" si="171"/>
        <v>#NUM!</v>
      </c>
      <c r="CC157" s="59" t="e">
        <f t="shared" si="119"/>
        <v>#NUM!</v>
      </c>
      <c r="CD157" s="59">
        <f ca="1">AVERAGE(OFFSET($CC$3,0,0,'Données projet'!$E$12+1,1))-AVERAGE(OFFSET($H$3,0,0,'Données projet'!$E$12+1,1))</f>
        <v>112.82287576550925</v>
      </c>
      <c r="CE157" s="59">
        <f t="shared" si="148"/>
        <v>317.78570695363294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>
        <f>EXP(-LN(2)/35)*CK156+(1-EXP(-LN(2)/35))/(LN(2)/35)*CG157*CH157*VLOOKUP('Données projet'!$B$12,Paramètres!$A$1:$I$89,3,0)*0.475*44/12</f>
        <v>4.2328088483125272</v>
      </c>
      <c r="CL157" s="21">
        <f>EXP(-LN(2)/25)*CL156+(1-EXP(-LN(2)/25))/(LN(2)/25)*Calculateur!CG157*Calculateur!CI157*VLOOKUP('Données projet'!$B$12,Paramètres!$A$1:$I$89,3,0)*0.475*44/12</f>
        <v>0.31253782180220291</v>
      </c>
      <c r="CM157" s="21">
        <f>EXP(-LN(2)/2)*CM156+(1-EXP(-LN(2)/2))/(LN(2)/2)*CG157*CJ157*VLOOKUP('Données projet'!$B$12,Paramètres!$A$1:$I$89,3,0)*0.475*44/12</f>
        <v>1.2421754418123278E-19</v>
      </c>
      <c r="CN157" s="22">
        <f t="shared" si="172"/>
        <v>4.5453466701147303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5">
      <c r="A158" s="10">
        <f t="shared" si="161"/>
        <v>155</v>
      </c>
      <c r="B158" s="73">
        <f>'Scénario référence'!$B$16*5+'Scénario référence'!$B$17*0+'Scénario référence'!$B$18*5</f>
        <v>5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1">
        <f t="shared" si="140"/>
        <v>0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8" s="11">
        <f>IF(OR('Scénario référence'!$F$8&gt;0,'Scénario référence'!$F$9&gt;0),('Scénario référence'!$F$8+'Scénario référence'!$F$9)*10,0)</f>
        <v>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18.333333333333332</v>
      </c>
      <c r="H158" s="67">
        <f t="shared" si="110"/>
        <v>183.33333333333334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0</v>
      </c>
      <c r="O158" s="13">
        <f>N158*VLOOKUP('Données projet'!$B$9,Paramètres!$A$1:$I$89,3,0)*VLOOKUP('Données projet'!$B$9,Paramètres!$A$1:$I$89,5,0)</f>
        <v>0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112.82287576550925</v>
      </c>
      <c r="T158" s="59">
        <f t="shared" si="142"/>
        <v>317.78570695363294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4.1498060485555888</v>
      </c>
      <c r="AA158" s="21">
        <f>EXP(-LN(2)/25)*AA157+(1-EXP(-LN(2)/25))/(LN(2)/25)*Calculateur!V158*Calculateur!X158*VLOOKUP('Données projet'!$B$9,Paramètres!$A$1:$I$89,3,0)*0.475*44/12</f>
        <v>0.30399145862937194</v>
      </c>
      <c r="AB158" s="21">
        <f>EXP(-LN(2)/2)*AB157+(1-EXP(-LN(2)/2))/(LN(2)/2)*V158*Y158*VLOOKUP('Données projet'!$B$9,Paramètres!$A$1:$I$89,3,0)*0.475*44/12</f>
        <v>8.7835067832889268E-20</v>
      </c>
      <c r="AC158" s="22">
        <f t="shared" si="163"/>
        <v>4.4537975071849605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0</v>
      </c>
      <c r="AJ158" s="13">
        <f>AI158*VLOOKUP('Données projet'!$B$10,Paramètres!$A$1:$I$89,3,0)*VLOOKUP('Données projet'!$B$10,Paramètres!$A$1:$I$89,5,0)</f>
        <v>0</v>
      </c>
      <c r="AK158" s="13" t="e">
        <f t="shared" si="164"/>
        <v>#NUM!</v>
      </c>
      <c r="AL158" s="20" t="e">
        <f t="shared" si="165"/>
        <v>#NUM!</v>
      </c>
      <c r="AM158" s="59" t="e">
        <f t="shared" si="113"/>
        <v>#NUM!</v>
      </c>
      <c r="AN158" s="59">
        <f ca="1">AVERAGE(OFFSET($AM$3,0,0,'Données projet'!$E$10+1,1))-AVERAGE(OFFSET($H$3,0,0,'Données projet'!$E$10+1,1))</f>
        <v>112.82287576550925</v>
      </c>
      <c r="AO158" s="59">
        <f t="shared" si="144"/>
        <v>317.78570695363294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4.1498060485555888</v>
      </c>
      <c r="AV158" s="21">
        <f>EXP(-LN(2)/25)*AV157+(1-EXP(-LN(2)/25))/(LN(2)/25)*Calculateur!AQ158*Calculateur!AS158*VLOOKUP('Données projet'!$B$10,Paramètres!$A$1:$I$89,3,0)*0.475*44/12</f>
        <v>0.30399145862937194</v>
      </c>
      <c r="AW158" s="21">
        <f>EXP(-LN(2)/2)*AW157+(1-EXP(-LN(2)/2))/(LN(2)/2)*AQ158*AT158*VLOOKUP('Données projet'!$B$10,Paramètres!$A$1:$I$89,3,0)*0.475*44/12</f>
        <v>8.7835067832889268E-20</v>
      </c>
      <c r="AX158" s="21">
        <f t="shared" si="166"/>
        <v>4.4537975071849605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0</v>
      </c>
      <c r="BE158" s="13">
        <f>BD158*VLOOKUP('Données projet'!$B$11,Paramètres!$A$1:$I$89,3,0)*VLOOKUP('Données projet'!$B$11,Paramètres!$A$1:$I$89,5,0)</f>
        <v>0</v>
      </c>
      <c r="BF158" s="13" t="e">
        <f t="shared" si="167"/>
        <v>#NUM!</v>
      </c>
      <c r="BG158" s="20" t="e">
        <f t="shared" si="168"/>
        <v>#NUM!</v>
      </c>
      <c r="BH158" s="59" t="e">
        <f t="shared" si="116"/>
        <v>#NUM!</v>
      </c>
      <c r="BI158" s="59">
        <f ca="1">AVERAGE(OFFSET($BH$3,0,0,'Données projet'!$E$11+1,1))-AVERAGE(OFFSET($H$3,0,0,'Données projet'!$E$11+1,1))</f>
        <v>112.82287576550925</v>
      </c>
      <c r="BJ158" s="59">
        <f t="shared" si="146"/>
        <v>317.78570695363294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4.1498060485555888</v>
      </c>
      <c r="BQ158" s="21">
        <f>EXP(-LN(2)/25)*BQ157+(1-EXP(-LN(2)/25))/(LN(2)/25)*Calculateur!BL158*Calculateur!BN158*VLOOKUP('Données projet'!$B$11,Paramètres!$A$1:$I$89,3,0)*0.475*44/12</f>
        <v>0.30399145862937194</v>
      </c>
      <c r="BR158" s="21">
        <f>EXP(-LN(2)/2)*BR157+(1-EXP(-LN(2)/2))/(LN(2)/2)*BL158*BO158*VLOOKUP('Données projet'!$B$11,Paramètres!$A$1:$I$89,3,0)*0.475*44/12</f>
        <v>8.7835067832889268E-20</v>
      </c>
      <c r="BS158" s="22">
        <f t="shared" si="169"/>
        <v>4.4537975071849605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>
        <f>BY158*VLOOKUP('Données projet'!$B$12,Paramètres!$A$1:$I$89,3,0)*VLOOKUP('Données projet'!$B$12,Paramètres!$A$1:$I$89,5,0)</f>
        <v>0</v>
      </c>
      <c r="CA158" s="13" t="e">
        <f t="shared" si="170"/>
        <v>#NUM!</v>
      </c>
      <c r="CB158" s="20" t="e">
        <f t="shared" si="171"/>
        <v>#NUM!</v>
      </c>
      <c r="CC158" s="59" t="e">
        <f t="shared" si="119"/>
        <v>#NUM!</v>
      </c>
      <c r="CD158" s="59">
        <f ca="1">AVERAGE(OFFSET($CC$3,0,0,'Données projet'!$E$12+1,1))-AVERAGE(OFFSET($H$3,0,0,'Données projet'!$E$12+1,1))</f>
        <v>112.82287576550925</v>
      </c>
      <c r="CE158" s="59">
        <f t="shared" si="148"/>
        <v>317.78570695363294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>
        <f>EXP(-LN(2)/35)*CK157+(1-EXP(-LN(2)/35))/(LN(2)/35)*CG158*CH158*VLOOKUP('Données projet'!$B$12,Paramètres!$A$1:$I$89,3,0)*0.475*44/12</f>
        <v>4.1498060485555888</v>
      </c>
      <c r="CL158" s="21">
        <f>EXP(-LN(2)/25)*CL157+(1-EXP(-LN(2)/25))/(LN(2)/25)*Calculateur!CG158*Calculateur!CI158*VLOOKUP('Données projet'!$B$12,Paramètres!$A$1:$I$89,3,0)*0.475*44/12</f>
        <v>0.30399145862937194</v>
      </c>
      <c r="CM158" s="21">
        <f>EXP(-LN(2)/2)*CM157+(1-EXP(-LN(2)/2))/(LN(2)/2)*CG158*CJ158*VLOOKUP('Données projet'!$B$12,Paramètres!$A$1:$I$89,3,0)*0.475*44/12</f>
        <v>8.7835067832889268E-20</v>
      </c>
      <c r="CN158" s="22">
        <f t="shared" si="172"/>
        <v>4.4537975071849605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5">
      <c r="A159" s="10">
        <f t="shared" si="161"/>
        <v>156</v>
      </c>
      <c r="B159" s="73">
        <f>'Scénario référence'!$B$16*5+'Scénario référence'!$B$17*0+'Scénario référence'!$B$18*5</f>
        <v>5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1">
        <f t="shared" si="140"/>
        <v>0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9" s="11">
        <f>IF(OR('Scénario référence'!$F$8&gt;0,'Scénario référence'!$F$9&gt;0),('Scénario référence'!$F$8+'Scénario référence'!$F$9)*10,0)</f>
        <v>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18.333333333333332</v>
      </c>
      <c r="H159" s="67">
        <f t="shared" si="110"/>
        <v>183.33333333333334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0</v>
      </c>
      <c r="O159" s="13">
        <f>N159*VLOOKUP('Données projet'!$B$9,Paramètres!$A$1:$I$89,3,0)*VLOOKUP('Données projet'!$B$9,Paramètres!$A$1:$I$89,5,0)</f>
        <v>0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112.82287576550925</v>
      </c>
      <c r="T159" s="59">
        <f t="shared" si="142"/>
        <v>317.78570695363294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4.068430883075175</v>
      </c>
      <c r="AA159" s="21">
        <f>EXP(-LN(2)/25)*AA158+(1-EXP(-LN(2)/25))/(LN(2)/25)*Calculateur!V159*Calculateur!X159*VLOOKUP('Données projet'!$B$9,Paramètres!$A$1:$I$89,3,0)*0.475*44/12</f>
        <v>0.29567879620693571</v>
      </c>
      <c r="AB159" s="21">
        <f>EXP(-LN(2)/2)*AB158+(1-EXP(-LN(2)/2))/(LN(2)/2)*V159*Y159*VLOOKUP('Données projet'!$B$9,Paramètres!$A$1:$I$89,3,0)*0.475*44/12</f>
        <v>6.210877209061639E-20</v>
      </c>
      <c r="AC159" s="22">
        <f t="shared" si="163"/>
        <v>4.3641096792821106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0</v>
      </c>
      <c r="AJ159" s="13">
        <f>AI159*VLOOKUP('Données projet'!$B$10,Paramètres!$A$1:$I$89,3,0)*VLOOKUP('Données projet'!$B$10,Paramètres!$A$1:$I$89,5,0)</f>
        <v>0</v>
      </c>
      <c r="AK159" s="13" t="e">
        <f t="shared" si="164"/>
        <v>#NUM!</v>
      </c>
      <c r="AL159" s="20" t="e">
        <f t="shared" si="165"/>
        <v>#NUM!</v>
      </c>
      <c r="AM159" s="59" t="e">
        <f t="shared" si="113"/>
        <v>#NUM!</v>
      </c>
      <c r="AN159" s="59">
        <f ca="1">AVERAGE(OFFSET($AM$3,0,0,'Données projet'!$E$10+1,1))-AVERAGE(OFFSET($H$3,0,0,'Données projet'!$E$10+1,1))</f>
        <v>112.82287576550925</v>
      </c>
      <c r="AO159" s="59">
        <f t="shared" si="144"/>
        <v>317.78570695363294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4.068430883075175</v>
      </c>
      <c r="AV159" s="21">
        <f>EXP(-LN(2)/25)*AV158+(1-EXP(-LN(2)/25))/(LN(2)/25)*Calculateur!AQ159*Calculateur!AS159*VLOOKUP('Données projet'!$B$10,Paramètres!$A$1:$I$89,3,0)*0.475*44/12</f>
        <v>0.29567879620693571</v>
      </c>
      <c r="AW159" s="21">
        <f>EXP(-LN(2)/2)*AW158+(1-EXP(-LN(2)/2))/(LN(2)/2)*AQ159*AT159*VLOOKUP('Données projet'!$B$10,Paramètres!$A$1:$I$89,3,0)*0.475*44/12</f>
        <v>6.210877209061639E-20</v>
      </c>
      <c r="AX159" s="21">
        <f t="shared" si="166"/>
        <v>4.3641096792821106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0</v>
      </c>
      <c r="BE159" s="13">
        <f>BD159*VLOOKUP('Données projet'!$B$11,Paramètres!$A$1:$I$89,3,0)*VLOOKUP('Données projet'!$B$11,Paramètres!$A$1:$I$89,5,0)</f>
        <v>0</v>
      </c>
      <c r="BF159" s="13" t="e">
        <f t="shared" si="167"/>
        <v>#NUM!</v>
      </c>
      <c r="BG159" s="20" t="e">
        <f t="shared" si="168"/>
        <v>#NUM!</v>
      </c>
      <c r="BH159" s="59" t="e">
        <f t="shared" si="116"/>
        <v>#NUM!</v>
      </c>
      <c r="BI159" s="59">
        <f ca="1">AVERAGE(OFFSET($BH$3,0,0,'Données projet'!$E$11+1,1))-AVERAGE(OFFSET($H$3,0,0,'Données projet'!$E$11+1,1))</f>
        <v>112.82287576550925</v>
      </c>
      <c r="BJ159" s="59">
        <f t="shared" si="146"/>
        <v>317.78570695363294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4.068430883075175</v>
      </c>
      <c r="BQ159" s="21">
        <f>EXP(-LN(2)/25)*BQ158+(1-EXP(-LN(2)/25))/(LN(2)/25)*Calculateur!BL159*Calculateur!BN159*VLOOKUP('Données projet'!$B$11,Paramètres!$A$1:$I$89,3,0)*0.475*44/12</f>
        <v>0.29567879620693571</v>
      </c>
      <c r="BR159" s="21">
        <f>EXP(-LN(2)/2)*BR158+(1-EXP(-LN(2)/2))/(LN(2)/2)*BL159*BO159*VLOOKUP('Données projet'!$B$11,Paramètres!$A$1:$I$89,3,0)*0.475*44/12</f>
        <v>6.210877209061639E-20</v>
      </c>
      <c r="BS159" s="22">
        <f t="shared" si="169"/>
        <v>4.3641096792821106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>
        <f>BY159*VLOOKUP('Données projet'!$B$12,Paramètres!$A$1:$I$89,3,0)*VLOOKUP('Données projet'!$B$12,Paramètres!$A$1:$I$89,5,0)</f>
        <v>0</v>
      </c>
      <c r="CA159" s="13" t="e">
        <f t="shared" si="170"/>
        <v>#NUM!</v>
      </c>
      <c r="CB159" s="20" t="e">
        <f t="shared" si="171"/>
        <v>#NUM!</v>
      </c>
      <c r="CC159" s="59" t="e">
        <f t="shared" si="119"/>
        <v>#NUM!</v>
      </c>
      <c r="CD159" s="59">
        <f ca="1">AVERAGE(OFFSET($CC$3,0,0,'Données projet'!$E$12+1,1))-AVERAGE(OFFSET($H$3,0,0,'Données projet'!$E$12+1,1))</f>
        <v>112.82287576550925</v>
      </c>
      <c r="CE159" s="59">
        <f t="shared" si="148"/>
        <v>317.78570695363294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>
        <f>EXP(-LN(2)/35)*CK158+(1-EXP(-LN(2)/35))/(LN(2)/35)*CG159*CH159*VLOOKUP('Données projet'!$B$12,Paramètres!$A$1:$I$89,3,0)*0.475*44/12</f>
        <v>4.068430883075175</v>
      </c>
      <c r="CL159" s="21">
        <f>EXP(-LN(2)/25)*CL158+(1-EXP(-LN(2)/25))/(LN(2)/25)*Calculateur!CG159*Calculateur!CI159*VLOOKUP('Données projet'!$B$12,Paramètres!$A$1:$I$89,3,0)*0.475*44/12</f>
        <v>0.29567879620693571</v>
      </c>
      <c r="CM159" s="21">
        <f>EXP(-LN(2)/2)*CM158+(1-EXP(-LN(2)/2))/(LN(2)/2)*CG159*CJ159*VLOOKUP('Données projet'!$B$12,Paramètres!$A$1:$I$89,3,0)*0.475*44/12</f>
        <v>6.210877209061639E-20</v>
      </c>
      <c r="CN159" s="22">
        <f t="shared" si="172"/>
        <v>4.3641096792821106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5">
      <c r="A160" s="10">
        <f t="shared" si="161"/>
        <v>157</v>
      </c>
      <c r="B160" s="73">
        <f>'Scénario référence'!$B$16*5+'Scénario référence'!$B$17*0+'Scénario référence'!$B$18*5</f>
        <v>5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1">
        <f t="shared" si="140"/>
        <v>0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0" s="11">
        <f>IF(OR('Scénario référence'!$F$8&gt;0,'Scénario référence'!$F$9&gt;0),('Scénario référence'!$F$8+'Scénario référence'!$F$9)*10,0)</f>
        <v>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18.333333333333332</v>
      </c>
      <c r="H160" s="67">
        <f t="shared" si="110"/>
        <v>183.33333333333334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0</v>
      </c>
      <c r="O160" s="13">
        <f>N160*VLOOKUP('Données projet'!$B$9,Paramètres!$A$1:$I$89,3,0)*VLOOKUP('Données projet'!$B$9,Paramètres!$A$1:$I$89,5,0)</f>
        <v>0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112.82287576550925</v>
      </c>
      <c r="T160" s="59">
        <f t="shared" si="142"/>
        <v>317.78570695363294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3.9886514349558819</v>
      </c>
      <c r="AA160" s="21">
        <f>EXP(-LN(2)/25)*AA159+(1-EXP(-LN(2)/25))/(LN(2)/25)*Calculateur!V160*Calculateur!X160*VLOOKUP('Données projet'!$B$9,Paramètres!$A$1:$I$89,3,0)*0.475*44/12</f>
        <v>0.28759344397558495</v>
      </c>
      <c r="AB160" s="21">
        <f>EXP(-LN(2)/2)*AB159+(1-EXP(-LN(2)/2))/(LN(2)/2)*V160*Y160*VLOOKUP('Données projet'!$B$9,Paramètres!$A$1:$I$89,3,0)*0.475*44/12</f>
        <v>4.3917533916444634E-20</v>
      </c>
      <c r="AC160" s="22">
        <f t="shared" si="163"/>
        <v>4.2762448789314664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0</v>
      </c>
      <c r="AJ160" s="13">
        <f>AI160*VLOOKUP('Données projet'!$B$10,Paramètres!$A$1:$I$89,3,0)*VLOOKUP('Données projet'!$B$10,Paramètres!$A$1:$I$89,5,0)</f>
        <v>0</v>
      </c>
      <c r="AK160" s="13" t="e">
        <f t="shared" si="164"/>
        <v>#NUM!</v>
      </c>
      <c r="AL160" s="20" t="e">
        <f t="shared" si="165"/>
        <v>#NUM!</v>
      </c>
      <c r="AM160" s="59" t="e">
        <f t="shared" si="113"/>
        <v>#NUM!</v>
      </c>
      <c r="AN160" s="59">
        <f ca="1">AVERAGE(OFFSET($AM$3,0,0,'Données projet'!$E$10+1,1))-AVERAGE(OFFSET($H$3,0,0,'Données projet'!$E$10+1,1))</f>
        <v>112.82287576550925</v>
      </c>
      <c r="AO160" s="59">
        <f t="shared" si="144"/>
        <v>317.78570695363294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3.9886514349558819</v>
      </c>
      <c r="AV160" s="21">
        <f>EXP(-LN(2)/25)*AV159+(1-EXP(-LN(2)/25))/(LN(2)/25)*Calculateur!AQ160*Calculateur!AS160*VLOOKUP('Données projet'!$B$10,Paramètres!$A$1:$I$89,3,0)*0.475*44/12</f>
        <v>0.28759344397558495</v>
      </c>
      <c r="AW160" s="21">
        <f>EXP(-LN(2)/2)*AW159+(1-EXP(-LN(2)/2))/(LN(2)/2)*AQ160*AT160*VLOOKUP('Données projet'!$B$10,Paramètres!$A$1:$I$89,3,0)*0.475*44/12</f>
        <v>4.3917533916444634E-20</v>
      </c>
      <c r="AX160" s="21">
        <f t="shared" si="166"/>
        <v>4.2762448789314664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0</v>
      </c>
      <c r="BE160" s="13">
        <f>BD160*VLOOKUP('Données projet'!$B$11,Paramètres!$A$1:$I$89,3,0)*VLOOKUP('Données projet'!$B$11,Paramètres!$A$1:$I$89,5,0)</f>
        <v>0</v>
      </c>
      <c r="BF160" s="13" t="e">
        <f t="shared" si="167"/>
        <v>#NUM!</v>
      </c>
      <c r="BG160" s="20" t="e">
        <f t="shared" si="168"/>
        <v>#NUM!</v>
      </c>
      <c r="BH160" s="59" t="e">
        <f t="shared" si="116"/>
        <v>#NUM!</v>
      </c>
      <c r="BI160" s="59">
        <f ca="1">AVERAGE(OFFSET($BH$3,0,0,'Données projet'!$E$11+1,1))-AVERAGE(OFFSET($H$3,0,0,'Données projet'!$E$11+1,1))</f>
        <v>112.82287576550925</v>
      </c>
      <c r="BJ160" s="59">
        <f t="shared" si="146"/>
        <v>317.78570695363294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3.9886514349558819</v>
      </c>
      <c r="BQ160" s="21">
        <f>EXP(-LN(2)/25)*BQ159+(1-EXP(-LN(2)/25))/(LN(2)/25)*Calculateur!BL160*Calculateur!BN160*VLOOKUP('Données projet'!$B$11,Paramètres!$A$1:$I$89,3,0)*0.475*44/12</f>
        <v>0.28759344397558495</v>
      </c>
      <c r="BR160" s="21">
        <f>EXP(-LN(2)/2)*BR159+(1-EXP(-LN(2)/2))/(LN(2)/2)*BL160*BO160*VLOOKUP('Données projet'!$B$11,Paramètres!$A$1:$I$89,3,0)*0.475*44/12</f>
        <v>4.3917533916444634E-20</v>
      </c>
      <c r="BS160" s="22">
        <f t="shared" si="169"/>
        <v>4.2762448789314664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>
        <f>BY160*VLOOKUP('Données projet'!$B$12,Paramètres!$A$1:$I$89,3,0)*VLOOKUP('Données projet'!$B$12,Paramètres!$A$1:$I$89,5,0)</f>
        <v>0</v>
      </c>
      <c r="CA160" s="13" t="e">
        <f t="shared" si="170"/>
        <v>#NUM!</v>
      </c>
      <c r="CB160" s="20" t="e">
        <f t="shared" si="171"/>
        <v>#NUM!</v>
      </c>
      <c r="CC160" s="59" t="e">
        <f t="shared" si="119"/>
        <v>#NUM!</v>
      </c>
      <c r="CD160" s="59">
        <f ca="1">AVERAGE(OFFSET($CC$3,0,0,'Données projet'!$E$12+1,1))-AVERAGE(OFFSET($H$3,0,0,'Données projet'!$E$12+1,1))</f>
        <v>112.82287576550925</v>
      </c>
      <c r="CE160" s="59">
        <f t="shared" si="148"/>
        <v>317.78570695363294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>
        <f>EXP(-LN(2)/35)*CK159+(1-EXP(-LN(2)/35))/(LN(2)/35)*CG160*CH160*VLOOKUP('Données projet'!$B$12,Paramètres!$A$1:$I$89,3,0)*0.475*44/12</f>
        <v>3.9886514349558819</v>
      </c>
      <c r="CL160" s="21">
        <f>EXP(-LN(2)/25)*CL159+(1-EXP(-LN(2)/25))/(LN(2)/25)*Calculateur!CG160*Calculateur!CI160*VLOOKUP('Données projet'!$B$12,Paramètres!$A$1:$I$89,3,0)*0.475*44/12</f>
        <v>0.28759344397558495</v>
      </c>
      <c r="CM160" s="21">
        <f>EXP(-LN(2)/2)*CM159+(1-EXP(-LN(2)/2))/(LN(2)/2)*CG160*CJ160*VLOOKUP('Données projet'!$B$12,Paramètres!$A$1:$I$89,3,0)*0.475*44/12</f>
        <v>4.3917533916444634E-20</v>
      </c>
      <c r="CN160" s="22">
        <f t="shared" si="172"/>
        <v>4.2762448789314664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5">
      <c r="A161" s="10">
        <f t="shared" si="161"/>
        <v>158</v>
      </c>
      <c r="B161" s="73">
        <f>'Scénario référence'!$B$16*5+'Scénario référence'!$B$17*0+'Scénario référence'!$B$18*5</f>
        <v>5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1">
        <f t="shared" si="140"/>
        <v>0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1" s="11">
        <f>IF(OR('Scénario référence'!$F$8&gt;0,'Scénario référence'!$F$9&gt;0),('Scénario référence'!$F$8+'Scénario référence'!$F$9)*10,0)</f>
        <v>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18.333333333333332</v>
      </c>
      <c r="H161" s="67">
        <f t="shared" si="110"/>
        <v>183.33333333333334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0</v>
      </c>
      <c r="O161" s="13">
        <f>N161*VLOOKUP('Données projet'!$B$9,Paramètres!$A$1:$I$89,3,0)*VLOOKUP('Données projet'!$B$9,Paramètres!$A$1:$I$89,5,0)</f>
        <v>0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112.82287576550925</v>
      </c>
      <c r="T161" s="59">
        <f t="shared" si="142"/>
        <v>317.78570695363294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3.9104364131535498</v>
      </c>
      <c r="AA161" s="21">
        <f>EXP(-LN(2)/25)*AA160+(1-EXP(-LN(2)/25))/(LN(2)/25)*Calculateur!V161*Calculateur!X161*VLOOKUP('Données projet'!$B$9,Paramètres!$A$1:$I$89,3,0)*0.475*44/12</f>
        <v>0.27972918612619069</v>
      </c>
      <c r="AB161" s="21">
        <f>EXP(-LN(2)/2)*AB160+(1-EXP(-LN(2)/2))/(LN(2)/2)*V161*Y161*VLOOKUP('Données projet'!$B$9,Paramètres!$A$1:$I$89,3,0)*0.475*44/12</f>
        <v>3.1054386045308195E-20</v>
      </c>
      <c r="AC161" s="22">
        <f t="shared" si="163"/>
        <v>4.1901655992797409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0</v>
      </c>
      <c r="AJ161" s="13">
        <f>AI161*VLOOKUP('Données projet'!$B$10,Paramètres!$A$1:$I$89,3,0)*VLOOKUP('Données projet'!$B$10,Paramètres!$A$1:$I$89,5,0)</f>
        <v>0</v>
      </c>
      <c r="AK161" s="13" t="e">
        <f t="shared" si="164"/>
        <v>#NUM!</v>
      </c>
      <c r="AL161" s="20" t="e">
        <f t="shared" si="165"/>
        <v>#NUM!</v>
      </c>
      <c r="AM161" s="59" t="e">
        <f t="shared" si="113"/>
        <v>#NUM!</v>
      </c>
      <c r="AN161" s="59">
        <f ca="1">AVERAGE(OFFSET($AM$3,0,0,'Données projet'!$E$10+1,1))-AVERAGE(OFFSET($H$3,0,0,'Données projet'!$E$10+1,1))</f>
        <v>112.82287576550925</v>
      </c>
      <c r="AO161" s="59">
        <f t="shared" si="144"/>
        <v>317.78570695363294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3.9104364131535498</v>
      </c>
      <c r="AV161" s="21">
        <f>EXP(-LN(2)/25)*AV160+(1-EXP(-LN(2)/25))/(LN(2)/25)*Calculateur!AQ161*Calculateur!AS161*VLOOKUP('Données projet'!$B$10,Paramètres!$A$1:$I$89,3,0)*0.475*44/12</f>
        <v>0.27972918612619069</v>
      </c>
      <c r="AW161" s="21">
        <f>EXP(-LN(2)/2)*AW160+(1-EXP(-LN(2)/2))/(LN(2)/2)*AQ161*AT161*VLOOKUP('Données projet'!$B$10,Paramètres!$A$1:$I$89,3,0)*0.475*44/12</f>
        <v>3.1054386045308195E-20</v>
      </c>
      <c r="AX161" s="21">
        <f t="shared" si="166"/>
        <v>4.1901655992797409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0</v>
      </c>
      <c r="BE161" s="13">
        <f>BD161*VLOOKUP('Données projet'!$B$11,Paramètres!$A$1:$I$89,3,0)*VLOOKUP('Données projet'!$B$11,Paramètres!$A$1:$I$89,5,0)</f>
        <v>0</v>
      </c>
      <c r="BF161" s="13" t="e">
        <f t="shared" si="167"/>
        <v>#NUM!</v>
      </c>
      <c r="BG161" s="20" t="e">
        <f t="shared" si="168"/>
        <v>#NUM!</v>
      </c>
      <c r="BH161" s="59" t="e">
        <f t="shared" si="116"/>
        <v>#NUM!</v>
      </c>
      <c r="BI161" s="59">
        <f ca="1">AVERAGE(OFFSET($BH$3,0,0,'Données projet'!$E$11+1,1))-AVERAGE(OFFSET($H$3,0,0,'Données projet'!$E$11+1,1))</f>
        <v>112.82287576550925</v>
      </c>
      <c r="BJ161" s="59">
        <f t="shared" si="146"/>
        <v>317.78570695363294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3.9104364131535498</v>
      </c>
      <c r="BQ161" s="21">
        <f>EXP(-LN(2)/25)*BQ160+(1-EXP(-LN(2)/25))/(LN(2)/25)*Calculateur!BL161*Calculateur!BN161*VLOOKUP('Données projet'!$B$11,Paramètres!$A$1:$I$89,3,0)*0.475*44/12</f>
        <v>0.27972918612619069</v>
      </c>
      <c r="BR161" s="21">
        <f>EXP(-LN(2)/2)*BR160+(1-EXP(-LN(2)/2))/(LN(2)/2)*BL161*BO161*VLOOKUP('Données projet'!$B$11,Paramètres!$A$1:$I$89,3,0)*0.475*44/12</f>
        <v>3.1054386045308195E-20</v>
      </c>
      <c r="BS161" s="22">
        <f t="shared" si="169"/>
        <v>4.1901655992797409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>
        <f>BY161*VLOOKUP('Données projet'!$B$12,Paramètres!$A$1:$I$89,3,0)*VLOOKUP('Données projet'!$B$12,Paramètres!$A$1:$I$89,5,0)</f>
        <v>0</v>
      </c>
      <c r="CA161" s="13" t="e">
        <f t="shared" si="170"/>
        <v>#NUM!</v>
      </c>
      <c r="CB161" s="20" t="e">
        <f t="shared" si="171"/>
        <v>#NUM!</v>
      </c>
      <c r="CC161" s="59" t="e">
        <f t="shared" si="119"/>
        <v>#NUM!</v>
      </c>
      <c r="CD161" s="59">
        <f ca="1">AVERAGE(OFFSET($CC$3,0,0,'Données projet'!$E$12+1,1))-AVERAGE(OFFSET($H$3,0,0,'Données projet'!$E$12+1,1))</f>
        <v>112.82287576550925</v>
      </c>
      <c r="CE161" s="59">
        <f t="shared" si="148"/>
        <v>317.78570695363294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>
        <f>EXP(-LN(2)/35)*CK160+(1-EXP(-LN(2)/35))/(LN(2)/35)*CG161*CH161*VLOOKUP('Données projet'!$B$12,Paramètres!$A$1:$I$89,3,0)*0.475*44/12</f>
        <v>3.9104364131535498</v>
      </c>
      <c r="CL161" s="21">
        <f>EXP(-LN(2)/25)*CL160+(1-EXP(-LN(2)/25))/(LN(2)/25)*Calculateur!CG161*Calculateur!CI161*VLOOKUP('Données projet'!$B$12,Paramètres!$A$1:$I$89,3,0)*0.475*44/12</f>
        <v>0.27972918612619069</v>
      </c>
      <c r="CM161" s="21">
        <f>EXP(-LN(2)/2)*CM160+(1-EXP(-LN(2)/2))/(LN(2)/2)*CG161*CJ161*VLOOKUP('Données projet'!$B$12,Paramètres!$A$1:$I$89,3,0)*0.475*44/12</f>
        <v>3.1054386045308195E-20</v>
      </c>
      <c r="CN161" s="22">
        <f t="shared" si="172"/>
        <v>4.1901655992797409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5">
      <c r="A162" s="10">
        <f t="shared" si="161"/>
        <v>159</v>
      </c>
      <c r="B162" s="73">
        <f>'Scénario référence'!$B$16*5+'Scénario référence'!$B$17*0+'Scénario référence'!$B$18*5</f>
        <v>5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1">
        <f t="shared" si="140"/>
        <v>0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2" s="11">
        <f>IF(OR('Scénario référence'!$F$8&gt;0,'Scénario référence'!$F$9&gt;0),('Scénario référence'!$F$8+'Scénario référence'!$F$9)*10,0)</f>
        <v>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18.333333333333332</v>
      </c>
      <c r="H162" s="67">
        <f t="shared" si="110"/>
        <v>183.33333333333334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0</v>
      </c>
      <c r="O162" s="13">
        <f>N162*VLOOKUP('Données projet'!$B$9,Paramètres!$A$1:$I$89,3,0)*VLOOKUP('Données projet'!$B$9,Paramètres!$A$1:$I$89,5,0)</f>
        <v>0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112.82287576550925</v>
      </c>
      <c r="T162" s="59">
        <f t="shared" si="142"/>
        <v>317.78570695363294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3.8337551402223085</v>
      </c>
      <c r="AA162" s="21">
        <f>EXP(-LN(2)/25)*AA161+(1-EXP(-LN(2)/25))/(LN(2)/25)*Calculateur!V162*Calculateur!X162*VLOOKUP('Données projet'!$B$9,Paramètres!$A$1:$I$89,3,0)*0.475*44/12</f>
        <v>0.27207997682125146</v>
      </c>
      <c r="AB162" s="21">
        <f>EXP(-LN(2)/2)*AB161+(1-EXP(-LN(2)/2))/(LN(2)/2)*V162*Y162*VLOOKUP('Données projet'!$B$9,Paramètres!$A$1:$I$89,3,0)*0.475*44/12</f>
        <v>2.1958766958222317E-20</v>
      </c>
      <c r="AC162" s="22">
        <f t="shared" si="163"/>
        <v>4.1058351170435596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0</v>
      </c>
      <c r="AJ162" s="13">
        <f>AI162*VLOOKUP('Données projet'!$B$10,Paramètres!$A$1:$I$89,3,0)*VLOOKUP('Données projet'!$B$10,Paramètres!$A$1:$I$89,5,0)</f>
        <v>0</v>
      </c>
      <c r="AK162" s="13" t="e">
        <f t="shared" si="164"/>
        <v>#NUM!</v>
      </c>
      <c r="AL162" s="20" t="e">
        <f t="shared" si="165"/>
        <v>#NUM!</v>
      </c>
      <c r="AM162" s="59" t="e">
        <f t="shared" si="113"/>
        <v>#NUM!</v>
      </c>
      <c r="AN162" s="59">
        <f ca="1">AVERAGE(OFFSET($AM$3,0,0,'Données projet'!$E$10+1,1))-AVERAGE(OFFSET($H$3,0,0,'Données projet'!$E$10+1,1))</f>
        <v>112.82287576550925</v>
      </c>
      <c r="AO162" s="59">
        <f t="shared" si="144"/>
        <v>317.78570695363294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3.8337551402223085</v>
      </c>
      <c r="AV162" s="21">
        <f>EXP(-LN(2)/25)*AV161+(1-EXP(-LN(2)/25))/(LN(2)/25)*Calculateur!AQ162*Calculateur!AS162*VLOOKUP('Données projet'!$B$10,Paramètres!$A$1:$I$89,3,0)*0.475*44/12</f>
        <v>0.27207997682125146</v>
      </c>
      <c r="AW162" s="21">
        <f>EXP(-LN(2)/2)*AW161+(1-EXP(-LN(2)/2))/(LN(2)/2)*AQ162*AT162*VLOOKUP('Données projet'!$B$10,Paramètres!$A$1:$I$89,3,0)*0.475*44/12</f>
        <v>2.1958766958222317E-20</v>
      </c>
      <c r="AX162" s="21">
        <f t="shared" si="166"/>
        <v>4.1058351170435596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0</v>
      </c>
      <c r="BE162" s="13">
        <f>BD162*VLOOKUP('Données projet'!$B$11,Paramètres!$A$1:$I$89,3,0)*VLOOKUP('Données projet'!$B$11,Paramètres!$A$1:$I$89,5,0)</f>
        <v>0</v>
      </c>
      <c r="BF162" s="13" t="e">
        <f t="shared" si="167"/>
        <v>#NUM!</v>
      </c>
      <c r="BG162" s="20" t="e">
        <f t="shared" si="168"/>
        <v>#NUM!</v>
      </c>
      <c r="BH162" s="59" t="e">
        <f t="shared" si="116"/>
        <v>#NUM!</v>
      </c>
      <c r="BI162" s="59">
        <f ca="1">AVERAGE(OFFSET($BH$3,0,0,'Données projet'!$E$11+1,1))-AVERAGE(OFFSET($H$3,0,0,'Données projet'!$E$11+1,1))</f>
        <v>112.82287576550925</v>
      </c>
      <c r="BJ162" s="59">
        <f t="shared" si="146"/>
        <v>317.78570695363294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3.8337551402223085</v>
      </c>
      <c r="BQ162" s="21">
        <f>EXP(-LN(2)/25)*BQ161+(1-EXP(-LN(2)/25))/(LN(2)/25)*Calculateur!BL162*Calculateur!BN162*VLOOKUP('Données projet'!$B$11,Paramètres!$A$1:$I$89,3,0)*0.475*44/12</f>
        <v>0.27207997682125146</v>
      </c>
      <c r="BR162" s="21">
        <f>EXP(-LN(2)/2)*BR161+(1-EXP(-LN(2)/2))/(LN(2)/2)*BL162*BO162*VLOOKUP('Données projet'!$B$11,Paramètres!$A$1:$I$89,3,0)*0.475*44/12</f>
        <v>2.1958766958222317E-20</v>
      </c>
      <c r="BS162" s="22">
        <f t="shared" si="169"/>
        <v>4.1058351170435596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>
        <f>BY162*VLOOKUP('Données projet'!$B$12,Paramètres!$A$1:$I$89,3,0)*VLOOKUP('Données projet'!$B$12,Paramètres!$A$1:$I$89,5,0)</f>
        <v>0</v>
      </c>
      <c r="CA162" s="13" t="e">
        <f t="shared" si="170"/>
        <v>#NUM!</v>
      </c>
      <c r="CB162" s="20" t="e">
        <f t="shared" si="171"/>
        <v>#NUM!</v>
      </c>
      <c r="CC162" s="59" t="e">
        <f t="shared" si="119"/>
        <v>#NUM!</v>
      </c>
      <c r="CD162" s="59">
        <f ca="1">AVERAGE(OFFSET($CC$3,0,0,'Données projet'!$E$12+1,1))-AVERAGE(OFFSET($H$3,0,0,'Données projet'!$E$12+1,1))</f>
        <v>112.82287576550925</v>
      </c>
      <c r="CE162" s="59">
        <f t="shared" si="148"/>
        <v>317.78570695363294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>
        <f>EXP(-LN(2)/35)*CK161+(1-EXP(-LN(2)/35))/(LN(2)/35)*CG162*CH162*VLOOKUP('Données projet'!$B$12,Paramètres!$A$1:$I$89,3,0)*0.475*44/12</f>
        <v>3.8337551402223085</v>
      </c>
      <c r="CL162" s="21">
        <f>EXP(-LN(2)/25)*CL161+(1-EXP(-LN(2)/25))/(LN(2)/25)*Calculateur!CG162*Calculateur!CI162*VLOOKUP('Données projet'!$B$12,Paramètres!$A$1:$I$89,3,0)*0.475*44/12</f>
        <v>0.27207997682125146</v>
      </c>
      <c r="CM162" s="21">
        <f>EXP(-LN(2)/2)*CM161+(1-EXP(-LN(2)/2))/(LN(2)/2)*CG162*CJ162*VLOOKUP('Données projet'!$B$12,Paramètres!$A$1:$I$89,3,0)*0.475*44/12</f>
        <v>2.1958766958222317E-20</v>
      </c>
      <c r="CN162" s="22">
        <f t="shared" si="172"/>
        <v>4.1058351170435596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5">
      <c r="A163" s="10">
        <f t="shared" si="161"/>
        <v>160</v>
      </c>
      <c r="B163" s="73">
        <f>'Scénario référence'!$B$16*5+'Scénario référence'!$B$17*0+'Scénario référence'!$B$18*5</f>
        <v>5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1">
        <f t="shared" si="140"/>
        <v>0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3" s="11">
        <f>IF(OR('Scénario référence'!$F$8&gt;0,'Scénario référence'!$F$9&gt;0),('Scénario référence'!$F$8+'Scénario référence'!$F$9)*10,0)</f>
        <v>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18.333333333333332</v>
      </c>
      <c r="H163" s="67">
        <f t="shared" si="110"/>
        <v>183.33333333333334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0</v>
      </c>
      <c r="O163" s="13">
        <f>N163*VLOOKUP('Données projet'!$B$9,Paramètres!$A$1:$I$89,3,0)*VLOOKUP('Données projet'!$B$9,Paramètres!$A$1:$I$89,5,0)</f>
        <v>0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112.82287576550925</v>
      </c>
      <c r="T163" s="59">
        <f t="shared" si="142"/>
        <v>317.78570695363294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3.7585775402822907</v>
      </c>
      <c r="AA163" s="21">
        <f>EXP(-LN(2)/25)*AA162+(1-EXP(-LN(2)/25))/(LN(2)/25)*Calculateur!V163*Calculateur!X163*VLOOKUP('Données projet'!$B$9,Paramètres!$A$1:$I$89,3,0)*0.475*44/12</f>
        <v>0.26463993554701021</v>
      </c>
      <c r="AB163" s="21">
        <f>EXP(-LN(2)/2)*AB162+(1-EXP(-LN(2)/2))/(LN(2)/2)*V163*Y163*VLOOKUP('Données projet'!$B$9,Paramètres!$A$1:$I$89,3,0)*0.475*44/12</f>
        <v>1.5527193022654098E-20</v>
      </c>
      <c r="AC163" s="22">
        <f t="shared" si="163"/>
        <v>4.0232174758293011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0</v>
      </c>
      <c r="AJ163" s="13">
        <f>AI163*VLOOKUP('Données projet'!$B$10,Paramètres!$A$1:$I$89,3,0)*VLOOKUP('Données projet'!$B$10,Paramètres!$A$1:$I$89,5,0)</f>
        <v>0</v>
      </c>
      <c r="AK163" s="13" t="e">
        <f t="shared" si="164"/>
        <v>#NUM!</v>
      </c>
      <c r="AL163" s="20" t="e">
        <f t="shared" si="165"/>
        <v>#NUM!</v>
      </c>
      <c r="AM163" s="59" t="e">
        <f t="shared" si="113"/>
        <v>#NUM!</v>
      </c>
      <c r="AN163" s="59">
        <f ca="1">AVERAGE(OFFSET($AM$3,0,0,'Données projet'!$E$10+1,1))-AVERAGE(OFFSET($H$3,0,0,'Données projet'!$E$10+1,1))</f>
        <v>112.82287576550925</v>
      </c>
      <c r="AO163" s="59">
        <f t="shared" si="144"/>
        <v>317.78570695363294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3.7585775402822907</v>
      </c>
      <c r="AV163" s="21">
        <f>EXP(-LN(2)/25)*AV162+(1-EXP(-LN(2)/25))/(LN(2)/25)*Calculateur!AQ163*Calculateur!AS163*VLOOKUP('Données projet'!$B$10,Paramètres!$A$1:$I$89,3,0)*0.475*44/12</f>
        <v>0.26463993554701021</v>
      </c>
      <c r="AW163" s="21">
        <f>EXP(-LN(2)/2)*AW162+(1-EXP(-LN(2)/2))/(LN(2)/2)*AQ163*AT163*VLOOKUP('Données projet'!$B$10,Paramètres!$A$1:$I$89,3,0)*0.475*44/12</f>
        <v>1.5527193022654098E-20</v>
      </c>
      <c r="AX163" s="21">
        <f t="shared" si="166"/>
        <v>4.0232174758293011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0</v>
      </c>
      <c r="BE163" s="13">
        <f>BD163*VLOOKUP('Données projet'!$B$11,Paramètres!$A$1:$I$89,3,0)*VLOOKUP('Données projet'!$B$11,Paramètres!$A$1:$I$89,5,0)</f>
        <v>0</v>
      </c>
      <c r="BF163" s="13" t="e">
        <f t="shared" si="167"/>
        <v>#NUM!</v>
      </c>
      <c r="BG163" s="20" t="e">
        <f t="shared" si="168"/>
        <v>#NUM!</v>
      </c>
      <c r="BH163" s="59" t="e">
        <f t="shared" si="116"/>
        <v>#NUM!</v>
      </c>
      <c r="BI163" s="59">
        <f ca="1">AVERAGE(OFFSET($BH$3,0,0,'Données projet'!$E$11+1,1))-AVERAGE(OFFSET($H$3,0,0,'Données projet'!$E$11+1,1))</f>
        <v>112.82287576550925</v>
      </c>
      <c r="BJ163" s="59">
        <f t="shared" si="146"/>
        <v>317.78570695363294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3.7585775402822907</v>
      </c>
      <c r="BQ163" s="21">
        <f>EXP(-LN(2)/25)*BQ162+(1-EXP(-LN(2)/25))/(LN(2)/25)*Calculateur!BL163*Calculateur!BN163*VLOOKUP('Données projet'!$B$11,Paramètres!$A$1:$I$89,3,0)*0.475*44/12</f>
        <v>0.26463993554701021</v>
      </c>
      <c r="BR163" s="21">
        <f>EXP(-LN(2)/2)*BR162+(1-EXP(-LN(2)/2))/(LN(2)/2)*BL163*BO163*VLOOKUP('Données projet'!$B$11,Paramètres!$A$1:$I$89,3,0)*0.475*44/12</f>
        <v>1.5527193022654098E-20</v>
      </c>
      <c r="BS163" s="22">
        <f t="shared" si="169"/>
        <v>4.0232174758293011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>
        <f>BY163*VLOOKUP('Données projet'!$B$12,Paramètres!$A$1:$I$89,3,0)*VLOOKUP('Données projet'!$B$12,Paramètres!$A$1:$I$89,5,0)</f>
        <v>0</v>
      </c>
      <c r="CA163" s="13" t="e">
        <f t="shared" si="170"/>
        <v>#NUM!</v>
      </c>
      <c r="CB163" s="20" t="e">
        <f t="shared" si="171"/>
        <v>#NUM!</v>
      </c>
      <c r="CC163" s="59" t="e">
        <f t="shared" si="119"/>
        <v>#NUM!</v>
      </c>
      <c r="CD163" s="59">
        <f ca="1">AVERAGE(OFFSET($CC$3,0,0,'Données projet'!$E$12+1,1))-AVERAGE(OFFSET($H$3,0,0,'Données projet'!$E$12+1,1))</f>
        <v>112.82287576550925</v>
      </c>
      <c r="CE163" s="59">
        <f t="shared" si="148"/>
        <v>317.78570695363294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>
        <f>EXP(-LN(2)/35)*CK162+(1-EXP(-LN(2)/35))/(LN(2)/35)*CG163*CH163*VLOOKUP('Données projet'!$B$12,Paramètres!$A$1:$I$89,3,0)*0.475*44/12</f>
        <v>3.7585775402822907</v>
      </c>
      <c r="CL163" s="21">
        <f>EXP(-LN(2)/25)*CL162+(1-EXP(-LN(2)/25))/(LN(2)/25)*Calculateur!CG163*Calculateur!CI163*VLOOKUP('Données projet'!$B$12,Paramètres!$A$1:$I$89,3,0)*0.475*44/12</f>
        <v>0.26463993554701021</v>
      </c>
      <c r="CM163" s="21">
        <f>EXP(-LN(2)/2)*CM162+(1-EXP(-LN(2)/2))/(LN(2)/2)*CG163*CJ163*VLOOKUP('Données projet'!$B$12,Paramètres!$A$1:$I$89,3,0)*0.475*44/12</f>
        <v>1.5527193022654098E-20</v>
      </c>
      <c r="CN163" s="22">
        <f t="shared" si="172"/>
        <v>4.0232174758293011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5">
      <c r="A164" s="10">
        <f t="shared" si="161"/>
        <v>161</v>
      </c>
      <c r="B164" s="73">
        <f>'Scénario référence'!$B$16*5+'Scénario référence'!$B$17*0+'Scénario référence'!$B$18*5</f>
        <v>5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1">
        <f t="shared" si="140"/>
        <v>0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4" s="11">
        <f>IF(OR('Scénario référence'!$F$8&gt;0,'Scénario référence'!$F$9&gt;0),('Scénario référence'!$F$8+'Scénario référence'!$F$9)*10,0)</f>
        <v>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18.333333333333332</v>
      </c>
      <c r="H164" s="67">
        <f t="shared" si="110"/>
        <v>183.33333333333334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0</v>
      </c>
      <c r="O164" s="13">
        <f>N164*VLOOKUP('Données projet'!$B$9,Paramètres!$A$1:$I$89,3,0)*VLOOKUP('Données projet'!$B$9,Paramètres!$A$1:$I$89,5,0)</f>
        <v>0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112.82287576550925</v>
      </c>
      <c r="T164" s="59">
        <f t="shared" si="142"/>
        <v>317.78570695363294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3.6848741272232886</v>
      </c>
      <c r="AA164" s="21">
        <f>EXP(-LN(2)/25)*AA163+(1-EXP(-LN(2)/25))/(LN(2)/25)*Calculateur!V164*Calculateur!X164*VLOOKUP('Données projet'!$B$9,Paramètres!$A$1:$I$89,3,0)*0.475*44/12</f>
        <v>0.25740334259266784</v>
      </c>
      <c r="AB164" s="21">
        <f>EXP(-LN(2)/2)*AB163+(1-EXP(-LN(2)/2))/(LN(2)/2)*V164*Y164*VLOOKUP('Données projet'!$B$9,Paramètres!$A$1:$I$89,3,0)*0.475*44/12</f>
        <v>1.0979383479111159E-20</v>
      </c>
      <c r="AC164" s="22">
        <f t="shared" si="163"/>
        <v>3.9422774698159566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0</v>
      </c>
      <c r="AJ164" s="13">
        <f>AI164*VLOOKUP('Données projet'!$B$10,Paramètres!$A$1:$I$89,3,0)*VLOOKUP('Données projet'!$B$10,Paramètres!$A$1:$I$89,5,0)</f>
        <v>0</v>
      </c>
      <c r="AK164" s="13" t="e">
        <f t="shared" si="164"/>
        <v>#NUM!</v>
      </c>
      <c r="AL164" s="20" t="e">
        <f t="shared" si="165"/>
        <v>#NUM!</v>
      </c>
      <c r="AM164" s="59" t="e">
        <f t="shared" si="113"/>
        <v>#NUM!</v>
      </c>
      <c r="AN164" s="59">
        <f ca="1">AVERAGE(OFFSET($AM$3,0,0,'Données projet'!$E$10+1,1))-AVERAGE(OFFSET($H$3,0,0,'Données projet'!$E$10+1,1))</f>
        <v>112.82287576550925</v>
      </c>
      <c r="AO164" s="59">
        <f t="shared" si="144"/>
        <v>317.78570695363294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3.6848741272232886</v>
      </c>
      <c r="AV164" s="21">
        <f>EXP(-LN(2)/25)*AV163+(1-EXP(-LN(2)/25))/(LN(2)/25)*Calculateur!AQ164*Calculateur!AS164*VLOOKUP('Données projet'!$B$10,Paramètres!$A$1:$I$89,3,0)*0.475*44/12</f>
        <v>0.25740334259266784</v>
      </c>
      <c r="AW164" s="21">
        <f>EXP(-LN(2)/2)*AW163+(1-EXP(-LN(2)/2))/(LN(2)/2)*AQ164*AT164*VLOOKUP('Données projet'!$B$10,Paramètres!$A$1:$I$89,3,0)*0.475*44/12</f>
        <v>1.0979383479111159E-20</v>
      </c>
      <c r="AX164" s="21">
        <f t="shared" si="166"/>
        <v>3.9422774698159566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0</v>
      </c>
      <c r="BE164" s="13">
        <f>BD164*VLOOKUP('Données projet'!$B$11,Paramètres!$A$1:$I$89,3,0)*VLOOKUP('Données projet'!$B$11,Paramètres!$A$1:$I$89,5,0)</f>
        <v>0</v>
      </c>
      <c r="BF164" s="13" t="e">
        <f t="shared" si="167"/>
        <v>#NUM!</v>
      </c>
      <c r="BG164" s="20" t="e">
        <f t="shared" si="168"/>
        <v>#NUM!</v>
      </c>
      <c r="BH164" s="59" t="e">
        <f t="shared" si="116"/>
        <v>#NUM!</v>
      </c>
      <c r="BI164" s="59">
        <f ca="1">AVERAGE(OFFSET($BH$3,0,0,'Données projet'!$E$11+1,1))-AVERAGE(OFFSET($H$3,0,0,'Données projet'!$E$11+1,1))</f>
        <v>112.82287576550925</v>
      </c>
      <c r="BJ164" s="59">
        <f t="shared" si="146"/>
        <v>317.78570695363294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3.6848741272232886</v>
      </c>
      <c r="BQ164" s="21">
        <f>EXP(-LN(2)/25)*BQ163+(1-EXP(-LN(2)/25))/(LN(2)/25)*Calculateur!BL164*Calculateur!BN164*VLOOKUP('Données projet'!$B$11,Paramètres!$A$1:$I$89,3,0)*0.475*44/12</f>
        <v>0.25740334259266784</v>
      </c>
      <c r="BR164" s="21">
        <f>EXP(-LN(2)/2)*BR163+(1-EXP(-LN(2)/2))/(LN(2)/2)*BL164*BO164*VLOOKUP('Données projet'!$B$11,Paramètres!$A$1:$I$89,3,0)*0.475*44/12</f>
        <v>1.0979383479111159E-20</v>
      </c>
      <c r="BS164" s="22">
        <f t="shared" si="169"/>
        <v>3.9422774698159566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>
        <f>BY164*VLOOKUP('Données projet'!$B$12,Paramètres!$A$1:$I$89,3,0)*VLOOKUP('Données projet'!$B$12,Paramètres!$A$1:$I$89,5,0)</f>
        <v>0</v>
      </c>
      <c r="CA164" s="13" t="e">
        <f t="shared" si="170"/>
        <v>#NUM!</v>
      </c>
      <c r="CB164" s="20" t="e">
        <f t="shared" si="171"/>
        <v>#NUM!</v>
      </c>
      <c r="CC164" s="59" t="e">
        <f t="shared" si="119"/>
        <v>#NUM!</v>
      </c>
      <c r="CD164" s="59">
        <f ca="1">AVERAGE(OFFSET($CC$3,0,0,'Données projet'!$E$12+1,1))-AVERAGE(OFFSET($H$3,0,0,'Données projet'!$E$12+1,1))</f>
        <v>112.82287576550925</v>
      </c>
      <c r="CE164" s="59">
        <f t="shared" si="148"/>
        <v>317.78570695363294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>
        <f>EXP(-LN(2)/35)*CK163+(1-EXP(-LN(2)/35))/(LN(2)/35)*CG164*CH164*VLOOKUP('Données projet'!$B$12,Paramètres!$A$1:$I$89,3,0)*0.475*44/12</f>
        <v>3.6848741272232886</v>
      </c>
      <c r="CL164" s="21">
        <f>EXP(-LN(2)/25)*CL163+(1-EXP(-LN(2)/25))/(LN(2)/25)*Calculateur!CG164*Calculateur!CI164*VLOOKUP('Données projet'!$B$12,Paramètres!$A$1:$I$89,3,0)*0.475*44/12</f>
        <v>0.25740334259266784</v>
      </c>
      <c r="CM164" s="21">
        <f>EXP(-LN(2)/2)*CM163+(1-EXP(-LN(2)/2))/(LN(2)/2)*CG164*CJ164*VLOOKUP('Données projet'!$B$12,Paramètres!$A$1:$I$89,3,0)*0.475*44/12</f>
        <v>1.0979383479111159E-20</v>
      </c>
      <c r="CN164" s="22">
        <f t="shared" si="172"/>
        <v>3.9422774698159566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5">
      <c r="A165" s="10">
        <f t="shared" si="161"/>
        <v>162</v>
      </c>
      <c r="B165" s="73">
        <f>'Scénario référence'!$B$16*5+'Scénario référence'!$B$17*0+'Scénario référence'!$B$18*5</f>
        <v>5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1">
        <f t="shared" si="140"/>
        <v>0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5" s="11">
        <f>IF(OR('Scénario référence'!$F$8&gt;0,'Scénario référence'!$F$9&gt;0),('Scénario référence'!$F$8+'Scénario référence'!$F$9)*10,0)</f>
        <v>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18.333333333333332</v>
      </c>
      <c r="H165" s="67">
        <f t="shared" si="110"/>
        <v>183.33333333333334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0</v>
      </c>
      <c r="O165" s="13">
        <f>N165*VLOOKUP('Données projet'!$B$9,Paramètres!$A$1:$I$89,3,0)*VLOOKUP('Données projet'!$B$9,Paramètres!$A$1:$I$89,5,0)</f>
        <v>0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112.82287576550925</v>
      </c>
      <c r="T165" s="59">
        <f t="shared" si="142"/>
        <v>317.78570695363294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3.6126159931397304</v>
      </c>
      <c r="AA165" s="21">
        <f>EXP(-LN(2)/25)*AA164+(1-EXP(-LN(2)/25))/(LN(2)/25)*Calculateur!V165*Calculateur!X165*VLOOKUP('Données projet'!$B$9,Paramètres!$A$1:$I$89,3,0)*0.475*44/12</f>
        <v>0.25036463465321784</v>
      </c>
      <c r="AB165" s="21">
        <f>EXP(-LN(2)/2)*AB164+(1-EXP(-LN(2)/2))/(LN(2)/2)*V165*Y165*VLOOKUP('Données projet'!$B$9,Paramètres!$A$1:$I$89,3,0)*0.475*44/12</f>
        <v>7.7635965113270488E-21</v>
      </c>
      <c r="AC165" s="22">
        <f t="shared" si="163"/>
        <v>3.8629806277929482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0</v>
      </c>
      <c r="AJ165" s="13">
        <f>AI165*VLOOKUP('Données projet'!$B$10,Paramètres!$A$1:$I$89,3,0)*VLOOKUP('Données projet'!$B$10,Paramètres!$A$1:$I$89,5,0)</f>
        <v>0</v>
      </c>
      <c r="AK165" s="13" t="e">
        <f t="shared" si="164"/>
        <v>#NUM!</v>
      </c>
      <c r="AL165" s="20" t="e">
        <f t="shared" si="165"/>
        <v>#NUM!</v>
      </c>
      <c r="AM165" s="59" t="e">
        <f t="shared" si="113"/>
        <v>#NUM!</v>
      </c>
      <c r="AN165" s="59">
        <f ca="1">AVERAGE(OFFSET($AM$3,0,0,'Données projet'!$E$10+1,1))-AVERAGE(OFFSET($H$3,0,0,'Données projet'!$E$10+1,1))</f>
        <v>112.82287576550925</v>
      </c>
      <c r="AO165" s="59">
        <f t="shared" si="144"/>
        <v>317.78570695363294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3.6126159931397304</v>
      </c>
      <c r="AV165" s="21">
        <f>EXP(-LN(2)/25)*AV164+(1-EXP(-LN(2)/25))/(LN(2)/25)*Calculateur!AQ165*Calculateur!AS165*VLOOKUP('Données projet'!$B$10,Paramètres!$A$1:$I$89,3,0)*0.475*44/12</f>
        <v>0.25036463465321784</v>
      </c>
      <c r="AW165" s="21">
        <f>EXP(-LN(2)/2)*AW164+(1-EXP(-LN(2)/2))/(LN(2)/2)*AQ165*AT165*VLOOKUP('Données projet'!$B$10,Paramètres!$A$1:$I$89,3,0)*0.475*44/12</f>
        <v>7.7635965113270488E-21</v>
      </c>
      <c r="AX165" s="21">
        <f t="shared" si="166"/>
        <v>3.8629806277929482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0</v>
      </c>
      <c r="BE165" s="13">
        <f>BD165*VLOOKUP('Données projet'!$B$11,Paramètres!$A$1:$I$89,3,0)*VLOOKUP('Données projet'!$B$11,Paramètres!$A$1:$I$89,5,0)</f>
        <v>0</v>
      </c>
      <c r="BF165" s="13" t="e">
        <f t="shared" si="167"/>
        <v>#NUM!</v>
      </c>
      <c r="BG165" s="20" t="e">
        <f t="shared" si="168"/>
        <v>#NUM!</v>
      </c>
      <c r="BH165" s="59" t="e">
        <f t="shared" si="116"/>
        <v>#NUM!</v>
      </c>
      <c r="BI165" s="59">
        <f ca="1">AVERAGE(OFFSET($BH$3,0,0,'Données projet'!$E$11+1,1))-AVERAGE(OFFSET($H$3,0,0,'Données projet'!$E$11+1,1))</f>
        <v>112.82287576550925</v>
      </c>
      <c r="BJ165" s="59">
        <f t="shared" si="146"/>
        <v>317.78570695363294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3.6126159931397304</v>
      </c>
      <c r="BQ165" s="21">
        <f>EXP(-LN(2)/25)*BQ164+(1-EXP(-LN(2)/25))/(LN(2)/25)*Calculateur!BL165*Calculateur!BN165*VLOOKUP('Données projet'!$B$11,Paramètres!$A$1:$I$89,3,0)*0.475*44/12</f>
        <v>0.25036463465321784</v>
      </c>
      <c r="BR165" s="21">
        <f>EXP(-LN(2)/2)*BR164+(1-EXP(-LN(2)/2))/(LN(2)/2)*BL165*BO165*VLOOKUP('Données projet'!$B$11,Paramètres!$A$1:$I$89,3,0)*0.475*44/12</f>
        <v>7.7635965113270488E-21</v>
      </c>
      <c r="BS165" s="22">
        <f t="shared" si="169"/>
        <v>3.8629806277929482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>
        <f>BY165*VLOOKUP('Données projet'!$B$12,Paramètres!$A$1:$I$89,3,0)*VLOOKUP('Données projet'!$B$12,Paramètres!$A$1:$I$89,5,0)</f>
        <v>0</v>
      </c>
      <c r="CA165" s="13" t="e">
        <f t="shared" si="170"/>
        <v>#NUM!</v>
      </c>
      <c r="CB165" s="20" t="e">
        <f t="shared" si="171"/>
        <v>#NUM!</v>
      </c>
      <c r="CC165" s="59" t="e">
        <f t="shared" si="119"/>
        <v>#NUM!</v>
      </c>
      <c r="CD165" s="59">
        <f ca="1">AVERAGE(OFFSET($CC$3,0,0,'Données projet'!$E$12+1,1))-AVERAGE(OFFSET($H$3,0,0,'Données projet'!$E$12+1,1))</f>
        <v>112.82287576550925</v>
      </c>
      <c r="CE165" s="59">
        <f t="shared" si="148"/>
        <v>317.78570695363294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>
        <f>EXP(-LN(2)/35)*CK164+(1-EXP(-LN(2)/35))/(LN(2)/35)*CG165*CH165*VLOOKUP('Données projet'!$B$12,Paramètres!$A$1:$I$89,3,0)*0.475*44/12</f>
        <v>3.6126159931397304</v>
      </c>
      <c r="CL165" s="21">
        <f>EXP(-LN(2)/25)*CL164+(1-EXP(-LN(2)/25))/(LN(2)/25)*Calculateur!CG165*Calculateur!CI165*VLOOKUP('Données projet'!$B$12,Paramètres!$A$1:$I$89,3,0)*0.475*44/12</f>
        <v>0.25036463465321784</v>
      </c>
      <c r="CM165" s="21">
        <f>EXP(-LN(2)/2)*CM164+(1-EXP(-LN(2)/2))/(LN(2)/2)*CG165*CJ165*VLOOKUP('Données projet'!$B$12,Paramètres!$A$1:$I$89,3,0)*0.475*44/12</f>
        <v>7.7635965113270488E-21</v>
      </c>
      <c r="CN165" s="22">
        <f t="shared" si="172"/>
        <v>3.8629806277929482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5">
      <c r="A166" s="10">
        <f t="shared" si="161"/>
        <v>163</v>
      </c>
      <c r="B166" s="73">
        <f>'Scénario référence'!$B$16*5+'Scénario référence'!$B$17*0+'Scénario référence'!$B$18*5</f>
        <v>5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1">
        <f t="shared" si="140"/>
        <v>0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6" s="11">
        <f>IF(OR('Scénario référence'!$F$8&gt;0,'Scénario référence'!$F$9&gt;0),('Scénario référence'!$F$8+'Scénario référence'!$F$9)*10,0)</f>
        <v>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18.333333333333332</v>
      </c>
      <c r="H166" s="67">
        <f t="shared" si="110"/>
        <v>183.33333333333334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0</v>
      </c>
      <c r="O166" s="13">
        <f>N166*VLOOKUP('Données projet'!$B$9,Paramètres!$A$1:$I$89,3,0)*VLOOKUP('Données projet'!$B$9,Paramètres!$A$1:$I$89,5,0)</f>
        <v>0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112.82287576550925</v>
      </c>
      <c r="T166" s="59">
        <f t="shared" si="142"/>
        <v>317.78570695363294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3.5417747969924407</v>
      </c>
      <c r="AA166" s="21">
        <f>EXP(-LN(2)/25)*AA165+(1-EXP(-LN(2)/25))/(LN(2)/25)*Calculateur!V166*Calculateur!X166*VLOOKUP('Données projet'!$B$9,Paramètres!$A$1:$I$89,3,0)*0.475*44/12</f>
        <v>0.24351840055252169</v>
      </c>
      <c r="AB166" s="21">
        <f>EXP(-LN(2)/2)*AB165+(1-EXP(-LN(2)/2))/(LN(2)/2)*V166*Y166*VLOOKUP('Données projet'!$B$9,Paramètres!$A$1:$I$89,3,0)*0.475*44/12</f>
        <v>5.4896917395555793E-21</v>
      </c>
      <c r="AC166" s="22">
        <f t="shared" si="163"/>
        <v>3.7852931975449624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0</v>
      </c>
      <c r="AJ166" s="13">
        <f>AI166*VLOOKUP('Données projet'!$B$10,Paramètres!$A$1:$I$89,3,0)*VLOOKUP('Données projet'!$B$10,Paramètres!$A$1:$I$89,5,0)</f>
        <v>0</v>
      </c>
      <c r="AK166" s="13" t="e">
        <f t="shared" si="164"/>
        <v>#NUM!</v>
      </c>
      <c r="AL166" s="20" t="e">
        <f t="shared" si="165"/>
        <v>#NUM!</v>
      </c>
      <c r="AM166" s="59" t="e">
        <f t="shared" si="113"/>
        <v>#NUM!</v>
      </c>
      <c r="AN166" s="59">
        <f ca="1">AVERAGE(OFFSET($AM$3,0,0,'Données projet'!$E$10+1,1))-AVERAGE(OFFSET($H$3,0,0,'Données projet'!$E$10+1,1))</f>
        <v>112.82287576550925</v>
      </c>
      <c r="AO166" s="59">
        <f t="shared" si="144"/>
        <v>317.78570695363294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3.5417747969924407</v>
      </c>
      <c r="AV166" s="21">
        <f>EXP(-LN(2)/25)*AV165+(1-EXP(-LN(2)/25))/(LN(2)/25)*Calculateur!AQ166*Calculateur!AS166*VLOOKUP('Données projet'!$B$10,Paramètres!$A$1:$I$89,3,0)*0.475*44/12</f>
        <v>0.24351840055252169</v>
      </c>
      <c r="AW166" s="21">
        <f>EXP(-LN(2)/2)*AW165+(1-EXP(-LN(2)/2))/(LN(2)/2)*AQ166*AT166*VLOOKUP('Données projet'!$B$10,Paramètres!$A$1:$I$89,3,0)*0.475*44/12</f>
        <v>5.4896917395555793E-21</v>
      </c>
      <c r="AX166" s="21">
        <f t="shared" si="166"/>
        <v>3.7852931975449624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0</v>
      </c>
      <c r="BE166" s="13">
        <f>BD166*VLOOKUP('Données projet'!$B$11,Paramètres!$A$1:$I$89,3,0)*VLOOKUP('Données projet'!$B$11,Paramètres!$A$1:$I$89,5,0)</f>
        <v>0</v>
      </c>
      <c r="BF166" s="13" t="e">
        <f t="shared" si="167"/>
        <v>#NUM!</v>
      </c>
      <c r="BG166" s="20" t="e">
        <f t="shared" si="168"/>
        <v>#NUM!</v>
      </c>
      <c r="BH166" s="59" t="e">
        <f t="shared" si="116"/>
        <v>#NUM!</v>
      </c>
      <c r="BI166" s="59">
        <f ca="1">AVERAGE(OFFSET($BH$3,0,0,'Données projet'!$E$11+1,1))-AVERAGE(OFFSET($H$3,0,0,'Données projet'!$E$11+1,1))</f>
        <v>112.82287576550925</v>
      </c>
      <c r="BJ166" s="59">
        <f t="shared" si="146"/>
        <v>317.78570695363294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3.5417747969924407</v>
      </c>
      <c r="BQ166" s="21">
        <f>EXP(-LN(2)/25)*BQ165+(1-EXP(-LN(2)/25))/(LN(2)/25)*Calculateur!BL166*Calculateur!BN166*VLOOKUP('Données projet'!$B$11,Paramètres!$A$1:$I$89,3,0)*0.475*44/12</f>
        <v>0.24351840055252169</v>
      </c>
      <c r="BR166" s="21">
        <f>EXP(-LN(2)/2)*BR165+(1-EXP(-LN(2)/2))/(LN(2)/2)*BL166*BO166*VLOOKUP('Données projet'!$B$11,Paramètres!$A$1:$I$89,3,0)*0.475*44/12</f>
        <v>5.4896917395555793E-21</v>
      </c>
      <c r="BS166" s="22">
        <f t="shared" si="169"/>
        <v>3.7852931975449624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>
        <f>BY166*VLOOKUP('Données projet'!$B$12,Paramètres!$A$1:$I$89,3,0)*VLOOKUP('Données projet'!$B$12,Paramètres!$A$1:$I$89,5,0)</f>
        <v>0</v>
      </c>
      <c r="CA166" s="13" t="e">
        <f t="shared" si="170"/>
        <v>#NUM!</v>
      </c>
      <c r="CB166" s="20" t="e">
        <f t="shared" si="171"/>
        <v>#NUM!</v>
      </c>
      <c r="CC166" s="59" t="e">
        <f t="shared" si="119"/>
        <v>#NUM!</v>
      </c>
      <c r="CD166" s="59">
        <f ca="1">AVERAGE(OFFSET($CC$3,0,0,'Données projet'!$E$12+1,1))-AVERAGE(OFFSET($H$3,0,0,'Données projet'!$E$12+1,1))</f>
        <v>112.82287576550925</v>
      </c>
      <c r="CE166" s="59">
        <f t="shared" si="148"/>
        <v>317.78570695363294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>
        <f>EXP(-LN(2)/35)*CK165+(1-EXP(-LN(2)/35))/(LN(2)/35)*CG166*CH166*VLOOKUP('Données projet'!$B$12,Paramètres!$A$1:$I$89,3,0)*0.475*44/12</f>
        <v>3.5417747969924407</v>
      </c>
      <c r="CL166" s="21">
        <f>EXP(-LN(2)/25)*CL165+(1-EXP(-LN(2)/25))/(LN(2)/25)*Calculateur!CG166*Calculateur!CI166*VLOOKUP('Données projet'!$B$12,Paramètres!$A$1:$I$89,3,0)*0.475*44/12</f>
        <v>0.24351840055252169</v>
      </c>
      <c r="CM166" s="21">
        <f>EXP(-LN(2)/2)*CM165+(1-EXP(-LN(2)/2))/(LN(2)/2)*CG166*CJ166*VLOOKUP('Données projet'!$B$12,Paramètres!$A$1:$I$89,3,0)*0.475*44/12</f>
        <v>5.4896917395555793E-21</v>
      </c>
      <c r="CN166" s="22">
        <f t="shared" si="172"/>
        <v>3.7852931975449624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5">
      <c r="A167" s="10">
        <f t="shared" si="161"/>
        <v>164</v>
      </c>
      <c r="B167" s="73">
        <f>'Scénario référence'!$B$16*5+'Scénario référence'!$B$17*0+'Scénario référence'!$B$18*5</f>
        <v>5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1">
        <f t="shared" si="140"/>
        <v>0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7" s="11">
        <f>IF(OR('Scénario référence'!$F$8&gt;0,'Scénario référence'!$F$9&gt;0),('Scénario référence'!$F$8+'Scénario référence'!$F$9)*10,0)</f>
        <v>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18.333333333333332</v>
      </c>
      <c r="H167" s="67">
        <f t="shared" si="110"/>
        <v>183.33333333333334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0</v>
      </c>
      <c r="O167" s="13">
        <f>N167*VLOOKUP('Données projet'!$B$9,Paramètres!$A$1:$I$89,3,0)*VLOOKUP('Données projet'!$B$9,Paramètres!$A$1:$I$89,5,0)</f>
        <v>0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112.82287576550925</v>
      </c>
      <c r="T167" s="59">
        <f t="shared" si="142"/>
        <v>317.78570695363294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3.4723227534927363</v>
      </c>
      <c r="AA167" s="21">
        <f>EXP(-LN(2)/25)*AA166+(1-EXP(-LN(2)/25))/(LN(2)/25)*Calculateur!V167*Calculateur!X167*VLOOKUP('Données projet'!$B$9,Paramètres!$A$1:$I$89,3,0)*0.475*44/12</f>
        <v>0.23685937708333688</v>
      </c>
      <c r="AB167" s="21">
        <f>EXP(-LN(2)/2)*AB166+(1-EXP(-LN(2)/2))/(LN(2)/2)*V167*Y167*VLOOKUP('Données projet'!$B$9,Paramètres!$A$1:$I$89,3,0)*0.475*44/12</f>
        <v>3.8817982556635244E-21</v>
      </c>
      <c r="AC167" s="22">
        <f t="shared" si="163"/>
        <v>3.7091821305760733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0</v>
      </c>
      <c r="AJ167" s="13">
        <f>AI167*VLOOKUP('Données projet'!$B$10,Paramètres!$A$1:$I$89,3,0)*VLOOKUP('Données projet'!$B$10,Paramètres!$A$1:$I$89,5,0)</f>
        <v>0</v>
      </c>
      <c r="AK167" s="13" t="e">
        <f t="shared" si="164"/>
        <v>#NUM!</v>
      </c>
      <c r="AL167" s="20" t="e">
        <f t="shared" si="165"/>
        <v>#NUM!</v>
      </c>
      <c r="AM167" s="59" t="e">
        <f t="shared" si="113"/>
        <v>#NUM!</v>
      </c>
      <c r="AN167" s="59">
        <f ca="1">AVERAGE(OFFSET($AM$3,0,0,'Données projet'!$E$10+1,1))-AVERAGE(OFFSET($H$3,0,0,'Données projet'!$E$10+1,1))</f>
        <v>112.82287576550925</v>
      </c>
      <c r="AO167" s="59">
        <f t="shared" si="144"/>
        <v>317.78570695363294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3.4723227534927363</v>
      </c>
      <c r="AV167" s="21">
        <f>EXP(-LN(2)/25)*AV166+(1-EXP(-LN(2)/25))/(LN(2)/25)*Calculateur!AQ167*Calculateur!AS167*VLOOKUP('Données projet'!$B$10,Paramètres!$A$1:$I$89,3,0)*0.475*44/12</f>
        <v>0.23685937708333688</v>
      </c>
      <c r="AW167" s="21">
        <f>EXP(-LN(2)/2)*AW166+(1-EXP(-LN(2)/2))/(LN(2)/2)*AQ167*AT167*VLOOKUP('Données projet'!$B$10,Paramètres!$A$1:$I$89,3,0)*0.475*44/12</f>
        <v>3.8817982556635244E-21</v>
      </c>
      <c r="AX167" s="21">
        <f t="shared" si="166"/>
        <v>3.7091821305760733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0</v>
      </c>
      <c r="BE167" s="13">
        <f>BD167*VLOOKUP('Données projet'!$B$11,Paramètres!$A$1:$I$89,3,0)*VLOOKUP('Données projet'!$B$11,Paramètres!$A$1:$I$89,5,0)</f>
        <v>0</v>
      </c>
      <c r="BF167" s="13" t="e">
        <f t="shared" si="167"/>
        <v>#NUM!</v>
      </c>
      <c r="BG167" s="20" t="e">
        <f t="shared" si="168"/>
        <v>#NUM!</v>
      </c>
      <c r="BH167" s="59" t="e">
        <f t="shared" si="116"/>
        <v>#NUM!</v>
      </c>
      <c r="BI167" s="59">
        <f ca="1">AVERAGE(OFFSET($BH$3,0,0,'Données projet'!$E$11+1,1))-AVERAGE(OFFSET($H$3,0,0,'Données projet'!$E$11+1,1))</f>
        <v>112.82287576550925</v>
      </c>
      <c r="BJ167" s="59">
        <f t="shared" si="146"/>
        <v>317.78570695363294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3.4723227534927363</v>
      </c>
      <c r="BQ167" s="21">
        <f>EXP(-LN(2)/25)*BQ166+(1-EXP(-LN(2)/25))/(LN(2)/25)*Calculateur!BL167*Calculateur!BN167*VLOOKUP('Données projet'!$B$11,Paramètres!$A$1:$I$89,3,0)*0.475*44/12</f>
        <v>0.23685937708333688</v>
      </c>
      <c r="BR167" s="21">
        <f>EXP(-LN(2)/2)*BR166+(1-EXP(-LN(2)/2))/(LN(2)/2)*BL167*BO167*VLOOKUP('Données projet'!$B$11,Paramètres!$A$1:$I$89,3,0)*0.475*44/12</f>
        <v>3.8817982556635244E-21</v>
      </c>
      <c r="BS167" s="22">
        <f t="shared" si="169"/>
        <v>3.7091821305760733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>
        <f>BY167*VLOOKUP('Données projet'!$B$12,Paramètres!$A$1:$I$89,3,0)*VLOOKUP('Données projet'!$B$12,Paramètres!$A$1:$I$89,5,0)</f>
        <v>0</v>
      </c>
      <c r="CA167" s="13" t="e">
        <f t="shared" si="170"/>
        <v>#NUM!</v>
      </c>
      <c r="CB167" s="20" t="e">
        <f t="shared" si="171"/>
        <v>#NUM!</v>
      </c>
      <c r="CC167" s="59" t="e">
        <f t="shared" si="119"/>
        <v>#NUM!</v>
      </c>
      <c r="CD167" s="59">
        <f ca="1">AVERAGE(OFFSET($CC$3,0,0,'Données projet'!$E$12+1,1))-AVERAGE(OFFSET($H$3,0,0,'Données projet'!$E$12+1,1))</f>
        <v>112.82287576550925</v>
      </c>
      <c r="CE167" s="59">
        <f t="shared" si="148"/>
        <v>317.78570695363294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>
        <f>EXP(-LN(2)/35)*CK166+(1-EXP(-LN(2)/35))/(LN(2)/35)*CG167*CH167*VLOOKUP('Données projet'!$B$12,Paramètres!$A$1:$I$89,3,0)*0.475*44/12</f>
        <v>3.4723227534927363</v>
      </c>
      <c r="CL167" s="21">
        <f>EXP(-LN(2)/25)*CL166+(1-EXP(-LN(2)/25))/(LN(2)/25)*Calculateur!CG167*Calculateur!CI167*VLOOKUP('Données projet'!$B$12,Paramètres!$A$1:$I$89,3,0)*0.475*44/12</f>
        <v>0.23685937708333688</v>
      </c>
      <c r="CM167" s="21">
        <f>EXP(-LN(2)/2)*CM166+(1-EXP(-LN(2)/2))/(LN(2)/2)*CG167*CJ167*VLOOKUP('Données projet'!$B$12,Paramètres!$A$1:$I$89,3,0)*0.475*44/12</f>
        <v>3.8817982556635244E-21</v>
      </c>
      <c r="CN167" s="22">
        <f t="shared" si="172"/>
        <v>3.7091821305760733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5">
      <c r="A168" s="10">
        <f t="shared" si="161"/>
        <v>165</v>
      </c>
      <c r="B168" s="73">
        <f>'Scénario référence'!$B$16*5+'Scénario référence'!$B$17*0+'Scénario référence'!$B$18*5</f>
        <v>5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1">
        <f t="shared" si="140"/>
        <v>0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8" s="11">
        <f>IF(OR('Scénario référence'!$F$8&gt;0,'Scénario référence'!$F$9&gt;0),('Scénario référence'!$F$8+'Scénario référence'!$F$9)*10,0)</f>
        <v>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18.333333333333332</v>
      </c>
      <c r="H168" s="67">
        <f t="shared" si="110"/>
        <v>183.33333333333334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0</v>
      </c>
      <c r="O168" s="13">
        <f>N168*VLOOKUP('Données projet'!$B$9,Paramètres!$A$1:$I$89,3,0)*VLOOKUP('Données projet'!$B$9,Paramètres!$A$1:$I$89,5,0)</f>
        <v>0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112.82287576550925</v>
      </c>
      <c r="T168" s="59">
        <f t="shared" si="142"/>
        <v>317.78570695363294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3.4042326222044972</v>
      </c>
      <c r="AA168" s="21">
        <f>EXP(-LN(2)/25)*AA167+(1-EXP(-LN(2)/25))/(LN(2)/25)*Calculateur!V168*Calculateur!X168*VLOOKUP('Données projet'!$B$9,Paramètres!$A$1:$I$89,3,0)*0.475*44/12</f>
        <v>0.23038244496109975</v>
      </c>
      <c r="AB168" s="21">
        <f>EXP(-LN(2)/2)*AB167+(1-EXP(-LN(2)/2))/(LN(2)/2)*V168*Y168*VLOOKUP('Données projet'!$B$9,Paramètres!$A$1:$I$89,3,0)*0.475*44/12</f>
        <v>2.7448458697777896E-21</v>
      </c>
      <c r="AC168" s="22">
        <f t="shared" si="163"/>
        <v>3.6346150671655968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0</v>
      </c>
      <c r="AJ168" s="13">
        <f>AI168*VLOOKUP('Données projet'!$B$10,Paramètres!$A$1:$I$89,3,0)*VLOOKUP('Données projet'!$B$10,Paramètres!$A$1:$I$89,5,0)</f>
        <v>0</v>
      </c>
      <c r="AK168" s="13" t="e">
        <f t="shared" si="164"/>
        <v>#NUM!</v>
      </c>
      <c r="AL168" s="20" t="e">
        <f t="shared" si="165"/>
        <v>#NUM!</v>
      </c>
      <c r="AM168" s="59" t="e">
        <f t="shared" si="113"/>
        <v>#NUM!</v>
      </c>
      <c r="AN168" s="59">
        <f ca="1">AVERAGE(OFFSET($AM$3,0,0,'Données projet'!$E$10+1,1))-AVERAGE(OFFSET($H$3,0,0,'Données projet'!$E$10+1,1))</f>
        <v>112.82287576550925</v>
      </c>
      <c r="AO168" s="59">
        <f t="shared" si="144"/>
        <v>317.78570695363294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3.4042326222044972</v>
      </c>
      <c r="AV168" s="21">
        <f>EXP(-LN(2)/25)*AV167+(1-EXP(-LN(2)/25))/(LN(2)/25)*Calculateur!AQ168*Calculateur!AS168*VLOOKUP('Données projet'!$B$10,Paramètres!$A$1:$I$89,3,0)*0.475*44/12</f>
        <v>0.23038244496109975</v>
      </c>
      <c r="AW168" s="21">
        <f>EXP(-LN(2)/2)*AW167+(1-EXP(-LN(2)/2))/(LN(2)/2)*AQ168*AT168*VLOOKUP('Données projet'!$B$10,Paramètres!$A$1:$I$89,3,0)*0.475*44/12</f>
        <v>2.7448458697777896E-21</v>
      </c>
      <c r="AX168" s="21">
        <f t="shared" si="166"/>
        <v>3.6346150671655968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0</v>
      </c>
      <c r="BE168" s="13">
        <f>BD168*VLOOKUP('Données projet'!$B$11,Paramètres!$A$1:$I$89,3,0)*VLOOKUP('Données projet'!$B$11,Paramètres!$A$1:$I$89,5,0)</f>
        <v>0</v>
      </c>
      <c r="BF168" s="13" t="e">
        <f t="shared" si="167"/>
        <v>#NUM!</v>
      </c>
      <c r="BG168" s="20" t="e">
        <f t="shared" si="168"/>
        <v>#NUM!</v>
      </c>
      <c r="BH168" s="59" t="e">
        <f t="shared" si="116"/>
        <v>#NUM!</v>
      </c>
      <c r="BI168" s="59">
        <f ca="1">AVERAGE(OFFSET($BH$3,0,0,'Données projet'!$E$11+1,1))-AVERAGE(OFFSET($H$3,0,0,'Données projet'!$E$11+1,1))</f>
        <v>112.82287576550925</v>
      </c>
      <c r="BJ168" s="59">
        <f t="shared" si="146"/>
        <v>317.78570695363294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3.4042326222044972</v>
      </c>
      <c r="BQ168" s="21">
        <f>EXP(-LN(2)/25)*BQ167+(1-EXP(-LN(2)/25))/(LN(2)/25)*Calculateur!BL168*Calculateur!BN168*VLOOKUP('Données projet'!$B$11,Paramètres!$A$1:$I$89,3,0)*0.475*44/12</f>
        <v>0.23038244496109975</v>
      </c>
      <c r="BR168" s="21">
        <f>EXP(-LN(2)/2)*BR167+(1-EXP(-LN(2)/2))/(LN(2)/2)*BL168*BO168*VLOOKUP('Données projet'!$B$11,Paramètres!$A$1:$I$89,3,0)*0.475*44/12</f>
        <v>2.7448458697777896E-21</v>
      </c>
      <c r="BS168" s="22">
        <f t="shared" si="169"/>
        <v>3.6346150671655968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>
        <f>BY168*VLOOKUP('Données projet'!$B$12,Paramètres!$A$1:$I$89,3,0)*VLOOKUP('Données projet'!$B$12,Paramètres!$A$1:$I$89,5,0)</f>
        <v>0</v>
      </c>
      <c r="CA168" s="13" t="e">
        <f t="shared" si="170"/>
        <v>#NUM!</v>
      </c>
      <c r="CB168" s="20" t="e">
        <f t="shared" si="171"/>
        <v>#NUM!</v>
      </c>
      <c r="CC168" s="59" t="e">
        <f t="shared" si="119"/>
        <v>#NUM!</v>
      </c>
      <c r="CD168" s="59">
        <f ca="1">AVERAGE(OFFSET($CC$3,0,0,'Données projet'!$E$12+1,1))-AVERAGE(OFFSET($H$3,0,0,'Données projet'!$E$12+1,1))</f>
        <v>112.82287576550925</v>
      </c>
      <c r="CE168" s="59">
        <f t="shared" si="148"/>
        <v>317.78570695363294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>
        <f>EXP(-LN(2)/35)*CK167+(1-EXP(-LN(2)/35))/(LN(2)/35)*CG168*CH168*VLOOKUP('Données projet'!$B$12,Paramètres!$A$1:$I$89,3,0)*0.475*44/12</f>
        <v>3.4042326222044972</v>
      </c>
      <c r="CL168" s="21">
        <f>EXP(-LN(2)/25)*CL167+(1-EXP(-LN(2)/25))/(LN(2)/25)*Calculateur!CG168*Calculateur!CI168*VLOOKUP('Données projet'!$B$12,Paramètres!$A$1:$I$89,3,0)*0.475*44/12</f>
        <v>0.23038244496109975</v>
      </c>
      <c r="CM168" s="21">
        <f>EXP(-LN(2)/2)*CM167+(1-EXP(-LN(2)/2))/(LN(2)/2)*CG168*CJ168*VLOOKUP('Données projet'!$B$12,Paramètres!$A$1:$I$89,3,0)*0.475*44/12</f>
        <v>2.7448458697777896E-21</v>
      </c>
      <c r="CN168" s="22">
        <f t="shared" si="172"/>
        <v>3.6346150671655968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5">
      <c r="A169" s="10">
        <f t="shared" si="161"/>
        <v>166</v>
      </c>
      <c r="B169" s="73">
        <f>'Scénario référence'!$B$16*5+'Scénario référence'!$B$17*0+'Scénario référence'!$B$18*5</f>
        <v>5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1">
        <f t="shared" si="140"/>
        <v>0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9" s="11">
        <f>IF(OR('Scénario référence'!$F$8&gt;0,'Scénario référence'!$F$9&gt;0),('Scénario référence'!$F$8+'Scénario référence'!$F$9)*10,0)</f>
        <v>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18.333333333333332</v>
      </c>
      <c r="H169" s="67">
        <f t="shared" si="110"/>
        <v>183.33333333333334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0</v>
      </c>
      <c r="O169" s="13">
        <f>N169*VLOOKUP('Données projet'!$B$9,Paramètres!$A$1:$I$89,3,0)*VLOOKUP('Données projet'!$B$9,Paramètres!$A$1:$I$89,5,0)</f>
        <v>0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112.82287576550925</v>
      </c>
      <c r="T169" s="59">
        <f t="shared" si="142"/>
        <v>317.78570695363294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3.3374776968599416</v>
      </c>
      <c r="AA169" s="21">
        <f>EXP(-LN(2)/25)*AA168+(1-EXP(-LN(2)/25))/(LN(2)/25)*Calculateur!V169*Calculateur!X169*VLOOKUP('Données projet'!$B$9,Paramètres!$A$1:$I$89,3,0)*0.475*44/12</f>
        <v>0.22408262488835223</v>
      </c>
      <c r="AB169" s="21">
        <f>EXP(-LN(2)/2)*AB168+(1-EXP(-LN(2)/2))/(LN(2)/2)*V169*Y169*VLOOKUP('Données projet'!$B$9,Paramètres!$A$1:$I$89,3,0)*0.475*44/12</f>
        <v>1.9408991278317622E-21</v>
      </c>
      <c r="AC169" s="22">
        <f t="shared" si="163"/>
        <v>3.5615603217482938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0</v>
      </c>
      <c r="AJ169" s="13">
        <f>AI169*VLOOKUP('Données projet'!$B$10,Paramètres!$A$1:$I$89,3,0)*VLOOKUP('Données projet'!$B$10,Paramètres!$A$1:$I$89,5,0)</f>
        <v>0</v>
      </c>
      <c r="AK169" s="13" t="e">
        <f t="shared" si="164"/>
        <v>#NUM!</v>
      </c>
      <c r="AL169" s="20" t="e">
        <f t="shared" si="165"/>
        <v>#NUM!</v>
      </c>
      <c r="AM169" s="59" t="e">
        <f t="shared" si="113"/>
        <v>#NUM!</v>
      </c>
      <c r="AN169" s="59">
        <f ca="1">AVERAGE(OFFSET($AM$3,0,0,'Données projet'!$E$10+1,1))-AVERAGE(OFFSET($H$3,0,0,'Données projet'!$E$10+1,1))</f>
        <v>112.82287576550925</v>
      </c>
      <c r="AO169" s="59">
        <f t="shared" si="144"/>
        <v>317.78570695363294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3.3374776968599416</v>
      </c>
      <c r="AV169" s="21">
        <f>EXP(-LN(2)/25)*AV168+(1-EXP(-LN(2)/25))/(LN(2)/25)*Calculateur!AQ169*Calculateur!AS169*VLOOKUP('Données projet'!$B$10,Paramètres!$A$1:$I$89,3,0)*0.475*44/12</f>
        <v>0.22408262488835223</v>
      </c>
      <c r="AW169" s="21">
        <f>EXP(-LN(2)/2)*AW168+(1-EXP(-LN(2)/2))/(LN(2)/2)*AQ169*AT169*VLOOKUP('Données projet'!$B$10,Paramètres!$A$1:$I$89,3,0)*0.475*44/12</f>
        <v>1.9408991278317622E-21</v>
      </c>
      <c r="AX169" s="21">
        <f t="shared" si="166"/>
        <v>3.5615603217482938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0</v>
      </c>
      <c r="BE169" s="13">
        <f>BD169*VLOOKUP('Données projet'!$B$11,Paramètres!$A$1:$I$89,3,0)*VLOOKUP('Données projet'!$B$11,Paramètres!$A$1:$I$89,5,0)</f>
        <v>0</v>
      </c>
      <c r="BF169" s="13" t="e">
        <f t="shared" si="167"/>
        <v>#NUM!</v>
      </c>
      <c r="BG169" s="20" t="e">
        <f t="shared" si="168"/>
        <v>#NUM!</v>
      </c>
      <c r="BH169" s="59" t="e">
        <f t="shared" si="116"/>
        <v>#NUM!</v>
      </c>
      <c r="BI169" s="59">
        <f ca="1">AVERAGE(OFFSET($BH$3,0,0,'Données projet'!$E$11+1,1))-AVERAGE(OFFSET($H$3,0,0,'Données projet'!$E$11+1,1))</f>
        <v>112.82287576550925</v>
      </c>
      <c r="BJ169" s="59">
        <f t="shared" si="146"/>
        <v>317.78570695363294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3.3374776968599416</v>
      </c>
      <c r="BQ169" s="21">
        <f>EXP(-LN(2)/25)*BQ168+(1-EXP(-LN(2)/25))/(LN(2)/25)*Calculateur!BL169*Calculateur!BN169*VLOOKUP('Données projet'!$B$11,Paramètres!$A$1:$I$89,3,0)*0.475*44/12</f>
        <v>0.22408262488835223</v>
      </c>
      <c r="BR169" s="21">
        <f>EXP(-LN(2)/2)*BR168+(1-EXP(-LN(2)/2))/(LN(2)/2)*BL169*BO169*VLOOKUP('Données projet'!$B$11,Paramètres!$A$1:$I$89,3,0)*0.475*44/12</f>
        <v>1.9408991278317622E-21</v>
      </c>
      <c r="BS169" s="22">
        <f t="shared" si="169"/>
        <v>3.5615603217482938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>
        <f>BY169*VLOOKUP('Données projet'!$B$12,Paramètres!$A$1:$I$89,3,0)*VLOOKUP('Données projet'!$B$12,Paramètres!$A$1:$I$89,5,0)</f>
        <v>0</v>
      </c>
      <c r="CA169" s="13" t="e">
        <f t="shared" si="170"/>
        <v>#NUM!</v>
      </c>
      <c r="CB169" s="20" t="e">
        <f t="shared" si="171"/>
        <v>#NUM!</v>
      </c>
      <c r="CC169" s="59" t="e">
        <f t="shared" si="119"/>
        <v>#NUM!</v>
      </c>
      <c r="CD169" s="59">
        <f ca="1">AVERAGE(OFFSET($CC$3,0,0,'Données projet'!$E$12+1,1))-AVERAGE(OFFSET($H$3,0,0,'Données projet'!$E$12+1,1))</f>
        <v>112.82287576550925</v>
      </c>
      <c r="CE169" s="59">
        <f t="shared" si="148"/>
        <v>317.78570695363294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>
        <f>EXP(-LN(2)/35)*CK168+(1-EXP(-LN(2)/35))/(LN(2)/35)*CG169*CH169*VLOOKUP('Données projet'!$B$12,Paramètres!$A$1:$I$89,3,0)*0.475*44/12</f>
        <v>3.3374776968599416</v>
      </c>
      <c r="CL169" s="21">
        <f>EXP(-LN(2)/25)*CL168+(1-EXP(-LN(2)/25))/(LN(2)/25)*Calculateur!CG169*Calculateur!CI169*VLOOKUP('Données projet'!$B$12,Paramètres!$A$1:$I$89,3,0)*0.475*44/12</f>
        <v>0.22408262488835223</v>
      </c>
      <c r="CM169" s="21">
        <f>EXP(-LN(2)/2)*CM168+(1-EXP(-LN(2)/2))/(LN(2)/2)*CG169*CJ169*VLOOKUP('Données projet'!$B$12,Paramètres!$A$1:$I$89,3,0)*0.475*44/12</f>
        <v>1.9408991278317622E-21</v>
      </c>
      <c r="CN169" s="22">
        <f t="shared" si="172"/>
        <v>3.5615603217482938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5">
      <c r="A170" s="10">
        <f t="shared" si="161"/>
        <v>167</v>
      </c>
      <c r="B170" s="73">
        <f>'Scénario référence'!$B$16*5+'Scénario référence'!$B$17*0+'Scénario référence'!$B$18*5</f>
        <v>5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1">
        <f t="shared" si="140"/>
        <v>0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0" s="11">
        <f>IF(OR('Scénario référence'!$F$8&gt;0,'Scénario référence'!$F$9&gt;0),('Scénario référence'!$F$8+'Scénario référence'!$F$9)*10,0)</f>
        <v>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18.333333333333332</v>
      </c>
      <c r="H170" s="67">
        <f t="shared" si="110"/>
        <v>183.33333333333334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0</v>
      </c>
      <c r="O170" s="13">
        <f>N170*VLOOKUP('Données projet'!$B$9,Paramètres!$A$1:$I$89,3,0)*VLOOKUP('Données projet'!$B$9,Paramètres!$A$1:$I$89,5,0)</f>
        <v>0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112.82287576550925</v>
      </c>
      <c r="T170" s="59">
        <f t="shared" si="142"/>
        <v>317.78570695363294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3.2720317948849083</v>
      </c>
      <c r="AA170" s="21">
        <f>EXP(-LN(2)/25)*AA169+(1-EXP(-LN(2)/25))/(LN(2)/25)*Calculateur!V170*Calculateur!X170*VLOOKUP('Données projet'!$B$9,Paramètres!$A$1:$I$89,3,0)*0.475*44/12</f>
        <v>0.21795507372678716</v>
      </c>
      <c r="AB170" s="21">
        <f>EXP(-LN(2)/2)*AB169+(1-EXP(-LN(2)/2))/(LN(2)/2)*V170*Y170*VLOOKUP('Données projet'!$B$9,Paramètres!$A$1:$I$89,3,0)*0.475*44/12</f>
        <v>1.3724229348888948E-21</v>
      </c>
      <c r="AC170" s="22">
        <f t="shared" si="163"/>
        <v>3.4899868686116955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0</v>
      </c>
      <c r="AJ170" s="13">
        <f>AI170*VLOOKUP('Données projet'!$B$10,Paramètres!$A$1:$I$89,3,0)*VLOOKUP('Données projet'!$B$10,Paramètres!$A$1:$I$89,5,0)</f>
        <v>0</v>
      </c>
      <c r="AK170" s="13" t="e">
        <f t="shared" si="164"/>
        <v>#NUM!</v>
      </c>
      <c r="AL170" s="20" t="e">
        <f t="shared" si="165"/>
        <v>#NUM!</v>
      </c>
      <c r="AM170" s="59" t="e">
        <f t="shared" si="113"/>
        <v>#NUM!</v>
      </c>
      <c r="AN170" s="59">
        <f ca="1">AVERAGE(OFFSET($AM$3,0,0,'Données projet'!$E$10+1,1))-AVERAGE(OFFSET($H$3,0,0,'Données projet'!$E$10+1,1))</f>
        <v>112.82287576550925</v>
      </c>
      <c r="AO170" s="59">
        <f t="shared" si="144"/>
        <v>317.78570695363294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3.2720317948849083</v>
      </c>
      <c r="AV170" s="21">
        <f>EXP(-LN(2)/25)*AV169+(1-EXP(-LN(2)/25))/(LN(2)/25)*Calculateur!AQ170*Calculateur!AS170*VLOOKUP('Données projet'!$B$10,Paramètres!$A$1:$I$89,3,0)*0.475*44/12</f>
        <v>0.21795507372678716</v>
      </c>
      <c r="AW170" s="21">
        <f>EXP(-LN(2)/2)*AW169+(1-EXP(-LN(2)/2))/(LN(2)/2)*AQ170*AT170*VLOOKUP('Données projet'!$B$10,Paramètres!$A$1:$I$89,3,0)*0.475*44/12</f>
        <v>1.3724229348888948E-21</v>
      </c>
      <c r="AX170" s="21">
        <f t="shared" si="166"/>
        <v>3.4899868686116955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0</v>
      </c>
      <c r="BE170" s="13">
        <f>BD170*VLOOKUP('Données projet'!$B$11,Paramètres!$A$1:$I$89,3,0)*VLOOKUP('Données projet'!$B$11,Paramètres!$A$1:$I$89,5,0)</f>
        <v>0</v>
      </c>
      <c r="BF170" s="13" t="e">
        <f t="shared" si="167"/>
        <v>#NUM!</v>
      </c>
      <c r="BG170" s="20" t="e">
        <f t="shared" si="168"/>
        <v>#NUM!</v>
      </c>
      <c r="BH170" s="59" t="e">
        <f t="shared" si="116"/>
        <v>#NUM!</v>
      </c>
      <c r="BI170" s="59">
        <f ca="1">AVERAGE(OFFSET($BH$3,0,0,'Données projet'!$E$11+1,1))-AVERAGE(OFFSET($H$3,0,0,'Données projet'!$E$11+1,1))</f>
        <v>112.82287576550925</v>
      </c>
      <c r="BJ170" s="59">
        <f t="shared" si="146"/>
        <v>317.78570695363294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3.2720317948849083</v>
      </c>
      <c r="BQ170" s="21">
        <f>EXP(-LN(2)/25)*BQ169+(1-EXP(-LN(2)/25))/(LN(2)/25)*Calculateur!BL170*Calculateur!BN170*VLOOKUP('Données projet'!$B$11,Paramètres!$A$1:$I$89,3,0)*0.475*44/12</f>
        <v>0.21795507372678716</v>
      </c>
      <c r="BR170" s="21">
        <f>EXP(-LN(2)/2)*BR169+(1-EXP(-LN(2)/2))/(LN(2)/2)*BL170*BO170*VLOOKUP('Données projet'!$B$11,Paramètres!$A$1:$I$89,3,0)*0.475*44/12</f>
        <v>1.3724229348888948E-21</v>
      </c>
      <c r="BS170" s="22">
        <f t="shared" si="169"/>
        <v>3.4899868686116955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>
        <f>BY170*VLOOKUP('Données projet'!$B$12,Paramètres!$A$1:$I$89,3,0)*VLOOKUP('Données projet'!$B$12,Paramètres!$A$1:$I$89,5,0)</f>
        <v>0</v>
      </c>
      <c r="CA170" s="13" t="e">
        <f t="shared" si="170"/>
        <v>#NUM!</v>
      </c>
      <c r="CB170" s="20" t="e">
        <f t="shared" si="171"/>
        <v>#NUM!</v>
      </c>
      <c r="CC170" s="59" t="e">
        <f t="shared" si="119"/>
        <v>#NUM!</v>
      </c>
      <c r="CD170" s="59">
        <f ca="1">AVERAGE(OFFSET($CC$3,0,0,'Données projet'!$E$12+1,1))-AVERAGE(OFFSET($H$3,0,0,'Données projet'!$E$12+1,1))</f>
        <v>112.82287576550925</v>
      </c>
      <c r="CE170" s="59">
        <f t="shared" si="148"/>
        <v>317.78570695363294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>
        <f>EXP(-LN(2)/35)*CK169+(1-EXP(-LN(2)/35))/(LN(2)/35)*CG170*CH170*VLOOKUP('Données projet'!$B$12,Paramètres!$A$1:$I$89,3,0)*0.475*44/12</f>
        <v>3.2720317948849083</v>
      </c>
      <c r="CL170" s="21">
        <f>EXP(-LN(2)/25)*CL169+(1-EXP(-LN(2)/25))/(LN(2)/25)*Calculateur!CG170*Calculateur!CI170*VLOOKUP('Données projet'!$B$12,Paramètres!$A$1:$I$89,3,0)*0.475*44/12</f>
        <v>0.21795507372678716</v>
      </c>
      <c r="CM170" s="21">
        <f>EXP(-LN(2)/2)*CM169+(1-EXP(-LN(2)/2))/(LN(2)/2)*CG170*CJ170*VLOOKUP('Données projet'!$B$12,Paramètres!$A$1:$I$89,3,0)*0.475*44/12</f>
        <v>1.3724229348888948E-21</v>
      </c>
      <c r="CN170" s="22">
        <f t="shared" si="172"/>
        <v>3.4899868686116955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5">
      <c r="A171" s="10">
        <f t="shared" si="161"/>
        <v>168</v>
      </c>
      <c r="B171" s="73">
        <f>'Scénario référence'!$B$16*5+'Scénario référence'!$B$17*0+'Scénario référence'!$B$18*5</f>
        <v>5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1">
        <f t="shared" si="140"/>
        <v>0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1" s="11">
        <f>IF(OR('Scénario référence'!$F$8&gt;0,'Scénario référence'!$F$9&gt;0),('Scénario référence'!$F$8+'Scénario référence'!$F$9)*10,0)</f>
        <v>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18.333333333333332</v>
      </c>
      <c r="H171" s="67">
        <f t="shared" si="110"/>
        <v>183.33333333333334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0</v>
      </c>
      <c r="O171" s="13">
        <f>N171*VLOOKUP('Données projet'!$B$9,Paramètres!$A$1:$I$89,3,0)*VLOOKUP('Données projet'!$B$9,Paramètres!$A$1:$I$89,5,0)</f>
        <v>0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112.82287576550925</v>
      </c>
      <c r="T171" s="59">
        <f t="shared" si="142"/>
        <v>317.78570695363294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3.2078692471295467</v>
      </c>
      <c r="AA171" s="21">
        <f>EXP(-LN(2)/25)*AA170+(1-EXP(-LN(2)/25))/(LN(2)/25)*Calculateur!V171*Calculateur!X171*VLOOKUP('Données projet'!$B$9,Paramètres!$A$1:$I$89,3,0)*0.475*44/12</f>
        <v>0.21199508077396897</v>
      </c>
      <c r="AB171" s="21">
        <f>EXP(-LN(2)/2)*AB170+(1-EXP(-LN(2)/2))/(LN(2)/2)*V171*Y171*VLOOKUP('Données projet'!$B$9,Paramètres!$A$1:$I$89,3,0)*0.475*44/12</f>
        <v>9.704495639158811E-22</v>
      </c>
      <c r="AC171" s="22">
        <f t="shared" si="163"/>
        <v>3.4198643279035155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0</v>
      </c>
      <c r="AJ171" s="13">
        <f>AI171*VLOOKUP('Données projet'!$B$10,Paramètres!$A$1:$I$89,3,0)*VLOOKUP('Données projet'!$B$10,Paramètres!$A$1:$I$89,5,0)</f>
        <v>0</v>
      </c>
      <c r="AK171" s="13" t="e">
        <f t="shared" si="164"/>
        <v>#NUM!</v>
      </c>
      <c r="AL171" s="20" t="e">
        <f t="shared" si="165"/>
        <v>#NUM!</v>
      </c>
      <c r="AM171" s="59" t="e">
        <f t="shared" si="113"/>
        <v>#NUM!</v>
      </c>
      <c r="AN171" s="59">
        <f ca="1">AVERAGE(OFFSET($AM$3,0,0,'Données projet'!$E$10+1,1))-AVERAGE(OFFSET($H$3,0,0,'Données projet'!$E$10+1,1))</f>
        <v>112.82287576550925</v>
      </c>
      <c r="AO171" s="59">
        <f t="shared" si="144"/>
        <v>317.78570695363294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3.2078692471295467</v>
      </c>
      <c r="AV171" s="21">
        <f>EXP(-LN(2)/25)*AV170+(1-EXP(-LN(2)/25))/(LN(2)/25)*Calculateur!AQ171*Calculateur!AS171*VLOOKUP('Données projet'!$B$10,Paramètres!$A$1:$I$89,3,0)*0.475*44/12</f>
        <v>0.21199508077396897</v>
      </c>
      <c r="AW171" s="21">
        <f>EXP(-LN(2)/2)*AW170+(1-EXP(-LN(2)/2))/(LN(2)/2)*AQ171*AT171*VLOOKUP('Données projet'!$B$10,Paramètres!$A$1:$I$89,3,0)*0.475*44/12</f>
        <v>9.704495639158811E-22</v>
      </c>
      <c r="AX171" s="21">
        <f t="shared" si="166"/>
        <v>3.4198643279035155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0</v>
      </c>
      <c r="BE171" s="13">
        <f>BD171*VLOOKUP('Données projet'!$B$11,Paramètres!$A$1:$I$89,3,0)*VLOOKUP('Données projet'!$B$11,Paramètres!$A$1:$I$89,5,0)</f>
        <v>0</v>
      </c>
      <c r="BF171" s="13" t="e">
        <f t="shared" si="167"/>
        <v>#NUM!</v>
      </c>
      <c r="BG171" s="20" t="e">
        <f t="shared" si="168"/>
        <v>#NUM!</v>
      </c>
      <c r="BH171" s="59" t="e">
        <f t="shared" si="116"/>
        <v>#NUM!</v>
      </c>
      <c r="BI171" s="59">
        <f ca="1">AVERAGE(OFFSET($BH$3,0,0,'Données projet'!$E$11+1,1))-AVERAGE(OFFSET($H$3,0,0,'Données projet'!$E$11+1,1))</f>
        <v>112.82287576550925</v>
      </c>
      <c r="BJ171" s="59">
        <f t="shared" si="146"/>
        <v>317.78570695363294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3.2078692471295467</v>
      </c>
      <c r="BQ171" s="21">
        <f>EXP(-LN(2)/25)*BQ170+(1-EXP(-LN(2)/25))/(LN(2)/25)*Calculateur!BL171*Calculateur!BN171*VLOOKUP('Données projet'!$B$11,Paramètres!$A$1:$I$89,3,0)*0.475*44/12</f>
        <v>0.21199508077396897</v>
      </c>
      <c r="BR171" s="21">
        <f>EXP(-LN(2)/2)*BR170+(1-EXP(-LN(2)/2))/(LN(2)/2)*BL171*BO171*VLOOKUP('Données projet'!$B$11,Paramètres!$A$1:$I$89,3,0)*0.475*44/12</f>
        <v>9.704495639158811E-22</v>
      </c>
      <c r="BS171" s="22">
        <f t="shared" si="169"/>
        <v>3.4198643279035155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>
        <f>BY171*VLOOKUP('Données projet'!$B$12,Paramètres!$A$1:$I$89,3,0)*VLOOKUP('Données projet'!$B$12,Paramètres!$A$1:$I$89,5,0)</f>
        <v>0</v>
      </c>
      <c r="CA171" s="13" t="e">
        <f t="shared" si="170"/>
        <v>#NUM!</v>
      </c>
      <c r="CB171" s="20" t="e">
        <f t="shared" si="171"/>
        <v>#NUM!</v>
      </c>
      <c r="CC171" s="59" t="e">
        <f t="shared" si="119"/>
        <v>#NUM!</v>
      </c>
      <c r="CD171" s="59">
        <f ca="1">AVERAGE(OFFSET($CC$3,0,0,'Données projet'!$E$12+1,1))-AVERAGE(OFFSET($H$3,0,0,'Données projet'!$E$12+1,1))</f>
        <v>112.82287576550925</v>
      </c>
      <c r="CE171" s="59">
        <f t="shared" si="148"/>
        <v>317.78570695363294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>
        <f>EXP(-LN(2)/35)*CK170+(1-EXP(-LN(2)/35))/(LN(2)/35)*CG171*CH171*VLOOKUP('Données projet'!$B$12,Paramètres!$A$1:$I$89,3,0)*0.475*44/12</f>
        <v>3.2078692471295467</v>
      </c>
      <c r="CL171" s="21">
        <f>EXP(-LN(2)/25)*CL170+(1-EXP(-LN(2)/25))/(LN(2)/25)*Calculateur!CG171*Calculateur!CI171*VLOOKUP('Données projet'!$B$12,Paramètres!$A$1:$I$89,3,0)*0.475*44/12</f>
        <v>0.21199508077396897</v>
      </c>
      <c r="CM171" s="21">
        <f>EXP(-LN(2)/2)*CM170+(1-EXP(-LN(2)/2))/(LN(2)/2)*CG171*CJ171*VLOOKUP('Données projet'!$B$12,Paramètres!$A$1:$I$89,3,0)*0.475*44/12</f>
        <v>9.704495639158811E-22</v>
      </c>
      <c r="CN171" s="22">
        <f t="shared" si="172"/>
        <v>3.4198643279035155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5">
      <c r="A172" s="10">
        <f t="shared" si="161"/>
        <v>169</v>
      </c>
      <c r="B172" s="73">
        <f>'Scénario référence'!$B$16*5+'Scénario référence'!$B$17*0+'Scénario référence'!$B$18*5</f>
        <v>5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1">
        <f t="shared" si="140"/>
        <v>0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2" s="11">
        <f>IF(OR('Scénario référence'!$F$8&gt;0,'Scénario référence'!$F$9&gt;0),('Scénario référence'!$F$8+'Scénario référence'!$F$9)*10,0)</f>
        <v>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18.333333333333332</v>
      </c>
      <c r="H172" s="67">
        <f t="shared" si="110"/>
        <v>183.33333333333334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0</v>
      </c>
      <c r="O172" s="13">
        <f>N172*VLOOKUP('Données projet'!$B$9,Paramètres!$A$1:$I$89,3,0)*VLOOKUP('Données projet'!$B$9,Paramètres!$A$1:$I$89,5,0)</f>
        <v>0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112.82287576550925</v>
      </c>
      <c r="T172" s="59">
        <f t="shared" si="142"/>
        <v>317.78570695363294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3.144964887800378</v>
      </c>
      <c r="AA172" s="21">
        <f>EXP(-LN(2)/25)*AA171+(1-EXP(-LN(2)/25))/(LN(2)/25)*Calculateur!V172*Calculateur!X172*VLOOKUP('Données projet'!$B$9,Paramètres!$A$1:$I$89,3,0)*0.475*44/12</f>
        <v>0.206198064141868</v>
      </c>
      <c r="AB172" s="21">
        <f>EXP(-LN(2)/2)*AB171+(1-EXP(-LN(2)/2))/(LN(2)/2)*V172*Y172*VLOOKUP('Données projet'!$B$9,Paramètres!$A$1:$I$89,3,0)*0.475*44/12</f>
        <v>6.8621146744444741E-22</v>
      </c>
      <c r="AC172" s="22">
        <f t="shared" si="163"/>
        <v>3.3511629519422459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0</v>
      </c>
      <c r="AJ172" s="13">
        <f>AI172*VLOOKUP('Données projet'!$B$10,Paramètres!$A$1:$I$89,3,0)*VLOOKUP('Données projet'!$B$10,Paramètres!$A$1:$I$89,5,0)</f>
        <v>0</v>
      </c>
      <c r="AK172" s="13" t="e">
        <f t="shared" si="164"/>
        <v>#NUM!</v>
      </c>
      <c r="AL172" s="20" t="e">
        <f t="shared" si="165"/>
        <v>#NUM!</v>
      </c>
      <c r="AM172" s="59" t="e">
        <f t="shared" si="113"/>
        <v>#NUM!</v>
      </c>
      <c r="AN172" s="59">
        <f ca="1">AVERAGE(OFFSET($AM$3,0,0,'Données projet'!$E$10+1,1))-AVERAGE(OFFSET($H$3,0,0,'Données projet'!$E$10+1,1))</f>
        <v>112.82287576550925</v>
      </c>
      <c r="AO172" s="59">
        <f t="shared" si="144"/>
        <v>317.78570695363294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3.144964887800378</v>
      </c>
      <c r="AV172" s="21">
        <f>EXP(-LN(2)/25)*AV171+(1-EXP(-LN(2)/25))/(LN(2)/25)*Calculateur!AQ172*Calculateur!AS172*VLOOKUP('Données projet'!$B$10,Paramètres!$A$1:$I$89,3,0)*0.475*44/12</f>
        <v>0.206198064141868</v>
      </c>
      <c r="AW172" s="21">
        <f>EXP(-LN(2)/2)*AW171+(1-EXP(-LN(2)/2))/(LN(2)/2)*AQ172*AT172*VLOOKUP('Données projet'!$B$10,Paramètres!$A$1:$I$89,3,0)*0.475*44/12</f>
        <v>6.8621146744444741E-22</v>
      </c>
      <c r="AX172" s="21">
        <f t="shared" si="166"/>
        <v>3.3511629519422459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0</v>
      </c>
      <c r="BE172" s="13">
        <f>BD172*VLOOKUP('Données projet'!$B$11,Paramètres!$A$1:$I$89,3,0)*VLOOKUP('Données projet'!$B$11,Paramètres!$A$1:$I$89,5,0)</f>
        <v>0</v>
      </c>
      <c r="BF172" s="13" t="e">
        <f t="shared" si="167"/>
        <v>#NUM!</v>
      </c>
      <c r="BG172" s="20" t="e">
        <f t="shared" si="168"/>
        <v>#NUM!</v>
      </c>
      <c r="BH172" s="59" t="e">
        <f t="shared" si="116"/>
        <v>#NUM!</v>
      </c>
      <c r="BI172" s="59">
        <f ca="1">AVERAGE(OFFSET($BH$3,0,0,'Données projet'!$E$11+1,1))-AVERAGE(OFFSET($H$3,0,0,'Données projet'!$E$11+1,1))</f>
        <v>112.82287576550925</v>
      </c>
      <c r="BJ172" s="59">
        <f t="shared" si="146"/>
        <v>317.78570695363294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3.144964887800378</v>
      </c>
      <c r="BQ172" s="21">
        <f>EXP(-LN(2)/25)*BQ171+(1-EXP(-LN(2)/25))/(LN(2)/25)*Calculateur!BL172*Calculateur!BN172*VLOOKUP('Données projet'!$B$11,Paramètres!$A$1:$I$89,3,0)*0.475*44/12</f>
        <v>0.206198064141868</v>
      </c>
      <c r="BR172" s="21">
        <f>EXP(-LN(2)/2)*BR171+(1-EXP(-LN(2)/2))/(LN(2)/2)*BL172*BO172*VLOOKUP('Données projet'!$B$11,Paramètres!$A$1:$I$89,3,0)*0.475*44/12</f>
        <v>6.8621146744444741E-22</v>
      </c>
      <c r="BS172" s="22">
        <f t="shared" si="169"/>
        <v>3.3511629519422459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>
        <f>BY172*VLOOKUP('Données projet'!$B$12,Paramètres!$A$1:$I$89,3,0)*VLOOKUP('Données projet'!$B$12,Paramètres!$A$1:$I$89,5,0)</f>
        <v>0</v>
      </c>
      <c r="CA172" s="13" t="e">
        <f t="shared" si="170"/>
        <v>#NUM!</v>
      </c>
      <c r="CB172" s="20" t="e">
        <f t="shared" si="171"/>
        <v>#NUM!</v>
      </c>
      <c r="CC172" s="59" t="e">
        <f t="shared" si="119"/>
        <v>#NUM!</v>
      </c>
      <c r="CD172" s="59">
        <f ca="1">AVERAGE(OFFSET($CC$3,0,0,'Données projet'!$E$12+1,1))-AVERAGE(OFFSET($H$3,0,0,'Données projet'!$E$12+1,1))</f>
        <v>112.82287576550925</v>
      </c>
      <c r="CE172" s="59">
        <f t="shared" si="148"/>
        <v>317.78570695363294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>
        <f>EXP(-LN(2)/35)*CK171+(1-EXP(-LN(2)/35))/(LN(2)/35)*CG172*CH172*VLOOKUP('Données projet'!$B$12,Paramètres!$A$1:$I$89,3,0)*0.475*44/12</f>
        <v>3.144964887800378</v>
      </c>
      <c r="CL172" s="21">
        <f>EXP(-LN(2)/25)*CL171+(1-EXP(-LN(2)/25))/(LN(2)/25)*Calculateur!CG172*Calculateur!CI172*VLOOKUP('Données projet'!$B$12,Paramètres!$A$1:$I$89,3,0)*0.475*44/12</f>
        <v>0.206198064141868</v>
      </c>
      <c r="CM172" s="21">
        <f>EXP(-LN(2)/2)*CM171+(1-EXP(-LN(2)/2))/(LN(2)/2)*CG172*CJ172*VLOOKUP('Données projet'!$B$12,Paramètres!$A$1:$I$89,3,0)*0.475*44/12</f>
        <v>6.8621146744444741E-22</v>
      </c>
      <c r="CN172" s="22">
        <f t="shared" si="172"/>
        <v>3.3511629519422459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5">
      <c r="A173" s="10">
        <f t="shared" si="161"/>
        <v>170</v>
      </c>
      <c r="B173" s="73">
        <f>'Scénario référence'!$B$16*5+'Scénario référence'!$B$17*0+'Scénario référence'!$B$18*5</f>
        <v>5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1">
        <f t="shared" si="140"/>
        <v>0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3" s="11">
        <f>IF(OR('Scénario référence'!$F$8&gt;0,'Scénario référence'!$F$9&gt;0),('Scénario référence'!$F$8+'Scénario référence'!$F$9)*10,0)</f>
        <v>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18.333333333333332</v>
      </c>
      <c r="H173" s="67">
        <f t="shared" si="110"/>
        <v>183.33333333333334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0</v>
      </c>
      <c r="O173" s="13">
        <f>N173*VLOOKUP('Données projet'!$B$9,Paramètres!$A$1:$I$89,3,0)*VLOOKUP('Données projet'!$B$9,Paramètres!$A$1:$I$89,5,0)</f>
        <v>0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112.82287576550925</v>
      </c>
      <c r="T173" s="59">
        <f t="shared" si="142"/>
        <v>317.78570695363294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3.0832940445897838</v>
      </c>
      <c r="AA173" s="21">
        <f>EXP(-LN(2)/25)*AA172+(1-EXP(-LN(2)/25))/(LN(2)/25)*Calculateur!V173*Calculateur!X173*VLOOKUP('Données projet'!$B$9,Paramètres!$A$1:$I$89,3,0)*0.475*44/12</f>
        <v>0.2005595672344237</v>
      </c>
      <c r="AB173" s="21">
        <f>EXP(-LN(2)/2)*AB172+(1-EXP(-LN(2)/2))/(LN(2)/2)*V173*Y173*VLOOKUP('Données projet'!$B$9,Paramètres!$A$1:$I$89,3,0)*0.475*44/12</f>
        <v>4.8522478195794055E-22</v>
      </c>
      <c r="AC173" s="22">
        <f t="shared" si="163"/>
        <v>3.2838536118242074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0</v>
      </c>
      <c r="AJ173" s="13">
        <f>AI173*VLOOKUP('Données projet'!$B$10,Paramètres!$A$1:$I$89,3,0)*VLOOKUP('Données projet'!$B$10,Paramètres!$A$1:$I$89,5,0)</f>
        <v>0</v>
      </c>
      <c r="AK173" s="13" t="e">
        <f t="shared" si="164"/>
        <v>#NUM!</v>
      </c>
      <c r="AL173" s="20" t="e">
        <f t="shared" si="165"/>
        <v>#NUM!</v>
      </c>
      <c r="AM173" s="59" t="e">
        <f t="shared" si="113"/>
        <v>#NUM!</v>
      </c>
      <c r="AN173" s="59">
        <f ca="1">AVERAGE(OFFSET($AM$3,0,0,'Données projet'!$E$10+1,1))-AVERAGE(OFFSET($H$3,0,0,'Données projet'!$E$10+1,1))</f>
        <v>112.82287576550925</v>
      </c>
      <c r="AO173" s="59">
        <f t="shared" si="144"/>
        <v>317.78570695363294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3.0832940445897838</v>
      </c>
      <c r="AV173" s="21">
        <f>EXP(-LN(2)/25)*AV172+(1-EXP(-LN(2)/25))/(LN(2)/25)*Calculateur!AQ173*Calculateur!AS173*VLOOKUP('Données projet'!$B$10,Paramètres!$A$1:$I$89,3,0)*0.475*44/12</f>
        <v>0.2005595672344237</v>
      </c>
      <c r="AW173" s="21">
        <f>EXP(-LN(2)/2)*AW172+(1-EXP(-LN(2)/2))/(LN(2)/2)*AQ173*AT173*VLOOKUP('Données projet'!$B$10,Paramètres!$A$1:$I$89,3,0)*0.475*44/12</f>
        <v>4.8522478195794055E-22</v>
      </c>
      <c r="AX173" s="21">
        <f t="shared" si="166"/>
        <v>3.2838536118242074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0</v>
      </c>
      <c r="BE173" s="13">
        <f>BD173*VLOOKUP('Données projet'!$B$11,Paramètres!$A$1:$I$89,3,0)*VLOOKUP('Données projet'!$B$11,Paramètres!$A$1:$I$89,5,0)</f>
        <v>0</v>
      </c>
      <c r="BF173" s="13" t="e">
        <f t="shared" si="167"/>
        <v>#NUM!</v>
      </c>
      <c r="BG173" s="20" t="e">
        <f t="shared" si="168"/>
        <v>#NUM!</v>
      </c>
      <c r="BH173" s="59" t="e">
        <f t="shared" si="116"/>
        <v>#NUM!</v>
      </c>
      <c r="BI173" s="59">
        <f ca="1">AVERAGE(OFFSET($BH$3,0,0,'Données projet'!$E$11+1,1))-AVERAGE(OFFSET($H$3,0,0,'Données projet'!$E$11+1,1))</f>
        <v>112.82287576550925</v>
      </c>
      <c r="BJ173" s="59">
        <f t="shared" si="146"/>
        <v>317.78570695363294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3.0832940445897838</v>
      </c>
      <c r="BQ173" s="21">
        <f>EXP(-LN(2)/25)*BQ172+(1-EXP(-LN(2)/25))/(LN(2)/25)*Calculateur!BL173*Calculateur!BN173*VLOOKUP('Données projet'!$B$11,Paramètres!$A$1:$I$89,3,0)*0.475*44/12</f>
        <v>0.2005595672344237</v>
      </c>
      <c r="BR173" s="21">
        <f>EXP(-LN(2)/2)*BR172+(1-EXP(-LN(2)/2))/(LN(2)/2)*BL173*BO173*VLOOKUP('Données projet'!$B$11,Paramètres!$A$1:$I$89,3,0)*0.475*44/12</f>
        <v>4.8522478195794055E-22</v>
      </c>
      <c r="BS173" s="22">
        <f t="shared" si="169"/>
        <v>3.2838536118242074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>
        <f>BY173*VLOOKUP('Données projet'!$B$12,Paramètres!$A$1:$I$89,3,0)*VLOOKUP('Données projet'!$B$12,Paramètres!$A$1:$I$89,5,0)</f>
        <v>0</v>
      </c>
      <c r="CA173" s="13" t="e">
        <f t="shared" si="170"/>
        <v>#NUM!</v>
      </c>
      <c r="CB173" s="20" t="e">
        <f t="shared" si="171"/>
        <v>#NUM!</v>
      </c>
      <c r="CC173" s="59" t="e">
        <f t="shared" si="119"/>
        <v>#NUM!</v>
      </c>
      <c r="CD173" s="59">
        <f ca="1">AVERAGE(OFFSET($CC$3,0,0,'Données projet'!$E$12+1,1))-AVERAGE(OFFSET($H$3,0,0,'Données projet'!$E$12+1,1))</f>
        <v>112.82287576550925</v>
      </c>
      <c r="CE173" s="59">
        <f t="shared" si="148"/>
        <v>317.78570695363294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>
        <f>EXP(-LN(2)/35)*CK172+(1-EXP(-LN(2)/35))/(LN(2)/35)*CG173*CH173*VLOOKUP('Données projet'!$B$12,Paramètres!$A$1:$I$89,3,0)*0.475*44/12</f>
        <v>3.0832940445897838</v>
      </c>
      <c r="CL173" s="21">
        <f>EXP(-LN(2)/25)*CL172+(1-EXP(-LN(2)/25))/(LN(2)/25)*Calculateur!CG173*Calculateur!CI173*VLOOKUP('Données projet'!$B$12,Paramètres!$A$1:$I$89,3,0)*0.475*44/12</f>
        <v>0.2005595672344237</v>
      </c>
      <c r="CM173" s="21">
        <f>EXP(-LN(2)/2)*CM172+(1-EXP(-LN(2)/2))/(LN(2)/2)*CG173*CJ173*VLOOKUP('Données projet'!$B$12,Paramètres!$A$1:$I$89,3,0)*0.475*44/12</f>
        <v>4.8522478195794055E-22</v>
      </c>
      <c r="CN173" s="22">
        <f t="shared" si="172"/>
        <v>3.2838536118242074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5">
      <c r="A174" s="10">
        <f t="shared" si="161"/>
        <v>171</v>
      </c>
      <c r="B174" s="73">
        <f>'Scénario référence'!$B$16*5+'Scénario référence'!$B$17*0+'Scénario référence'!$B$18*5</f>
        <v>5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1">
        <f t="shared" si="140"/>
        <v>0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4" s="11">
        <f>IF(OR('Scénario référence'!$F$8&gt;0,'Scénario référence'!$F$9&gt;0),('Scénario référence'!$F$8+'Scénario référence'!$F$9)*10,0)</f>
        <v>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18.333333333333332</v>
      </c>
      <c r="H174" s="67">
        <f t="shared" si="110"/>
        <v>183.33333333333334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0</v>
      </c>
      <c r="O174" s="13">
        <f>N174*VLOOKUP('Données projet'!$B$9,Paramètres!$A$1:$I$89,3,0)*VLOOKUP('Données projet'!$B$9,Paramètres!$A$1:$I$89,5,0)</f>
        <v>0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112.82287576550925</v>
      </c>
      <c r="T174" s="59">
        <f t="shared" si="142"/>
        <v>317.78570695363294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3.0228325289990492</v>
      </c>
      <c r="AA174" s="21">
        <f>EXP(-LN(2)/25)*AA173+(1-EXP(-LN(2)/25))/(LN(2)/25)*Calculateur!V174*Calculateur!X174*VLOOKUP('Données projet'!$B$9,Paramètres!$A$1:$I$89,3,0)*0.475*44/12</f>
        <v>0.19507525532142914</v>
      </c>
      <c r="AB174" s="21">
        <f>EXP(-LN(2)/2)*AB173+(1-EXP(-LN(2)/2))/(LN(2)/2)*V174*Y174*VLOOKUP('Données projet'!$B$9,Paramètres!$A$1:$I$89,3,0)*0.475*44/12</f>
        <v>3.431057337222237E-22</v>
      </c>
      <c r="AC174" s="22">
        <f t="shared" si="163"/>
        <v>3.2179077843204782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0</v>
      </c>
      <c r="AJ174" s="13">
        <f>AI174*VLOOKUP('Données projet'!$B$10,Paramètres!$A$1:$I$89,3,0)*VLOOKUP('Données projet'!$B$10,Paramètres!$A$1:$I$89,5,0)</f>
        <v>0</v>
      </c>
      <c r="AK174" s="13" t="e">
        <f t="shared" si="164"/>
        <v>#NUM!</v>
      </c>
      <c r="AL174" s="20" t="e">
        <f t="shared" si="165"/>
        <v>#NUM!</v>
      </c>
      <c r="AM174" s="59" t="e">
        <f t="shared" si="113"/>
        <v>#NUM!</v>
      </c>
      <c r="AN174" s="59">
        <f ca="1">AVERAGE(OFFSET($AM$3,0,0,'Données projet'!$E$10+1,1))-AVERAGE(OFFSET($H$3,0,0,'Données projet'!$E$10+1,1))</f>
        <v>112.82287576550925</v>
      </c>
      <c r="AO174" s="59">
        <f t="shared" si="144"/>
        <v>317.78570695363294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3.0228325289990492</v>
      </c>
      <c r="AV174" s="21">
        <f>EXP(-LN(2)/25)*AV173+(1-EXP(-LN(2)/25))/(LN(2)/25)*Calculateur!AQ174*Calculateur!AS174*VLOOKUP('Données projet'!$B$10,Paramètres!$A$1:$I$89,3,0)*0.475*44/12</f>
        <v>0.19507525532142914</v>
      </c>
      <c r="AW174" s="21">
        <f>EXP(-LN(2)/2)*AW173+(1-EXP(-LN(2)/2))/(LN(2)/2)*AQ174*AT174*VLOOKUP('Données projet'!$B$10,Paramètres!$A$1:$I$89,3,0)*0.475*44/12</f>
        <v>3.431057337222237E-22</v>
      </c>
      <c r="AX174" s="21">
        <f t="shared" si="166"/>
        <v>3.2179077843204782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0</v>
      </c>
      <c r="BE174" s="13">
        <f>BD174*VLOOKUP('Données projet'!$B$11,Paramètres!$A$1:$I$89,3,0)*VLOOKUP('Données projet'!$B$11,Paramètres!$A$1:$I$89,5,0)</f>
        <v>0</v>
      </c>
      <c r="BF174" s="13" t="e">
        <f t="shared" si="167"/>
        <v>#NUM!</v>
      </c>
      <c r="BG174" s="20" t="e">
        <f t="shared" si="168"/>
        <v>#NUM!</v>
      </c>
      <c r="BH174" s="59" t="e">
        <f t="shared" si="116"/>
        <v>#NUM!</v>
      </c>
      <c r="BI174" s="59">
        <f ca="1">AVERAGE(OFFSET($BH$3,0,0,'Données projet'!$E$11+1,1))-AVERAGE(OFFSET($H$3,0,0,'Données projet'!$E$11+1,1))</f>
        <v>112.82287576550925</v>
      </c>
      <c r="BJ174" s="59">
        <f t="shared" si="146"/>
        <v>317.78570695363294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3.0228325289990492</v>
      </c>
      <c r="BQ174" s="21">
        <f>EXP(-LN(2)/25)*BQ173+(1-EXP(-LN(2)/25))/(LN(2)/25)*Calculateur!BL174*Calculateur!BN174*VLOOKUP('Données projet'!$B$11,Paramètres!$A$1:$I$89,3,0)*0.475*44/12</f>
        <v>0.19507525532142914</v>
      </c>
      <c r="BR174" s="21">
        <f>EXP(-LN(2)/2)*BR173+(1-EXP(-LN(2)/2))/(LN(2)/2)*BL174*BO174*VLOOKUP('Données projet'!$B$11,Paramètres!$A$1:$I$89,3,0)*0.475*44/12</f>
        <v>3.431057337222237E-22</v>
      </c>
      <c r="BS174" s="22">
        <f t="shared" si="169"/>
        <v>3.2179077843204782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>
        <f>BY174*VLOOKUP('Données projet'!$B$12,Paramètres!$A$1:$I$89,3,0)*VLOOKUP('Données projet'!$B$12,Paramètres!$A$1:$I$89,5,0)</f>
        <v>0</v>
      </c>
      <c r="CA174" s="13" t="e">
        <f t="shared" si="170"/>
        <v>#NUM!</v>
      </c>
      <c r="CB174" s="20" t="e">
        <f t="shared" si="171"/>
        <v>#NUM!</v>
      </c>
      <c r="CC174" s="59" t="e">
        <f t="shared" si="119"/>
        <v>#NUM!</v>
      </c>
      <c r="CD174" s="59">
        <f ca="1">AVERAGE(OFFSET($CC$3,0,0,'Données projet'!$E$12+1,1))-AVERAGE(OFFSET($H$3,0,0,'Données projet'!$E$12+1,1))</f>
        <v>112.82287576550925</v>
      </c>
      <c r="CE174" s="59">
        <f t="shared" si="148"/>
        <v>317.78570695363294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>
        <f>EXP(-LN(2)/35)*CK173+(1-EXP(-LN(2)/35))/(LN(2)/35)*CG174*CH174*VLOOKUP('Données projet'!$B$12,Paramètres!$A$1:$I$89,3,0)*0.475*44/12</f>
        <v>3.0228325289990492</v>
      </c>
      <c r="CL174" s="21">
        <f>EXP(-LN(2)/25)*CL173+(1-EXP(-LN(2)/25))/(LN(2)/25)*Calculateur!CG174*Calculateur!CI174*VLOOKUP('Données projet'!$B$12,Paramètres!$A$1:$I$89,3,0)*0.475*44/12</f>
        <v>0.19507525532142914</v>
      </c>
      <c r="CM174" s="21">
        <f>EXP(-LN(2)/2)*CM173+(1-EXP(-LN(2)/2))/(LN(2)/2)*CG174*CJ174*VLOOKUP('Données projet'!$B$12,Paramètres!$A$1:$I$89,3,0)*0.475*44/12</f>
        <v>3.431057337222237E-22</v>
      </c>
      <c r="CN174" s="22">
        <f t="shared" si="172"/>
        <v>3.2179077843204782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5">
      <c r="A175" s="10">
        <f t="shared" si="161"/>
        <v>172</v>
      </c>
      <c r="B175" s="73">
        <f>'Scénario référence'!$B$16*5+'Scénario référence'!$B$17*0+'Scénario référence'!$B$18*5</f>
        <v>5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1">
        <f t="shared" si="140"/>
        <v>0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5" s="11">
        <f>IF(OR('Scénario référence'!$F$8&gt;0,'Scénario référence'!$F$9&gt;0),('Scénario référence'!$F$8+'Scénario référence'!$F$9)*10,0)</f>
        <v>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18.333333333333332</v>
      </c>
      <c r="H175" s="67">
        <f t="shared" si="110"/>
        <v>183.33333333333334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0</v>
      </c>
      <c r="O175" s="13">
        <f>N175*VLOOKUP('Données projet'!$B$9,Paramètres!$A$1:$I$89,3,0)*VLOOKUP('Données projet'!$B$9,Paramètres!$A$1:$I$89,5,0)</f>
        <v>0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112.82287576550925</v>
      </c>
      <c r="T175" s="59">
        <f t="shared" si="142"/>
        <v>317.78570695363294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2.9635566268511657</v>
      </c>
      <c r="AA175" s="21">
        <f>EXP(-LN(2)/25)*AA174+(1-EXP(-LN(2)/25))/(LN(2)/25)*Calculateur!V175*Calculateur!X175*VLOOKUP('Données projet'!$B$9,Paramètres!$A$1:$I$89,3,0)*0.475*44/12</f>
        <v>0.18974091220610284</v>
      </c>
      <c r="AB175" s="21">
        <f>EXP(-LN(2)/2)*AB174+(1-EXP(-LN(2)/2))/(LN(2)/2)*V175*Y175*VLOOKUP('Données projet'!$B$9,Paramètres!$A$1:$I$89,3,0)*0.475*44/12</f>
        <v>2.4261239097897028E-22</v>
      </c>
      <c r="AC175" s="22">
        <f t="shared" si="163"/>
        <v>3.1532975390572684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0</v>
      </c>
      <c r="AJ175" s="13">
        <f>AI175*VLOOKUP('Données projet'!$B$10,Paramètres!$A$1:$I$89,3,0)*VLOOKUP('Données projet'!$B$10,Paramètres!$A$1:$I$89,5,0)</f>
        <v>0</v>
      </c>
      <c r="AK175" s="13" t="e">
        <f t="shared" si="164"/>
        <v>#NUM!</v>
      </c>
      <c r="AL175" s="20" t="e">
        <f t="shared" si="165"/>
        <v>#NUM!</v>
      </c>
      <c r="AM175" s="59" t="e">
        <f t="shared" si="113"/>
        <v>#NUM!</v>
      </c>
      <c r="AN175" s="59">
        <f ca="1">AVERAGE(OFFSET($AM$3,0,0,'Données projet'!$E$10+1,1))-AVERAGE(OFFSET($H$3,0,0,'Données projet'!$E$10+1,1))</f>
        <v>112.82287576550925</v>
      </c>
      <c r="AO175" s="59">
        <f t="shared" si="144"/>
        <v>317.78570695363294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2.9635566268511657</v>
      </c>
      <c r="AV175" s="21">
        <f>EXP(-LN(2)/25)*AV174+(1-EXP(-LN(2)/25))/(LN(2)/25)*Calculateur!AQ175*Calculateur!AS175*VLOOKUP('Données projet'!$B$10,Paramètres!$A$1:$I$89,3,0)*0.475*44/12</f>
        <v>0.18974091220610284</v>
      </c>
      <c r="AW175" s="21">
        <f>EXP(-LN(2)/2)*AW174+(1-EXP(-LN(2)/2))/(LN(2)/2)*AQ175*AT175*VLOOKUP('Données projet'!$B$10,Paramètres!$A$1:$I$89,3,0)*0.475*44/12</f>
        <v>2.4261239097897028E-22</v>
      </c>
      <c r="AX175" s="21">
        <f t="shared" si="166"/>
        <v>3.1532975390572684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0</v>
      </c>
      <c r="BE175" s="13">
        <f>BD175*VLOOKUP('Données projet'!$B$11,Paramètres!$A$1:$I$89,3,0)*VLOOKUP('Données projet'!$B$11,Paramètres!$A$1:$I$89,5,0)</f>
        <v>0</v>
      </c>
      <c r="BF175" s="13" t="e">
        <f t="shared" si="167"/>
        <v>#NUM!</v>
      </c>
      <c r="BG175" s="20" t="e">
        <f t="shared" si="168"/>
        <v>#NUM!</v>
      </c>
      <c r="BH175" s="59" t="e">
        <f t="shared" si="116"/>
        <v>#NUM!</v>
      </c>
      <c r="BI175" s="59">
        <f ca="1">AVERAGE(OFFSET($BH$3,0,0,'Données projet'!$E$11+1,1))-AVERAGE(OFFSET($H$3,0,0,'Données projet'!$E$11+1,1))</f>
        <v>112.82287576550925</v>
      </c>
      <c r="BJ175" s="59">
        <f t="shared" si="146"/>
        <v>317.78570695363294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2.9635566268511657</v>
      </c>
      <c r="BQ175" s="21">
        <f>EXP(-LN(2)/25)*BQ174+(1-EXP(-LN(2)/25))/(LN(2)/25)*Calculateur!BL175*Calculateur!BN175*VLOOKUP('Données projet'!$B$11,Paramètres!$A$1:$I$89,3,0)*0.475*44/12</f>
        <v>0.18974091220610284</v>
      </c>
      <c r="BR175" s="21">
        <f>EXP(-LN(2)/2)*BR174+(1-EXP(-LN(2)/2))/(LN(2)/2)*BL175*BO175*VLOOKUP('Données projet'!$B$11,Paramètres!$A$1:$I$89,3,0)*0.475*44/12</f>
        <v>2.4261239097897028E-22</v>
      </c>
      <c r="BS175" s="22">
        <f t="shared" si="169"/>
        <v>3.1532975390572684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>
        <f>BY175*VLOOKUP('Données projet'!$B$12,Paramètres!$A$1:$I$89,3,0)*VLOOKUP('Données projet'!$B$12,Paramètres!$A$1:$I$89,5,0)</f>
        <v>0</v>
      </c>
      <c r="CA175" s="13" t="e">
        <f t="shared" si="170"/>
        <v>#NUM!</v>
      </c>
      <c r="CB175" s="20" t="e">
        <f t="shared" si="171"/>
        <v>#NUM!</v>
      </c>
      <c r="CC175" s="59" t="e">
        <f t="shared" si="119"/>
        <v>#NUM!</v>
      </c>
      <c r="CD175" s="59">
        <f ca="1">AVERAGE(OFFSET($CC$3,0,0,'Données projet'!$E$12+1,1))-AVERAGE(OFFSET($H$3,0,0,'Données projet'!$E$12+1,1))</f>
        <v>112.82287576550925</v>
      </c>
      <c r="CE175" s="59">
        <f t="shared" si="148"/>
        <v>317.78570695363294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>
        <f>EXP(-LN(2)/35)*CK174+(1-EXP(-LN(2)/35))/(LN(2)/35)*CG175*CH175*VLOOKUP('Données projet'!$B$12,Paramètres!$A$1:$I$89,3,0)*0.475*44/12</f>
        <v>2.9635566268511657</v>
      </c>
      <c r="CL175" s="21">
        <f>EXP(-LN(2)/25)*CL174+(1-EXP(-LN(2)/25))/(LN(2)/25)*Calculateur!CG175*Calculateur!CI175*VLOOKUP('Données projet'!$B$12,Paramètres!$A$1:$I$89,3,0)*0.475*44/12</f>
        <v>0.18974091220610284</v>
      </c>
      <c r="CM175" s="21">
        <f>EXP(-LN(2)/2)*CM174+(1-EXP(-LN(2)/2))/(LN(2)/2)*CG175*CJ175*VLOOKUP('Données projet'!$B$12,Paramètres!$A$1:$I$89,3,0)*0.475*44/12</f>
        <v>2.4261239097897028E-22</v>
      </c>
      <c r="CN175" s="22">
        <f t="shared" si="172"/>
        <v>3.1532975390572684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5">
      <c r="A176" s="10">
        <f t="shared" si="161"/>
        <v>173</v>
      </c>
      <c r="B176" s="73">
        <f>'Scénario référence'!$B$16*5+'Scénario référence'!$B$17*0+'Scénario référence'!$B$18*5</f>
        <v>5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1">
        <f t="shared" si="140"/>
        <v>0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6" s="11">
        <f>IF(OR('Scénario référence'!$F$8&gt;0,'Scénario référence'!$F$9&gt;0),('Scénario référence'!$F$8+'Scénario référence'!$F$9)*10,0)</f>
        <v>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18.333333333333332</v>
      </c>
      <c r="H176" s="67">
        <f t="shared" si="110"/>
        <v>183.33333333333334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0</v>
      </c>
      <c r="O176" s="13">
        <f>N176*VLOOKUP('Données projet'!$B$9,Paramètres!$A$1:$I$89,3,0)*VLOOKUP('Données projet'!$B$9,Paramètres!$A$1:$I$89,5,0)</f>
        <v>0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112.82287576550925</v>
      </c>
      <c r="T176" s="59">
        <f t="shared" si="142"/>
        <v>317.78570695363294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2.9054430889896721</v>
      </c>
      <c r="AA176" s="21">
        <f>EXP(-LN(2)/25)*AA175+(1-EXP(-LN(2)/25))/(LN(2)/25)*Calculateur!V176*Calculateur!X176*VLOOKUP('Données projet'!$B$9,Paramètres!$A$1:$I$89,3,0)*0.475*44/12</f>
        <v>0.18455243698378604</v>
      </c>
      <c r="AB176" s="21">
        <f>EXP(-LN(2)/2)*AB175+(1-EXP(-LN(2)/2))/(LN(2)/2)*V176*Y176*VLOOKUP('Données projet'!$B$9,Paramètres!$A$1:$I$89,3,0)*0.475*44/12</f>
        <v>1.7155286686111185E-22</v>
      </c>
      <c r="AC176" s="22">
        <f t="shared" si="163"/>
        <v>3.0899955259734582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0</v>
      </c>
      <c r="AJ176" s="13">
        <f>AI176*VLOOKUP('Données projet'!$B$10,Paramètres!$A$1:$I$89,3,0)*VLOOKUP('Données projet'!$B$10,Paramètres!$A$1:$I$89,5,0)</f>
        <v>0</v>
      </c>
      <c r="AK176" s="13" t="e">
        <f t="shared" si="164"/>
        <v>#NUM!</v>
      </c>
      <c r="AL176" s="20" t="e">
        <f t="shared" si="165"/>
        <v>#NUM!</v>
      </c>
      <c r="AM176" s="59" t="e">
        <f t="shared" si="113"/>
        <v>#NUM!</v>
      </c>
      <c r="AN176" s="59">
        <f ca="1">AVERAGE(OFFSET($AM$3,0,0,'Données projet'!$E$10+1,1))-AVERAGE(OFFSET($H$3,0,0,'Données projet'!$E$10+1,1))</f>
        <v>112.82287576550925</v>
      </c>
      <c r="AO176" s="59">
        <f t="shared" si="144"/>
        <v>317.78570695363294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2.9054430889896721</v>
      </c>
      <c r="AV176" s="21">
        <f>EXP(-LN(2)/25)*AV175+(1-EXP(-LN(2)/25))/(LN(2)/25)*Calculateur!AQ176*Calculateur!AS176*VLOOKUP('Données projet'!$B$10,Paramètres!$A$1:$I$89,3,0)*0.475*44/12</f>
        <v>0.18455243698378604</v>
      </c>
      <c r="AW176" s="21">
        <f>EXP(-LN(2)/2)*AW175+(1-EXP(-LN(2)/2))/(LN(2)/2)*AQ176*AT176*VLOOKUP('Données projet'!$B$10,Paramètres!$A$1:$I$89,3,0)*0.475*44/12</f>
        <v>1.7155286686111185E-22</v>
      </c>
      <c r="AX176" s="21">
        <f t="shared" si="166"/>
        <v>3.0899955259734582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0</v>
      </c>
      <c r="BE176" s="13">
        <f>BD176*VLOOKUP('Données projet'!$B$11,Paramètres!$A$1:$I$89,3,0)*VLOOKUP('Données projet'!$B$11,Paramètres!$A$1:$I$89,5,0)</f>
        <v>0</v>
      </c>
      <c r="BF176" s="13" t="e">
        <f t="shared" si="167"/>
        <v>#NUM!</v>
      </c>
      <c r="BG176" s="20" t="e">
        <f t="shared" si="168"/>
        <v>#NUM!</v>
      </c>
      <c r="BH176" s="59" t="e">
        <f t="shared" si="116"/>
        <v>#NUM!</v>
      </c>
      <c r="BI176" s="59">
        <f ca="1">AVERAGE(OFFSET($BH$3,0,0,'Données projet'!$E$11+1,1))-AVERAGE(OFFSET($H$3,0,0,'Données projet'!$E$11+1,1))</f>
        <v>112.82287576550925</v>
      </c>
      <c r="BJ176" s="59">
        <f t="shared" si="146"/>
        <v>317.78570695363294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2.9054430889896721</v>
      </c>
      <c r="BQ176" s="21">
        <f>EXP(-LN(2)/25)*BQ175+(1-EXP(-LN(2)/25))/(LN(2)/25)*Calculateur!BL176*Calculateur!BN176*VLOOKUP('Données projet'!$B$11,Paramètres!$A$1:$I$89,3,0)*0.475*44/12</f>
        <v>0.18455243698378604</v>
      </c>
      <c r="BR176" s="21">
        <f>EXP(-LN(2)/2)*BR175+(1-EXP(-LN(2)/2))/(LN(2)/2)*BL176*BO176*VLOOKUP('Données projet'!$B$11,Paramètres!$A$1:$I$89,3,0)*0.475*44/12</f>
        <v>1.7155286686111185E-22</v>
      </c>
      <c r="BS176" s="22">
        <f t="shared" si="169"/>
        <v>3.0899955259734582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>
        <f>BY176*VLOOKUP('Données projet'!$B$12,Paramètres!$A$1:$I$89,3,0)*VLOOKUP('Données projet'!$B$12,Paramètres!$A$1:$I$89,5,0)</f>
        <v>0</v>
      </c>
      <c r="CA176" s="13" t="e">
        <f t="shared" si="170"/>
        <v>#NUM!</v>
      </c>
      <c r="CB176" s="20" t="e">
        <f t="shared" si="171"/>
        <v>#NUM!</v>
      </c>
      <c r="CC176" s="59" t="e">
        <f t="shared" si="119"/>
        <v>#NUM!</v>
      </c>
      <c r="CD176" s="59">
        <f ca="1">AVERAGE(OFFSET($CC$3,0,0,'Données projet'!$E$12+1,1))-AVERAGE(OFFSET($H$3,0,0,'Données projet'!$E$12+1,1))</f>
        <v>112.82287576550925</v>
      </c>
      <c r="CE176" s="59">
        <f t="shared" si="148"/>
        <v>317.78570695363294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>
        <f>EXP(-LN(2)/35)*CK175+(1-EXP(-LN(2)/35))/(LN(2)/35)*CG176*CH176*VLOOKUP('Données projet'!$B$12,Paramètres!$A$1:$I$89,3,0)*0.475*44/12</f>
        <v>2.9054430889896721</v>
      </c>
      <c r="CL176" s="21">
        <f>EXP(-LN(2)/25)*CL175+(1-EXP(-LN(2)/25))/(LN(2)/25)*Calculateur!CG176*Calculateur!CI176*VLOOKUP('Données projet'!$B$12,Paramètres!$A$1:$I$89,3,0)*0.475*44/12</f>
        <v>0.18455243698378604</v>
      </c>
      <c r="CM176" s="21">
        <f>EXP(-LN(2)/2)*CM175+(1-EXP(-LN(2)/2))/(LN(2)/2)*CG176*CJ176*VLOOKUP('Données projet'!$B$12,Paramètres!$A$1:$I$89,3,0)*0.475*44/12</f>
        <v>1.7155286686111185E-22</v>
      </c>
      <c r="CN176" s="22">
        <f t="shared" si="172"/>
        <v>3.0899955259734582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5">
      <c r="A177" s="10">
        <f t="shared" si="161"/>
        <v>174</v>
      </c>
      <c r="B177" s="73">
        <f>'Scénario référence'!$B$16*5+'Scénario référence'!$B$17*0+'Scénario référence'!$B$18*5</f>
        <v>5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1">
        <f t="shared" si="140"/>
        <v>0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7" s="11">
        <f>IF(OR('Scénario référence'!$F$8&gt;0,'Scénario référence'!$F$9&gt;0),('Scénario référence'!$F$8+'Scénario référence'!$F$9)*10,0)</f>
        <v>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18.333333333333332</v>
      </c>
      <c r="H177" s="67">
        <f t="shared" si="110"/>
        <v>183.33333333333334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0</v>
      </c>
      <c r="O177" s="13">
        <f>N177*VLOOKUP('Données projet'!$B$9,Paramètres!$A$1:$I$89,3,0)*VLOOKUP('Données projet'!$B$9,Paramètres!$A$1:$I$89,5,0)</f>
        <v>0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112.82287576550925</v>
      </c>
      <c r="T177" s="59">
        <f t="shared" si="142"/>
        <v>317.78570695363294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2.8484691221598841</v>
      </c>
      <c r="AA177" s="21">
        <f>EXP(-LN(2)/25)*AA176+(1-EXP(-LN(2)/25))/(LN(2)/25)*Calculateur!V177*Calculateur!X177*VLOOKUP('Données projet'!$B$9,Paramètres!$A$1:$I$89,3,0)*0.475*44/12</f>
        <v>0.17950584088927354</v>
      </c>
      <c r="AB177" s="21">
        <f>EXP(-LN(2)/2)*AB176+(1-EXP(-LN(2)/2))/(LN(2)/2)*V177*Y177*VLOOKUP('Données projet'!$B$9,Paramètres!$A$1:$I$89,3,0)*0.475*44/12</f>
        <v>1.2130619548948514E-22</v>
      </c>
      <c r="AC177" s="22">
        <f t="shared" si="163"/>
        <v>3.0279749630491577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0</v>
      </c>
      <c r="AJ177" s="13">
        <f>AI177*VLOOKUP('Données projet'!$B$10,Paramètres!$A$1:$I$89,3,0)*VLOOKUP('Données projet'!$B$10,Paramètres!$A$1:$I$89,5,0)</f>
        <v>0</v>
      </c>
      <c r="AK177" s="13" t="e">
        <f t="shared" si="164"/>
        <v>#NUM!</v>
      </c>
      <c r="AL177" s="20" t="e">
        <f t="shared" si="165"/>
        <v>#NUM!</v>
      </c>
      <c r="AM177" s="59" t="e">
        <f t="shared" si="113"/>
        <v>#NUM!</v>
      </c>
      <c r="AN177" s="59">
        <f ca="1">AVERAGE(OFFSET($AM$3,0,0,'Données projet'!$E$10+1,1))-AVERAGE(OFFSET($H$3,0,0,'Données projet'!$E$10+1,1))</f>
        <v>112.82287576550925</v>
      </c>
      <c r="AO177" s="59">
        <f t="shared" si="144"/>
        <v>317.78570695363294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2.8484691221598841</v>
      </c>
      <c r="AV177" s="21">
        <f>EXP(-LN(2)/25)*AV176+(1-EXP(-LN(2)/25))/(LN(2)/25)*Calculateur!AQ177*Calculateur!AS177*VLOOKUP('Données projet'!$B$10,Paramètres!$A$1:$I$89,3,0)*0.475*44/12</f>
        <v>0.17950584088927354</v>
      </c>
      <c r="AW177" s="21">
        <f>EXP(-LN(2)/2)*AW176+(1-EXP(-LN(2)/2))/(LN(2)/2)*AQ177*AT177*VLOOKUP('Données projet'!$B$10,Paramètres!$A$1:$I$89,3,0)*0.475*44/12</f>
        <v>1.2130619548948514E-22</v>
      </c>
      <c r="AX177" s="21">
        <f t="shared" si="166"/>
        <v>3.0279749630491577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0</v>
      </c>
      <c r="BE177" s="13">
        <f>BD177*VLOOKUP('Données projet'!$B$11,Paramètres!$A$1:$I$89,3,0)*VLOOKUP('Données projet'!$B$11,Paramètres!$A$1:$I$89,5,0)</f>
        <v>0</v>
      </c>
      <c r="BF177" s="13" t="e">
        <f t="shared" si="167"/>
        <v>#NUM!</v>
      </c>
      <c r="BG177" s="20" t="e">
        <f t="shared" si="168"/>
        <v>#NUM!</v>
      </c>
      <c r="BH177" s="59" t="e">
        <f t="shared" si="116"/>
        <v>#NUM!</v>
      </c>
      <c r="BI177" s="59">
        <f ca="1">AVERAGE(OFFSET($BH$3,0,0,'Données projet'!$E$11+1,1))-AVERAGE(OFFSET($H$3,0,0,'Données projet'!$E$11+1,1))</f>
        <v>112.82287576550925</v>
      </c>
      <c r="BJ177" s="59">
        <f t="shared" si="146"/>
        <v>317.78570695363294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2.8484691221598841</v>
      </c>
      <c r="BQ177" s="21">
        <f>EXP(-LN(2)/25)*BQ176+(1-EXP(-LN(2)/25))/(LN(2)/25)*Calculateur!BL177*Calculateur!BN177*VLOOKUP('Données projet'!$B$11,Paramètres!$A$1:$I$89,3,0)*0.475*44/12</f>
        <v>0.17950584088927354</v>
      </c>
      <c r="BR177" s="21">
        <f>EXP(-LN(2)/2)*BR176+(1-EXP(-LN(2)/2))/(LN(2)/2)*BL177*BO177*VLOOKUP('Données projet'!$B$11,Paramètres!$A$1:$I$89,3,0)*0.475*44/12</f>
        <v>1.2130619548948514E-22</v>
      </c>
      <c r="BS177" s="22">
        <f t="shared" si="169"/>
        <v>3.0279749630491577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>
        <f>BY177*VLOOKUP('Données projet'!$B$12,Paramètres!$A$1:$I$89,3,0)*VLOOKUP('Données projet'!$B$12,Paramètres!$A$1:$I$89,5,0)</f>
        <v>0</v>
      </c>
      <c r="CA177" s="13" t="e">
        <f t="shared" si="170"/>
        <v>#NUM!</v>
      </c>
      <c r="CB177" s="20" t="e">
        <f t="shared" si="171"/>
        <v>#NUM!</v>
      </c>
      <c r="CC177" s="59" t="e">
        <f t="shared" si="119"/>
        <v>#NUM!</v>
      </c>
      <c r="CD177" s="59">
        <f ca="1">AVERAGE(OFFSET($CC$3,0,0,'Données projet'!$E$12+1,1))-AVERAGE(OFFSET($H$3,0,0,'Données projet'!$E$12+1,1))</f>
        <v>112.82287576550925</v>
      </c>
      <c r="CE177" s="59">
        <f t="shared" si="148"/>
        <v>317.78570695363294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>
        <f>EXP(-LN(2)/35)*CK176+(1-EXP(-LN(2)/35))/(LN(2)/35)*CG177*CH177*VLOOKUP('Données projet'!$B$12,Paramètres!$A$1:$I$89,3,0)*0.475*44/12</f>
        <v>2.8484691221598841</v>
      </c>
      <c r="CL177" s="21">
        <f>EXP(-LN(2)/25)*CL176+(1-EXP(-LN(2)/25))/(LN(2)/25)*Calculateur!CG177*Calculateur!CI177*VLOOKUP('Données projet'!$B$12,Paramètres!$A$1:$I$89,3,0)*0.475*44/12</f>
        <v>0.17950584088927354</v>
      </c>
      <c r="CM177" s="21">
        <f>EXP(-LN(2)/2)*CM176+(1-EXP(-LN(2)/2))/(LN(2)/2)*CG177*CJ177*VLOOKUP('Données projet'!$B$12,Paramètres!$A$1:$I$89,3,0)*0.475*44/12</f>
        <v>1.2130619548948514E-22</v>
      </c>
      <c r="CN177" s="22">
        <f t="shared" si="172"/>
        <v>3.0279749630491577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5">
      <c r="A178" s="10">
        <f t="shared" si="161"/>
        <v>175</v>
      </c>
      <c r="B178" s="73">
        <f>'Scénario référence'!$B$16*5+'Scénario référence'!$B$17*0+'Scénario référence'!$B$18*5</f>
        <v>5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1">
        <f t="shared" si="140"/>
        <v>0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8" s="11">
        <f>IF(OR('Scénario référence'!$F$8&gt;0,'Scénario référence'!$F$9&gt;0),('Scénario référence'!$F$8+'Scénario référence'!$F$9)*10,0)</f>
        <v>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18.333333333333332</v>
      </c>
      <c r="H178" s="67">
        <f t="shared" si="110"/>
        <v>183.33333333333334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0</v>
      </c>
      <c r="O178" s="13">
        <f>N178*VLOOKUP('Données projet'!$B$9,Paramètres!$A$1:$I$89,3,0)*VLOOKUP('Données projet'!$B$9,Paramètres!$A$1:$I$89,5,0)</f>
        <v>0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112.82287576550925</v>
      </c>
      <c r="T178" s="59">
        <f t="shared" si="142"/>
        <v>317.78570695363294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2.79261238006894</v>
      </c>
      <c r="AA178" s="21">
        <f>EXP(-LN(2)/25)*AA177+(1-EXP(-LN(2)/25))/(LN(2)/25)*Calculateur!V178*Calculateur!X178*VLOOKUP('Données projet'!$B$9,Paramètres!$A$1:$I$89,3,0)*0.475*44/12</f>
        <v>0.17459724423035444</v>
      </c>
      <c r="AB178" s="21">
        <f>EXP(-LN(2)/2)*AB177+(1-EXP(-LN(2)/2))/(LN(2)/2)*V178*Y178*VLOOKUP('Données projet'!$B$9,Paramètres!$A$1:$I$89,3,0)*0.475*44/12</f>
        <v>8.5776433430555926E-23</v>
      </c>
      <c r="AC178" s="22">
        <f t="shared" si="163"/>
        <v>2.9672096242992945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0</v>
      </c>
      <c r="AJ178" s="13">
        <f>AI178*VLOOKUP('Données projet'!$B$10,Paramètres!$A$1:$I$89,3,0)*VLOOKUP('Données projet'!$B$10,Paramètres!$A$1:$I$89,5,0)</f>
        <v>0</v>
      </c>
      <c r="AK178" s="13" t="e">
        <f t="shared" si="164"/>
        <v>#NUM!</v>
      </c>
      <c r="AL178" s="20" t="e">
        <f t="shared" si="165"/>
        <v>#NUM!</v>
      </c>
      <c r="AM178" s="59" t="e">
        <f t="shared" si="113"/>
        <v>#NUM!</v>
      </c>
      <c r="AN178" s="59">
        <f ca="1">AVERAGE(OFFSET($AM$3,0,0,'Données projet'!$E$10+1,1))-AVERAGE(OFFSET($H$3,0,0,'Données projet'!$E$10+1,1))</f>
        <v>112.82287576550925</v>
      </c>
      <c r="AO178" s="59">
        <f t="shared" si="144"/>
        <v>317.78570695363294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2.79261238006894</v>
      </c>
      <c r="AV178" s="21">
        <f>EXP(-LN(2)/25)*AV177+(1-EXP(-LN(2)/25))/(LN(2)/25)*Calculateur!AQ178*Calculateur!AS178*VLOOKUP('Données projet'!$B$10,Paramètres!$A$1:$I$89,3,0)*0.475*44/12</f>
        <v>0.17459724423035444</v>
      </c>
      <c r="AW178" s="21">
        <f>EXP(-LN(2)/2)*AW177+(1-EXP(-LN(2)/2))/(LN(2)/2)*AQ178*AT178*VLOOKUP('Données projet'!$B$10,Paramètres!$A$1:$I$89,3,0)*0.475*44/12</f>
        <v>8.5776433430555926E-23</v>
      </c>
      <c r="AX178" s="21">
        <f t="shared" si="166"/>
        <v>2.9672096242992945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0</v>
      </c>
      <c r="BE178" s="13">
        <f>BD178*VLOOKUP('Données projet'!$B$11,Paramètres!$A$1:$I$89,3,0)*VLOOKUP('Données projet'!$B$11,Paramètres!$A$1:$I$89,5,0)</f>
        <v>0</v>
      </c>
      <c r="BF178" s="13" t="e">
        <f t="shared" si="167"/>
        <v>#NUM!</v>
      </c>
      <c r="BG178" s="20" t="e">
        <f t="shared" si="168"/>
        <v>#NUM!</v>
      </c>
      <c r="BH178" s="59" t="e">
        <f t="shared" si="116"/>
        <v>#NUM!</v>
      </c>
      <c r="BI178" s="59">
        <f ca="1">AVERAGE(OFFSET($BH$3,0,0,'Données projet'!$E$11+1,1))-AVERAGE(OFFSET($H$3,0,0,'Données projet'!$E$11+1,1))</f>
        <v>112.82287576550925</v>
      </c>
      <c r="BJ178" s="59">
        <f t="shared" si="146"/>
        <v>317.78570695363294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2.79261238006894</v>
      </c>
      <c r="BQ178" s="21">
        <f>EXP(-LN(2)/25)*BQ177+(1-EXP(-LN(2)/25))/(LN(2)/25)*Calculateur!BL178*Calculateur!BN178*VLOOKUP('Données projet'!$B$11,Paramètres!$A$1:$I$89,3,0)*0.475*44/12</f>
        <v>0.17459724423035444</v>
      </c>
      <c r="BR178" s="21">
        <f>EXP(-LN(2)/2)*BR177+(1-EXP(-LN(2)/2))/(LN(2)/2)*BL178*BO178*VLOOKUP('Données projet'!$B$11,Paramètres!$A$1:$I$89,3,0)*0.475*44/12</f>
        <v>8.5776433430555926E-23</v>
      </c>
      <c r="BS178" s="22">
        <f t="shared" si="169"/>
        <v>2.9672096242992945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>
        <f>BY178*VLOOKUP('Données projet'!$B$12,Paramètres!$A$1:$I$89,3,0)*VLOOKUP('Données projet'!$B$12,Paramètres!$A$1:$I$89,5,0)</f>
        <v>0</v>
      </c>
      <c r="CA178" s="13" t="e">
        <f t="shared" si="170"/>
        <v>#NUM!</v>
      </c>
      <c r="CB178" s="20" t="e">
        <f t="shared" si="171"/>
        <v>#NUM!</v>
      </c>
      <c r="CC178" s="59" t="e">
        <f t="shared" si="119"/>
        <v>#NUM!</v>
      </c>
      <c r="CD178" s="59">
        <f ca="1">AVERAGE(OFFSET($CC$3,0,0,'Données projet'!$E$12+1,1))-AVERAGE(OFFSET($H$3,0,0,'Données projet'!$E$12+1,1))</f>
        <v>112.82287576550925</v>
      </c>
      <c r="CE178" s="59">
        <f t="shared" si="148"/>
        <v>317.78570695363294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>
        <f>EXP(-LN(2)/35)*CK177+(1-EXP(-LN(2)/35))/(LN(2)/35)*CG178*CH178*VLOOKUP('Données projet'!$B$12,Paramètres!$A$1:$I$89,3,0)*0.475*44/12</f>
        <v>2.79261238006894</v>
      </c>
      <c r="CL178" s="21">
        <f>EXP(-LN(2)/25)*CL177+(1-EXP(-LN(2)/25))/(LN(2)/25)*Calculateur!CG178*Calculateur!CI178*VLOOKUP('Données projet'!$B$12,Paramètres!$A$1:$I$89,3,0)*0.475*44/12</f>
        <v>0.17459724423035444</v>
      </c>
      <c r="CM178" s="21">
        <f>EXP(-LN(2)/2)*CM177+(1-EXP(-LN(2)/2))/(LN(2)/2)*CG178*CJ178*VLOOKUP('Données projet'!$B$12,Paramètres!$A$1:$I$89,3,0)*0.475*44/12</f>
        <v>8.5776433430555926E-23</v>
      </c>
      <c r="CN178" s="22">
        <f t="shared" si="172"/>
        <v>2.9672096242992945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5">
      <c r="A179" s="10">
        <f t="shared" si="161"/>
        <v>176</v>
      </c>
      <c r="B179" s="73">
        <f>'Scénario référence'!$B$16*5+'Scénario référence'!$B$17*0+'Scénario référence'!$B$18*5</f>
        <v>5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1">
        <f t="shared" si="140"/>
        <v>0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9" s="11">
        <f>IF(OR('Scénario référence'!$F$8&gt;0,'Scénario référence'!$F$9&gt;0),('Scénario référence'!$F$8+'Scénario référence'!$F$9)*10,0)</f>
        <v>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18.333333333333332</v>
      </c>
      <c r="H179" s="67">
        <f t="shared" si="110"/>
        <v>183.33333333333334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0</v>
      </c>
      <c r="O179" s="13">
        <f>N179*VLOOKUP('Données projet'!$B$9,Paramètres!$A$1:$I$89,3,0)*VLOOKUP('Données projet'!$B$9,Paramètres!$A$1:$I$89,5,0)</f>
        <v>0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112.82287576550925</v>
      </c>
      <c r="T179" s="59">
        <f t="shared" si="142"/>
        <v>317.78570695363294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2.7378509546211505</v>
      </c>
      <c r="AA179" s="21">
        <f>EXP(-LN(2)/25)*AA178+(1-EXP(-LN(2)/25))/(LN(2)/25)*Calculateur!V179*Calculateur!X179*VLOOKUP('Données projet'!$B$9,Paramètres!$A$1:$I$89,3,0)*0.475*44/12</f>
        <v>0.16982287340520538</v>
      </c>
      <c r="AB179" s="21">
        <f>EXP(-LN(2)/2)*AB178+(1-EXP(-LN(2)/2))/(LN(2)/2)*V179*Y179*VLOOKUP('Données projet'!$B$9,Paramètres!$A$1:$I$89,3,0)*0.475*44/12</f>
        <v>6.0653097744742569E-23</v>
      </c>
      <c r="AC179" s="22">
        <f t="shared" si="163"/>
        <v>2.9076738280263559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0</v>
      </c>
      <c r="AJ179" s="13">
        <f>AI179*VLOOKUP('Données projet'!$B$10,Paramètres!$A$1:$I$89,3,0)*VLOOKUP('Données projet'!$B$10,Paramètres!$A$1:$I$89,5,0)</f>
        <v>0</v>
      </c>
      <c r="AK179" s="13" t="e">
        <f t="shared" si="164"/>
        <v>#NUM!</v>
      </c>
      <c r="AL179" s="20" t="e">
        <f t="shared" si="165"/>
        <v>#NUM!</v>
      </c>
      <c r="AM179" s="59" t="e">
        <f t="shared" si="113"/>
        <v>#NUM!</v>
      </c>
      <c r="AN179" s="59">
        <f ca="1">AVERAGE(OFFSET($AM$3,0,0,'Données projet'!$E$10+1,1))-AVERAGE(OFFSET($H$3,0,0,'Données projet'!$E$10+1,1))</f>
        <v>112.82287576550925</v>
      </c>
      <c r="AO179" s="59">
        <f t="shared" si="144"/>
        <v>317.78570695363294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2.7378509546211505</v>
      </c>
      <c r="AV179" s="21">
        <f>EXP(-LN(2)/25)*AV178+(1-EXP(-LN(2)/25))/(LN(2)/25)*Calculateur!AQ179*Calculateur!AS179*VLOOKUP('Données projet'!$B$10,Paramètres!$A$1:$I$89,3,0)*0.475*44/12</f>
        <v>0.16982287340520538</v>
      </c>
      <c r="AW179" s="21">
        <f>EXP(-LN(2)/2)*AW178+(1-EXP(-LN(2)/2))/(LN(2)/2)*AQ179*AT179*VLOOKUP('Données projet'!$B$10,Paramètres!$A$1:$I$89,3,0)*0.475*44/12</f>
        <v>6.0653097744742569E-23</v>
      </c>
      <c r="AX179" s="21">
        <f t="shared" si="166"/>
        <v>2.9076738280263559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0</v>
      </c>
      <c r="BE179" s="13">
        <f>BD179*VLOOKUP('Données projet'!$B$11,Paramètres!$A$1:$I$89,3,0)*VLOOKUP('Données projet'!$B$11,Paramètres!$A$1:$I$89,5,0)</f>
        <v>0</v>
      </c>
      <c r="BF179" s="13" t="e">
        <f t="shared" si="167"/>
        <v>#NUM!</v>
      </c>
      <c r="BG179" s="20" t="e">
        <f t="shared" si="168"/>
        <v>#NUM!</v>
      </c>
      <c r="BH179" s="59" t="e">
        <f t="shared" si="116"/>
        <v>#NUM!</v>
      </c>
      <c r="BI179" s="59">
        <f ca="1">AVERAGE(OFFSET($BH$3,0,0,'Données projet'!$E$11+1,1))-AVERAGE(OFFSET($H$3,0,0,'Données projet'!$E$11+1,1))</f>
        <v>112.82287576550925</v>
      </c>
      <c r="BJ179" s="59">
        <f t="shared" si="146"/>
        <v>317.78570695363294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2.7378509546211505</v>
      </c>
      <c r="BQ179" s="21">
        <f>EXP(-LN(2)/25)*BQ178+(1-EXP(-LN(2)/25))/(LN(2)/25)*Calculateur!BL179*Calculateur!BN179*VLOOKUP('Données projet'!$B$11,Paramètres!$A$1:$I$89,3,0)*0.475*44/12</f>
        <v>0.16982287340520538</v>
      </c>
      <c r="BR179" s="21">
        <f>EXP(-LN(2)/2)*BR178+(1-EXP(-LN(2)/2))/(LN(2)/2)*BL179*BO179*VLOOKUP('Données projet'!$B$11,Paramètres!$A$1:$I$89,3,0)*0.475*44/12</f>
        <v>6.0653097744742569E-23</v>
      </c>
      <c r="BS179" s="22">
        <f t="shared" si="169"/>
        <v>2.9076738280263559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>
        <f>BY179*VLOOKUP('Données projet'!$B$12,Paramètres!$A$1:$I$89,3,0)*VLOOKUP('Données projet'!$B$12,Paramètres!$A$1:$I$89,5,0)</f>
        <v>0</v>
      </c>
      <c r="CA179" s="13" t="e">
        <f t="shared" si="170"/>
        <v>#NUM!</v>
      </c>
      <c r="CB179" s="20" t="e">
        <f t="shared" si="171"/>
        <v>#NUM!</v>
      </c>
      <c r="CC179" s="59" t="e">
        <f t="shared" si="119"/>
        <v>#NUM!</v>
      </c>
      <c r="CD179" s="59">
        <f ca="1">AVERAGE(OFFSET($CC$3,0,0,'Données projet'!$E$12+1,1))-AVERAGE(OFFSET($H$3,0,0,'Données projet'!$E$12+1,1))</f>
        <v>112.82287576550925</v>
      </c>
      <c r="CE179" s="59">
        <f t="shared" si="148"/>
        <v>317.78570695363294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>
        <f>EXP(-LN(2)/35)*CK178+(1-EXP(-LN(2)/35))/(LN(2)/35)*CG179*CH179*VLOOKUP('Données projet'!$B$12,Paramètres!$A$1:$I$89,3,0)*0.475*44/12</f>
        <v>2.7378509546211505</v>
      </c>
      <c r="CL179" s="21">
        <f>EXP(-LN(2)/25)*CL178+(1-EXP(-LN(2)/25))/(LN(2)/25)*Calculateur!CG179*Calculateur!CI179*VLOOKUP('Données projet'!$B$12,Paramètres!$A$1:$I$89,3,0)*0.475*44/12</f>
        <v>0.16982287340520538</v>
      </c>
      <c r="CM179" s="21">
        <f>EXP(-LN(2)/2)*CM178+(1-EXP(-LN(2)/2))/(LN(2)/2)*CG179*CJ179*VLOOKUP('Données projet'!$B$12,Paramètres!$A$1:$I$89,3,0)*0.475*44/12</f>
        <v>6.0653097744742569E-23</v>
      </c>
      <c r="CN179" s="22">
        <f t="shared" si="172"/>
        <v>2.9076738280263559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5">
      <c r="A180" s="10">
        <f t="shared" si="161"/>
        <v>177</v>
      </c>
      <c r="B180" s="73">
        <f>'Scénario référence'!$B$16*5+'Scénario référence'!$B$17*0+'Scénario référence'!$B$18*5</f>
        <v>5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1">
        <f t="shared" si="140"/>
        <v>0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0" s="11">
        <f>IF(OR('Scénario référence'!$F$8&gt;0,'Scénario référence'!$F$9&gt;0),('Scénario référence'!$F$8+'Scénario référence'!$F$9)*10,0)</f>
        <v>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18.333333333333332</v>
      </c>
      <c r="H180" s="67">
        <f t="shared" si="110"/>
        <v>183.33333333333334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0</v>
      </c>
      <c r="O180" s="13">
        <f>N180*VLOOKUP('Données projet'!$B$9,Paramètres!$A$1:$I$89,3,0)*VLOOKUP('Données projet'!$B$9,Paramètres!$A$1:$I$89,5,0)</f>
        <v>0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112.82287576550925</v>
      </c>
      <c r="T180" s="59">
        <f t="shared" si="142"/>
        <v>317.78570695363294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2.6841633673252208</v>
      </c>
      <c r="AA180" s="21">
        <f>EXP(-LN(2)/25)*AA179+(1-EXP(-LN(2)/25))/(LN(2)/25)*Calculateur!V180*Calculateur!X180*VLOOKUP('Données projet'!$B$9,Paramètres!$A$1:$I$89,3,0)*0.475*44/12</f>
        <v>0.16517905800134328</v>
      </c>
      <c r="AB180" s="21">
        <f>EXP(-LN(2)/2)*AB179+(1-EXP(-LN(2)/2))/(LN(2)/2)*V180*Y180*VLOOKUP('Données projet'!$B$9,Paramètres!$A$1:$I$89,3,0)*0.475*44/12</f>
        <v>4.2888216715277963E-23</v>
      </c>
      <c r="AC180" s="22">
        <f t="shared" si="163"/>
        <v>2.8493424253265642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0</v>
      </c>
      <c r="AJ180" s="13">
        <f>AI180*VLOOKUP('Données projet'!$B$10,Paramètres!$A$1:$I$89,3,0)*VLOOKUP('Données projet'!$B$10,Paramètres!$A$1:$I$89,5,0)</f>
        <v>0</v>
      </c>
      <c r="AK180" s="13" t="e">
        <f t="shared" si="164"/>
        <v>#NUM!</v>
      </c>
      <c r="AL180" s="20" t="e">
        <f t="shared" si="165"/>
        <v>#NUM!</v>
      </c>
      <c r="AM180" s="59" t="e">
        <f t="shared" si="113"/>
        <v>#NUM!</v>
      </c>
      <c r="AN180" s="59">
        <f ca="1">AVERAGE(OFFSET($AM$3,0,0,'Données projet'!$E$10+1,1))-AVERAGE(OFFSET($H$3,0,0,'Données projet'!$E$10+1,1))</f>
        <v>112.82287576550925</v>
      </c>
      <c r="AO180" s="59">
        <f t="shared" si="144"/>
        <v>317.78570695363294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2.6841633673252208</v>
      </c>
      <c r="AV180" s="21">
        <f>EXP(-LN(2)/25)*AV179+(1-EXP(-LN(2)/25))/(LN(2)/25)*Calculateur!AQ180*Calculateur!AS180*VLOOKUP('Données projet'!$B$10,Paramètres!$A$1:$I$89,3,0)*0.475*44/12</f>
        <v>0.16517905800134328</v>
      </c>
      <c r="AW180" s="21">
        <f>EXP(-LN(2)/2)*AW179+(1-EXP(-LN(2)/2))/(LN(2)/2)*AQ180*AT180*VLOOKUP('Données projet'!$B$10,Paramètres!$A$1:$I$89,3,0)*0.475*44/12</f>
        <v>4.2888216715277963E-23</v>
      </c>
      <c r="AX180" s="21">
        <f t="shared" si="166"/>
        <v>2.8493424253265642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0</v>
      </c>
      <c r="BE180" s="13">
        <f>BD180*VLOOKUP('Données projet'!$B$11,Paramètres!$A$1:$I$89,3,0)*VLOOKUP('Données projet'!$B$11,Paramètres!$A$1:$I$89,5,0)</f>
        <v>0</v>
      </c>
      <c r="BF180" s="13" t="e">
        <f t="shared" si="167"/>
        <v>#NUM!</v>
      </c>
      <c r="BG180" s="20" t="e">
        <f t="shared" si="168"/>
        <v>#NUM!</v>
      </c>
      <c r="BH180" s="59" t="e">
        <f t="shared" si="116"/>
        <v>#NUM!</v>
      </c>
      <c r="BI180" s="59">
        <f ca="1">AVERAGE(OFFSET($BH$3,0,0,'Données projet'!$E$11+1,1))-AVERAGE(OFFSET($H$3,0,0,'Données projet'!$E$11+1,1))</f>
        <v>112.82287576550925</v>
      </c>
      <c r="BJ180" s="59">
        <f t="shared" si="146"/>
        <v>317.78570695363294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2.6841633673252208</v>
      </c>
      <c r="BQ180" s="21">
        <f>EXP(-LN(2)/25)*BQ179+(1-EXP(-LN(2)/25))/(LN(2)/25)*Calculateur!BL180*Calculateur!BN180*VLOOKUP('Données projet'!$B$11,Paramètres!$A$1:$I$89,3,0)*0.475*44/12</f>
        <v>0.16517905800134328</v>
      </c>
      <c r="BR180" s="21">
        <f>EXP(-LN(2)/2)*BR179+(1-EXP(-LN(2)/2))/(LN(2)/2)*BL180*BO180*VLOOKUP('Données projet'!$B$11,Paramètres!$A$1:$I$89,3,0)*0.475*44/12</f>
        <v>4.2888216715277963E-23</v>
      </c>
      <c r="BS180" s="22">
        <f t="shared" si="169"/>
        <v>2.8493424253265642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>
        <f>BY180*VLOOKUP('Données projet'!$B$12,Paramètres!$A$1:$I$89,3,0)*VLOOKUP('Données projet'!$B$12,Paramètres!$A$1:$I$89,5,0)</f>
        <v>0</v>
      </c>
      <c r="CA180" s="13" t="e">
        <f t="shared" si="170"/>
        <v>#NUM!</v>
      </c>
      <c r="CB180" s="20" t="e">
        <f t="shared" si="171"/>
        <v>#NUM!</v>
      </c>
      <c r="CC180" s="59" t="e">
        <f t="shared" si="119"/>
        <v>#NUM!</v>
      </c>
      <c r="CD180" s="59">
        <f ca="1">AVERAGE(OFFSET($CC$3,0,0,'Données projet'!$E$12+1,1))-AVERAGE(OFFSET($H$3,0,0,'Données projet'!$E$12+1,1))</f>
        <v>112.82287576550925</v>
      </c>
      <c r="CE180" s="59">
        <f t="shared" si="148"/>
        <v>317.78570695363294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>
        <f>EXP(-LN(2)/35)*CK179+(1-EXP(-LN(2)/35))/(LN(2)/35)*CG180*CH180*VLOOKUP('Données projet'!$B$12,Paramètres!$A$1:$I$89,3,0)*0.475*44/12</f>
        <v>2.6841633673252208</v>
      </c>
      <c r="CL180" s="21">
        <f>EXP(-LN(2)/25)*CL179+(1-EXP(-LN(2)/25))/(LN(2)/25)*Calculateur!CG180*Calculateur!CI180*VLOOKUP('Données projet'!$B$12,Paramètres!$A$1:$I$89,3,0)*0.475*44/12</f>
        <v>0.16517905800134328</v>
      </c>
      <c r="CM180" s="21">
        <f>EXP(-LN(2)/2)*CM179+(1-EXP(-LN(2)/2))/(LN(2)/2)*CG180*CJ180*VLOOKUP('Données projet'!$B$12,Paramètres!$A$1:$I$89,3,0)*0.475*44/12</f>
        <v>4.2888216715277963E-23</v>
      </c>
      <c r="CN180" s="22">
        <f t="shared" si="172"/>
        <v>2.8493424253265642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5">
      <c r="A181" s="10">
        <f t="shared" si="161"/>
        <v>178</v>
      </c>
      <c r="B181" s="73">
        <f>'Scénario référence'!$B$16*5+'Scénario référence'!$B$17*0+'Scénario référence'!$B$18*5</f>
        <v>5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1">
        <f t="shared" si="140"/>
        <v>0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1" s="11">
        <f>IF(OR('Scénario référence'!$F$8&gt;0,'Scénario référence'!$F$9&gt;0),('Scénario référence'!$F$8+'Scénario référence'!$F$9)*10,0)</f>
        <v>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18.333333333333332</v>
      </c>
      <c r="H181" s="67">
        <f t="shared" si="110"/>
        <v>183.33333333333334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0</v>
      </c>
      <c r="O181" s="13">
        <f>N181*VLOOKUP('Données projet'!$B$9,Paramètres!$A$1:$I$89,3,0)*VLOOKUP('Données projet'!$B$9,Paramètres!$A$1:$I$89,5,0)</f>
        <v>0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112.82287576550925</v>
      </c>
      <c r="T181" s="59">
        <f t="shared" si="142"/>
        <v>317.78570695363294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2.6315285608699694</v>
      </c>
      <c r="AA181" s="21">
        <f>EXP(-LN(2)/25)*AA180+(1-EXP(-LN(2)/25))/(LN(2)/25)*Calculateur!V181*Calculateur!X181*VLOOKUP('Données projet'!$B$9,Paramètres!$A$1:$I$89,3,0)*0.475*44/12</f>
        <v>0.16066222797390742</v>
      </c>
      <c r="AB181" s="21">
        <f>EXP(-LN(2)/2)*AB180+(1-EXP(-LN(2)/2))/(LN(2)/2)*V181*Y181*VLOOKUP('Données projet'!$B$9,Paramètres!$A$1:$I$89,3,0)*0.475*44/12</f>
        <v>3.0326548872371284E-23</v>
      </c>
      <c r="AC181" s="22">
        <f t="shared" si="163"/>
        <v>2.7921907888438771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0</v>
      </c>
      <c r="AJ181" s="13">
        <f>AI181*VLOOKUP('Données projet'!$B$10,Paramètres!$A$1:$I$89,3,0)*VLOOKUP('Données projet'!$B$10,Paramètres!$A$1:$I$89,5,0)</f>
        <v>0</v>
      </c>
      <c r="AK181" s="13" t="e">
        <f t="shared" si="164"/>
        <v>#NUM!</v>
      </c>
      <c r="AL181" s="20" t="e">
        <f t="shared" si="165"/>
        <v>#NUM!</v>
      </c>
      <c r="AM181" s="59" t="e">
        <f t="shared" si="113"/>
        <v>#NUM!</v>
      </c>
      <c r="AN181" s="59">
        <f ca="1">AVERAGE(OFFSET($AM$3,0,0,'Données projet'!$E$10+1,1))-AVERAGE(OFFSET($H$3,0,0,'Données projet'!$E$10+1,1))</f>
        <v>112.82287576550925</v>
      </c>
      <c r="AO181" s="59">
        <f t="shared" si="144"/>
        <v>317.78570695363294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2.6315285608699694</v>
      </c>
      <c r="AV181" s="21">
        <f>EXP(-LN(2)/25)*AV180+(1-EXP(-LN(2)/25))/(LN(2)/25)*Calculateur!AQ181*Calculateur!AS181*VLOOKUP('Données projet'!$B$10,Paramètres!$A$1:$I$89,3,0)*0.475*44/12</f>
        <v>0.16066222797390742</v>
      </c>
      <c r="AW181" s="21">
        <f>EXP(-LN(2)/2)*AW180+(1-EXP(-LN(2)/2))/(LN(2)/2)*AQ181*AT181*VLOOKUP('Données projet'!$B$10,Paramètres!$A$1:$I$89,3,0)*0.475*44/12</f>
        <v>3.0326548872371284E-23</v>
      </c>
      <c r="AX181" s="21">
        <f t="shared" si="166"/>
        <v>2.7921907888438771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0</v>
      </c>
      <c r="BE181" s="13">
        <f>BD181*VLOOKUP('Données projet'!$B$11,Paramètres!$A$1:$I$89,3,0)*VLOOKUP('Données projet'!$B$11,Paramètres!$A$1:$I$89,5,0)</f>
        <v>0</v>
      </c>
      <c r="BF181" s="13" t="e">
        <f t="shared" si="167"/>
        <v>#NUM!</v>
      </c>
      <c r="BG181" s="20" t="e">
        <f t="shared" si="168"/>
        <v>#NUM!</v>
      </c>
      <c r="BH181" s="59" t="e">
        <f t="shared" si="116"/>
        <v>#NUM!</v>
      </c>
      <c r="BI181" s="59">
        <f ca="1">AVERAGE(OFFSET($BH$3,0,0,'Données projet'!$E$11+1,1))-AVERAGE(OFFSET($H$3,0,0,'Données projet'!$E$11+1,1))</f>
        <v>112.82287576550925</v>
      </c>
      <c r="BJ181" s="59">
        <f t="shared" si="146"/>
        <v>317.78570695363294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2.6315285608699694</v>
      </c>
      <c r="BQ181" s="21">
        <f>EXP(-LN(2)/25)*BQ180+(1-EXP(-LN(2)/25))/(LN(2)/25)*Calculateur!BL181*Calculateur!BN181*VLOOKUP('Données projet'!$B$11,Paramètres!$A$1:$I$89,3,0)*0.475*44/12</f>
        <v>0.16066222797390742</v>
      </c>
      <c r="BR181" s="21">
        <f>EXP(-LN(2)/2)*BR180+(1-EXP(-LN(2)/2))/(LN(2)/2)*BL181*BO181*VLOOKUP('Données projet'!$B$11,Paramètres!$A$1:$I$89,3,0)*0.475*44/12</f>
        <v>3.0326548872371284E-23</v>
      </c>
      <c r="BS181" s="22">
        <f t="shared" si="169"/>
        <v>2.7921907888438771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>
        <f>BY181*VLOOKUP('Données projet'!$B$12,Paramètres!$A$1:$I$89,3,0)*VLOOKUP('Données projet'!$B$12,Paramètres!$A$1:$I$89,5,0)</f>
        <v>0</v>
      </c>
      <c r="CA181" s="13" t="e">
        <f t="shared" si="170"/>
        <v>#NUM!</v>
      </c>
      <c r="CB181" s="20" t="e">
        <f t="shared" si="171"/>
        <v>#NUM!</v>
      </c>
      <c r="CC181" s="59" t="e">
        <f t="shared" si="119"/>
        <v>#NUM!</v>
      </c>
      <c r="CD181" s="59">
        <f ca="1">AVERAGE(OFFSET($CC$3,0,0,'Données projet'!$E$12+1,1))-AVERAGE(OFFSET($H$3,0,0,'Données projet'!$E$12+1,1))</f>
        <v>112.82287576550925</v>
      </c>
      <c r="CE181" s="59">
        <f t="shared" si="148"/>
        <v>317.78570695363294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>
        <f>EXP(-LN(2)/35)*CK180+(1-EXP(-LN(2)/35))/(LN(2)/35)*CG181*CH181*VLOOKUP('Données projet'!$B$12,Paramètres!$A$1:$I$89,3,0)*0.475*44/12</f>
        <v>2.6315285608699694</v>
      </c>
      <c r="CL181" s="21">
        <f>EXP(-LN(2)/25)*CL180+(1-EXP(-LN(2)/25))/(LN(2)/25)*Calculateur!CG181*Calculateur!CI181*VLOOKUP('Données projet'!$B$12,Paramètres!$A$1:$I$89,3,0)*0.475*44/12</f>
        <v>0.16066222797390742</v>
      </c>
      <c r="CM181" s="21">
        <f>EXP(-LN(2)/2)*CM180+(1-EXP(-LN(2)/2))/(LN(2)/2)*CG181*CJ181*VLOOKUP('Données projet'!$B$12,Paramètres!$A$1:$I$89,3,0)*0.475*44/12</f>
        <v>3.0326548872371284E-23</v>
      </c>
      <c r="CN181" s="22">
        <f t="shared" si="172"/>
        <v>2.7921907888438771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5">
      <c r="A182" s="10">
        <f t="shared" si="161"/>
        <v>179</v>
      </c>
      <c r="B182" s="73">
        <f>'Scénario référence'!$B$16*5+'Scénario référence'!$B$17*0+'Scénario référence'!$B$18*5</f>
        <v>5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1">
        <f t="shared" si="140"/>
        <v>0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2" s="11">
        <f>IF(OR('Scénario référence'!$F$8&gt;0,'Scénario référence'!$F$9&gt;0),('Scénario référence'!$F$8+'Scénario référence'!$F$9)*10,0)</f>
        <v>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18.333333333333332</v>
      </c>
      <c r="H182" s="67">
        <f t="shared" si="110"/>
        <v>183.33333333333334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0</v>
      </c>
      <c r="O182" s="13">
        <f>N182*VLOOKUP('Données projet'!$B$9,Paramètres!$A$1:$I$89,3,0)*VLOOKUP('Données projet'!$B$9,Paramètres!$A$1:$I$89,5,0)</f>
        <v>0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112.82287576550925</v>
      </c>
      <c r="T182" s="59">
        <f t="shared" si="142"/>
        <v>317.78570695363294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2.5799258908652436</v>
      </c>
      <c r="AA182" s="21">
        <f>EXP(-LN(2)/25)*AA181+(1-EXP(-LN(2)/25))/(LN(2)/25)*Calculateur!V182*Calculateur!X182*VLOOKUP('Données projet'!$B$9,Paramètres!$A$1:$I$89,3,0)*0.475*44/12</f>
        <v>0.15626891090110154</v>
      </c>
      <c r="AB182" s="21">
        <f>EXP(-LN(2)/2)*AB181+(1-EXP(-LN(2)/2))/(LN(2)/2)*V182*Y182*VLOOKUP('Données projet'!$B$9,Paramètres!$A$1:$I$89,3,0)*0.475*44/12</f>
        <v>2.1444108357638982E-23</v>
      </c>
      <c r="AC182" s="22">
        <f t="shared" si="163"/>
        <v>2.7361948017663451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0</v>
      </c>
      <c r="AJ182" s="13">
        <f>AI182*VLOOKUP('Données projet'!$B$10,Paramètres!$A$1:$I$89,3,0)*VLOOKUP('Données projet'!$B$10,Paramètres!$A$1:$I$89,5,0)</f>
        <v>0</v>
      </c>
      <c r="AK182" s="13" t="e">
        <f t="shared" si="164"/>
        <v>#NUM!</v>
      </c>
      <c r="AL182" s="20" t="e">
        <f t="shared" si="165"/>
        <v>#NUM!</v>
      </c>
      <c r="AM182" s="59" t="e">
        <f t="shared" si="113"/>
        <v>#NUM!</v>
      </c>
      <c r="AN182" s="59">
        <f ca="1">AVERAGE(OFFSET($AM$3,0,0,'Données projet'!$E$10+1,1))-AVERAGE(OFFSET($H$3,0,0,'Données projet'!$E$10+1,1))</f>
        <v>112.82287576550925</v>
      </c>
      <c r="AO182" s="59">
        <f t="shared" si="144"/>
        <v>317.78570695363294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2.5799258908652436</v>
      </c>
      <c r="AV182" s="21">
        <f>EXP(-LN(2)/25)*AV181+(1-EXP(-LN(2)/25))/(LN(2)/25)*Calculateur!AQ182*Calculateur!AS182*VLOOKUP('Données projet'!$B$10,Paramètres!$A$1:$I$89,3,0)*0.475*44/12</f>
        <v>0.15626891090110154</v>
      </c>
      <c r="AW182" s="21">
        <f>EXP(-LN(2)/2)*AW181+(1-EXP(-LN(2)/2))/(LN(2)/2)*AQ182*AT182*VLOOKUP('Données projet'!$B$10,Paramètres!$A$1:$I$89,3,0)*0.475*44/12</f>
        <v>2.1444108357638982E-23</v>
      </c>
      <c r="AX182" s="21">
        <f t="shared" si="166"/>
        <v>2.7361948017663451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0</v>
      </c>
      <c r="BE182" s="13">
        <f>BD182*VLOOKUP('Données projet'!$B$11,Paramètres!$A$1:$I$89,3,0)*VLOOKUP('Données projet'!$B$11,Paramètres!$A$1:$I$89,5,0)</f>
        <v>0</v>
      </c>
      <c r="BF182" s="13" t="e">
        <f t="shared" si="167"/>
        <v>#NUM!</v>
      </c>
      <c r="BG182" s="20" t="e">
        <f t="shared" si="168"/>
        <v>#NUM!</v>
      </c>
      <c r="BH182" s="59" t="e">
        <f t="shared" si="116"/>
        <v>#NUM!</v>
      </c>
      <c r="BI182" s="59">
        <f ca="1">AVERAGE(OFFSET($BH$3,0,0,'Données projet'!$E$11+1,1))-AVERAGE(OFFSET($H$3,0,0,'Données projet'!$E$11+1,1))</f>
        <v>112.82287576550925</v>
      </c>
      <c r="BJ182" s="59">
        <f t="shared" si="146"/>
        <v>317.78570695363294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2.5799258908652436</v>
      </c>
      <c r="BQ182" s="21">
        <f>EXP(-LN(2)/25)*BQ181+(1-EXP(-LN(2)/25))/(LN(2)/25)*Calculateur!BL182*Calculateur!BN182*VLOOKUP('Données projet'!$B$11,Paramètres!$A$1:$I$89,3,0)*0.475*44/12</f>
        <v>0.15626891090110154</v>
      </c>
      <c r="BR182" s="21">
        <f>EXP(-LN(2)/2)*BR181+(1-EXP(-LN(2)/2))/(LN(2)/2)*BL182*BO182*VLOOKUP('Données projet'!$B$11,Paramètres!$A$1:$I$89,3,0)*0.475*44/12</f>
        <v>2.1444108357638982E-23</v>
      </c>
      <c r="BS182" s="22">
        <f t="shared" si="169"/>
        <v>2.7361948017663451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>
        <f>BY182*VLOOKUP('Données projet'!$B$12,Paramètres!$A$1:$I$89,3,0)*VLOOKUP('Données projet'!$B$12,Paramètres!$A$1:$I$89,5,0)</f>
        <v>0</v>
      </c>
      <c r="CA182" s="13" t="e">
        <f t="shared" si="170"/>
        <v>#NUM!</v>
      </c>
      <c r="CB182" s="20" t="e">
        <f t="shared" si="171"/>
        <v>#NUM!</v>
      </c>
      <c r="CC182" s="59" t="e">
        <f t="shared" si="119"/>
        <v>#NUM!</v>
      </c>
      <c r="CD182" s="59">
        <f ca="1">AVERAGE(OFFSET($CC$3,0,0,'Données projet'!$E$12+1,1))-AVERAGE(OFFSET($H$3,0,0,'Données projet'!$E$12+1,1))</f>
        <v>112.82287576550925</v>
      </c>
      <c r="CE182" s="59">
        <f t="shared" si="148"/>
        <v>317.78570695363294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>
        <f>EXP(-LN(2)/35)*CK181+(1-EXP(-LN(2)/35))/(LN(2)/35)*CG182*CH182*VLOOKUP('Données projet'!$B$12,Paramètres!$A$1:$I$89,3,0)*0.475*44/12</f>
        <v>2.5799258908652436</v>
      </c>
      <c r="CL182" s="21">
        <f>EXP(-LN(2)/25)*CL181+(1-EXP(-LN(2)/25))/(LN(2)/25)*Calculateur!CG182*Calculateur!CI182*VLOOKUP('Données projet'!$B$12,Paramètres!$A$1:$I$89,3,0)*0.475*44/12</f>
        <v>0.15626891090110154</v>
      </c>
      <c r="CM182" s="21">
        <f>EXP(-LN(2)/2)*CM181+(1-EXP(-LN(2)/2))/(LN(2)/2)*CG182*CJ182*VLOOKUP('Données projet'!$B$12,Paramètres!$A$1:$I$89,3,0)*0.475*44/12</f>
        <v>2.1444108357638982E-23</v>
      </c>
      <c r="CN182" s="22">
        <f t="shared" si="172"/>
        <v>2.7361948017663451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5">
      <c r="A183" s="10">
        <f t="shared" si="161"/>
        <v>180</v>
      </c>
      <c r="B183" s="73">
        <f>'Scénario référence'!$B$16*5+'Scénario référence'!$B$17*0+'Scénario référence'!$B$18*5</f>
        <v>5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1">
        <f t="shared" si="140"/>
        <v>0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3" s="11">
        <f>IF(OR('Scénario référence'!$F$8&gt;0,'Scénario référence'!$F$9&gt;0),('Scénario référence'!$F$8+'Scénario référence'!$F$9)*10,0)</f>
        <v>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18.333333333333332</v>
      </c>
      <c r="H183" s="67">
        <f t="shared" si="110"/>
        <v>183.33333333333334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0</v>
      </c>
      <c r="O183" s="13">
        <f>N183*VLOOKUP('Données projet'!$B$9,Paramètres!$A$1:$I$89,3,0)*VLOOKUP('Données projet'!$B$9,Paramètres!$A$1:$I$89,5,0)</f>
        <v>0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112.82287576550925</v>
      </c>
      <c r="T183" s="59">
        <f t="shared" si="142"/>
        <v>317.78570695363294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2.5293351177447896</v>
      </c>
      <c r="AA183" s="21">
        <f>EXP(-LN(2)/25)*AA182+(1-EXP(-LN(2)/25))/(LN(2)/25)*Calculateur!V183*Calculateur!X183*VLOOKUP('Données projet'!$B$9,Paramètres!$A$1:$I$89,3,0)*0.475*44/12</f>
        <v>0.15199572931468605</v>
      </c>
      <c r="AB183" s="21">
        <f>EXP(-LN(2)/2)*AB182+(1-EXP(-LN(2)/2))/(LN(2)/2)*V183*Y183*VLOOKUP('Données projet'!$B$9,Paramètres!$A$1:$I$89,3,0)*0.475*44/12</f>
        <v>1.5163274436185642E-23</v>
      </c>
      <c r="AC183" s="22">
        <f t="shared" si="163"/>
        <v>2.6813308470594754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0</v>
      </c>
      <c r="AJ183" s="13">
        <f>AI183*VLOOKUP('Données projet'!$B$10,Paramètres!$A$1:$I$89,3,0)*VLOOKUP('Données projet'!$B$10,Paramètres!$A$1:$I$89,5,0)</f>
        <v>0</v>
      </c>
      <c r="AK183" s="13" t="e">
        <f t="shared" si="164"/>
        <v>#NUM!</v>
      </c>
      <c r="AL183" s="20" t="e">
        <f t="shared" si="165"/>
        <v>#NUM!</v>
      </c>
      <c r="AM183" s="59" t="e">
        <f t="shared" si="113"/>
        <v>#NUM!</v>
      </c>
      <c r="AN183" s="59">
        <f ca="1">AVERAGE(OFFSET($AM$3,0,0,'Données projet'!$E$10+1,1))-AVERAGE(OFFSET($H$3,0,0,'Données projet'!$E$10+1,1))</f>
        <v>112.82287576550925</v>
      </c>
      <c r="AO183" s="59">
        <f t="shared" si="144"/>
        <v>317.78570695363294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2.5293351177447896</v>
      </c>
      <c r="AV183" s="21">
        <f>EXP(-LN(2)/25)*AV182+(1-EXP(-LN(2)/25))/(LN(2)/25)*Calculateur!AQ183*Calculateur!AS183*VLOOKUP('Données projet'!$B$10,Paramètres!$A$1:$I$89,3,0)*0.475*44/12</f>
        <v>0.15199572931468605</v>
      </c>
      <c r="AW183" s="21">
        <f>EXP(-LN(2)/2)*AW182+(1-EXP(-LN(2)/2))/(LN(2)/2)*AQ183*AT183*VLOOKUP('Données projet'!$B$10,Paramètres!$A$1:$I$89,3,0)*0.475*44/12</f>
        <v>1.5163274436185642E-23</v>
      </c>
      <c r="AX183" s="21">
        <f t="shared" si="166"/>
        <v>2.6813308470594754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0</v>
      </c>
      <c r="BE183" s="13">
        <f>BD183*VLOOKUP('Données projet'!$B$11,Paramètres!$A$1:$I$89,3,0)*VLOOKUP('Données projet'!$B$11,Paramètres!$A$1:$I$89,5,0)</f>
        <v>0</v>
      </c>
      <c r="BF183" s="13" t="e">
        <f t="shared" si="167"/>
        <v>#NUM!</v>
      </c>
      <c r="BG183" s="20" t="e">
        <f t="shared" si="168"/>
        <v>#NUM!</v>
      </c>
      <c r="BH183" s="59" t="e">
        <f t="shared" si="116"/>
        <v>#NUM!</v>
      </c>
      <c r="BI183" s="59">
        <f ca="1">AVERAGE(OFFSET($BH$3,0,0,'Données projet'!$E$11+1,1))-AVERAGE(OFFSET($H$3,0,0,'Données projet'!$E$11+1,1))</f>
        <v>112.82287576550925</v>
      </c>
      <c r="BJ183" s="59">
        <f t="shared" si="146"/>
        <v>317.78570695363294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2.5293351177447896</v>
      </c>
      <c r="BQ183" s="21">
        <f>EXP(-LN(2)/25)*BQ182+(1-EXP(-LN(2)/25))/(LN(2)/25)*Calculateur!BL183*Calculateur!BN183*VLOOKUP('Données projet'!$B$11,Paramètres!$A$1:$I$89,3,0)*0.475*44/12</f>
        <v>0.15199572931468605</v>
      </c>
      <c r="BR183" s="21">
        <f>EXP(-LN(2)/2)*BR182+(1-EXP(-LN(2)/2))/(LN(2)/2)*BL183*BO183*VLOOKUP('Données projet'!$B$11,Paramètres!$A$1:$I$89,3,0)*0.475*44/12</f>
        <v>1.5163274436185642E-23</v>
      </c>
      <c r="BS183" s="22">
        <f t="shared" si="169"/>
        <v>2.6813308470594754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>
        <f>BY183*VLOOKUP('Données projet'!$B$12,Paramètres!$A$1:$I$89,3,0)*VLOOKUP('Données projet'!$B$12,Paramètres!$A$1:$I$89,5,0)</f>
        <v>0</v>
      </c>
      <c r="CA183" s="13" t="e">
        <f t="shared" si="170"/>
        <v>#NUM!</v>
      </c>
      <c r="CB183" s="20" t="e">
        <f t="shared" si="171"/>
        <v>#NUM!</v>
      </c>
      <c r="CC183" s="59" t="e">
        <f t="shared" si="119"/>
        <v>#NUM!</v>
      </c>
      <c r="CD183" s="59">
        <f ca="1">AVERAGE(OFFSET($CC$3,0,0,'Données projet'!$E$12+1,1))-AVERAGE(OFFSET($H$3,0,0,'Données projet'!$E$12+1,1))</f>
        <v>112.82287576550925</v>
      </c>
      <c r="CE183" s="59">
        <f t="shared" si="148"/>
        <v>317.78570695363294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>
        <f>EXP(-LN(2)/35)*CK182+(1-EXP(-LN(2)/35))/(LN(2)/35)*CG183*CH183*VLOOKUP('Données projet'!$B$12,Paramètres!$A$1:$I$89,3,0)*0.475*44/12</f>
        <v>2.5293351177447896</v>
      </c>
      <c r="CL183" s="21">
        <f>EXP(-LN(2)/25)*CL182+(1-EXP(-LN(2)/25))/(LN(2)/25)*Calculateur!CG183*Calculateur!CI183*VLOOKUP('Données projet'!$B$12,Paramètres!$A$1:$I$89,3,0)*0.475*44/12</f>
        <v>0.15199572931468605</v>
      </c>
      <c r="CM183" s="21">
        <f>EXP(-LN(2)/2)*CM182+(1-EXP(-LN(2)/2))/(LN(2)/2)*CG183*CJ183*VLOOKUP('Données projet'!$B$12,Paramètres!$A$1:$I$89,3,0)*0.475*44/12</f>
        <v>1.5163274436185642E-23</v>
      </c>
      <c r="CN183" s="22">
        <f t="shared" si="172"/>
        <v>2.6813308470594754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5">
      <c r="A184" s="10">
        <f t="shared" si="161"/>
        <v>181</v>
      </c>
      <c r="B184" s="73">
        <f>'Scénario référence'!$B$16*5+'Scénario référence'!$B$17*0+'Scénario référence'!$B$18*5</f>
        <v>5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1">
        <f t="shared" si="140"/>
        <v>0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4" s="11">
        <f>IF(OR('Scénario référence'!$F$8&gt;0,'Scénario référence'!$F$9&gt;0),('Scénario référence'!$F$8+'Scénario référence'!$F$9)*10,0)</f>
        <v>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18.333333333333332</v>
      </c>
      <c r="H184" s="67">
        <f t="shared" si="110"/>
        <v>183.33333333333334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0</v>
      </c>
      <c r="O184" s="13">
        <f>N184*VLOOKUP('Données projet'!$B$9,Paramètres!$A$1:$I$89,3,0)*VLOOKUP('Données projet'!$B$9,Paramètres!$A$1:$I$89,5,0)</f>
        <v>0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112.82287576550925</v>
      </c>
      <c r="T184" s="59">
        <f t="shared" si="142"/>
        <v>317.78570695363294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2.4797363988279031</v>
      </c>
      <c r="AA184" s="21">
        <f>EXP(-LN(2)/25)*AA183+(1-EXP(-LN(2)/25))/(LN(2)/25)*Calculateur!V184*Calculateur!X184*VLOOKUP('Données projet'!$B$9,Paramètres!$A$1:$I$89,3,0)*0.475*44/12</f>
        <v>0.14783939810346794</v>
      </c>
      <c r="AB184" s="21">
        <f>EXP(-LN(2)/2)*AB183+(1-EXP(-LN(2)/2))/(LN(2)/2)*V184*Y184*VLOOKUP('Données projet'!$B$9,Paramètres!$A$1:$I$89,3,0)*0.475*44/12</f>
        <v>1.0722054178819491E-23</v>
      </c>
      <c r="AC184" s="22">
        <f t="shared" si="163"/>
        <v>2.6275757969313709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0</v>
      </c>
      <c r="AJ184" s="13">
        <f>AI184*VLOOKUP('Données projet'!$B$10,Paramètres!$A$1:$I$89,3,0)*VLOOKUP('Données projet'!$B$10,Paramètres!$A$1:$I$89,5,0)</f>
        <v>0</v>
      </c>
      <c r="AK184" s="13" t="e">
        <f t="shared" si="164"/>
        <v>#NUM!</v>
      </c>
      <c r="AL184" s="20" t="e">
        <f t="shared" si="165"/>
        <v>#NUM!</v>
      </c>
      <c r="AM184" s="59" t="e">
        <f t="shared" si="113"/>
        <v>#NUM!</v>
      </c>
      <c r="AN184" s="59">
        <f ca="1">AVERAGE(OFFSET($AM$3,0,0,'Données projet'!$E$10+1,1))-AVERAGE(OFFSET($H$3,0,0,'Données projet'!$E$10+1,1))</f>
        <v>112.82287576550925</v>
      </c>
      <c r="AO184" s="59">
        <f t="shared" si="144"/>
        <v>317.78570695363294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2.4797363988279031</v>
      </c>
      <c r="AV184" s="21">
        <f>EXP(-LN(2)/25)*AV183+(1-EXP(-LN(2)/25))/(LN(2)/25)*Calculateur!AQ184*Calculateur!AS184*VLOOKUP('Données projet'!$B$10,Paramètres!$A$1:$I$89,3,0)*0.475*44/12</f>
        <v>0.14783939810346794</v>
      </c>
      <c r="AW184" s="21">
        <f>EXP(-LN(2)/2)*AW183+(1-EXP(-LN(2)/2))/(LN(2)/2)*AQ184*AT184*VLOOKUP('Données projet'!$B$10,Paramètres!$A$1:$I$89,3,0)*0.475*44/12</f>
        <v>1.0722054178819491E-23</v>
      </c>
      <c r="AX184" s="21">
        <f t="shared" si="166"/>
        <v>2.6275757969313709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0</v>
      </c>
      <c r="BE184" s="13">
        <f>BD184*VLOOKUP('Données projet'!$B$11,Paramètres!$A$1:$I$89,3,0)*VLOOKUP('Données projet'!$B$11,Paramètres!$A$1:$I$89,5,0)</f>
        <v>0</v>
      </c>
      <c r="BF184" s="13" t="e">
        <f t="shared" si="167"/>
        <v>#NUM!</v>
      </c>
      <c r="BG184" s="20" t="e">
        <f t="shared" si="168"/>
        <v>#NUM!</v>
      </c>
      <c r="BH184" s="59" t="e">
        <f t="shared" si="116"/>
        <v>#NUM!</v>
      </c>
      <c r="BI184" s="59">
        <f ca="1">AVERAGE(OFFSET($BH$3,0,0,'Données projet'!$E$11+1,1))-AVERAGE(OFFSET($H$3,0,0,'Données projet'!$E$11+1,1))</f>
        <v>112.82287576550925</v>
      </c>
      <c r="BJ184" s="59">
        <f t="shared" si="146"/>
        <v>317.78570695363294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2.4797363988279031</v>
      </c>
      <c r="BQ184" s="21">
        <f>EXP(-LN(2)/25)*BQ183+(1-EXP(-LN(2)/25))/(LN(2)/25)*Calculateur!BL184*Calculateur!BN184*VLOOKUP('Données projet'!$B$11,Paramètres!$A$1:$I$89,3,0)*0.475*44/12</f>
        <v>0.14783939810346794</v>
      </c>
      <c r="BR184" s="21">
        <f>EXP(-LN(2)/2)*BR183+(1-EXP(-LN(2)/2))/(LN(2)/2)*BL184*BO184*VLOOKUP('Données projet'!$B$11,Paramètres!$A$1:$I$89,3,0)*0.475*44/12</f>
        <v>1.0722054178819491E-23</v>
      </c>
      <c r="BS184" s="22">
        <f t="shared" si="169"/>
        <v>2.6275757969313709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>
        <f>BY184*VLOOKUP('Données projet'!$B$12,Paramètres!$A$1:$I$89,3,0)*VLOOKUP('Données projet'!$B$12,Paramètres!$A$1:$I$89,5,0)</f>
        <v>0</v>
      </c>
      <c r="CA184" s="13" t="e">
        <f t="shared" si="170"/>
        <v>#NUM!</v>
      </c>
      <c r="CB184" s="20" t="e">
        <f t="shared" si="171"/>
        <v>#NUM!</v>
      </c>
      <c r="CC184" s="59" t="e">
        <f t="shared" si="119"/>
        <v>#NUM!</v>
      </c>
      <c r="CD184" s="59">
        <f ca="1">AVERAGE(OFFSET($CC$3,0,0,'Données projet'!$E$12+1,1))-AVERAGE(OFFSET($H$3,0,0,'Données projet'!$E$12+1,1))</f>
        <v>112.82287576550925</v>
      </c>
      <c r="CE184" s="59">
        <f t="shared" si="148"/>
        <v>317.78570695363294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>
        <f>EXP(-LN(2)/35)*CK183+(1-EXP(-LN(2)/35))/(LN(2)/35)*CG184*CH184*VLOOKUP('Données projet'!$B$12,Paramètres!$A$1:$I$89,3,0)*0.475*44/12</f>
        <v>2.4797363988279031</v>
      </c>
      <c r="CL184" s="21">
        <f>EXP(-LN(2)/25)*CL183+(1-EXP(-LN(2)/25))/(LN(2)/25)*Calculateur!CG184*Calculateur!CI184*VLOOKUP('Données projet'!$B$12,Paramètres!$A$1:$I$89,3,0)*0.475*44/12</f>
        <v>0.14783939810346794</v>
      </c>
      <c r="CM184" s="21">
        <f>EXP(-LN(2)/2)*CM183+(1-EXP(-LN(2)/2))/(LN(2)/2)*CG184*CJ184*VLOOKUP('Données projet'!$B$12,Paramètres!$A$1:$I$89,3,0)*0.475*44/12</f>
        <v>1.0722054178819491E-23</v>
      </c>
      <c r="CN184" s="22">
        <f t="shared" si="172"/>
        <v>2.6275757969313709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5">
      <c r="A185" s="10">
        <f t="shared" si="161"/>
        <v>182</v>
      </c>
      <c r="B185" s="73">
        <f>'Scénario référence'!$B$16*5+'Scénario référence'!$B$17*0+'Scénario référence'!$B$18*5</f>
        <v>5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1">
        <f t="shared" si="140"/>
        <v>0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5" s="11">
        <f>IF(OR('Scénario référence'!$F$8&gt;0,'Scénario référence'!$F$9&gt;0),('Scénario référence'!$F$8+'Scénario référence'!$F$9)*10,0)</f>
        <v>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18.333333333333332</v>
      </c>
      <c r="H185" s="67">
        <f t="shared" si="110"/>
        <v>183.33333333333334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0</v>
      </c>
      <c r="O185" s="13">
        <f>N185*VLOOKUP('Données projet'!$B$9,Paramètres!$A$1:$I$89,3,0)*VLOOKUP('Données projet'!$B$9,Paramètres!$A$1:$I$89,5,0)</f>
        <v>0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112.82287576550925</v>
      </c>
      <c r="T185" s="59">
        <f t="shared" si="142"/>
        <v>317.78570695363294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2.4311102805367453</v>
      </c>
      <c r="AA185" s="21">
        <f>EXP(-LN(2)/25)*AA184+(1-EXP(-LN(2)/25))/(LN(2)/25)*Calculateur!V185*Calculateur!X185*VLOOKUP('Données projet'!$B$9,Paramètres!$A$1:$I$89,3,0)*0.475*44/12</f>
        <v>0.14379672198779256</v>
      </c>
      <c r="AB185" s="21">
        <f>EXP(-LN(2)/2)*AB184+(1-EXP(-LN(2)/2))/(LN(2)/2)*V185*Y185*VLOOKUP('Données projet'!$B$9,Paramètres!$A$1:$I$89,3,0)*0.475*44/12</f>
        <v>7.5816372180928211E-24</v>
      </c>
      <c r="AC185" s="22">
        <f t="shared" si="163"/>
        <v>2.574907002524538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0</v>
      </c>
      <c r="AJ185" s="13">
        <f>AI185*VLOOKUP('Données projet'!$B$10,Paramètres!$A$1:$I$89,3,0)*VLOOKUP('Données projet'!$B$10,Paramètres!$A$1:$I$89,5,0)</f>
        <v>0</v>
      </c>
      <c r="AK185" s="13" t="e">
        <f t="shared" si="164"/>
        <v>#NUM!</v>
      </c>
      <c r="AL185" s="20" t="e">
        <f t="shared" si="165"/>
        <v>#NUM!</v>
      </c>
      <c r="AM185" s="59" t="e">
        <f t="shared" si="113"/>
        <v>#NUM!</v>
      </c>
      <c r="AN185" s="59">
        <f ca="1">AVERAGE(OFFSET($AM$3,0,0,'Données projet'!$E$10+1,1))-AVERAGE(OFFSET($H$3,0,0,'Données projet'!$E$10+1,1))</f>
        <v>112.82287576550925</v>
      </c>
      <c r="AO185" s="59">
        <f t="shared" si="144"/>
        <v>317.78570695363294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2.4311102805367453</v>
      </c>
      <c r="AV185" s="21">
        <f>EXP(-LN(2)/25)*AV184+(1-EXP(-LN(2)/25))/(LN(2)/25)*Calculateur!AQ185*Calculateur!AS185*VLOOKUP('Données projet'!$B$10,Paramètres!$A$1:$I$89,3,0)*0.475*44/12</f>
        <v>0.14379672198779256</v>
      </c>
      <c r="AW185" s="21">
        <f>EXP(-LN(2)/2)*AW184+(1-EXP(-LN(2)/2))/(LN(2)/2)*AQ185*AT185*VLOOKUP('Données projet'!$B$10,Paramètres!$A$1:$I$89,3,0)*0.475*44/12</f>
        <v>7.5816372180928211E-24</v>
      </c>
      <c r="AX185" s="21">
        <f t="shared" si="166"/>
        <v>2.574907002524538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0</v>
      </c>
      <c r="BE185" s="13">
        <f>BD185*VLOOKUP('Données projet'!$B$11,Paramètres!$A$1:$I$89,3,0)*VLOOKUP('Données projet'!$B$11,Paramètres!$A$1:$I$89,5,0)</f>
        <v>0</v>
      </c>
      <c r="BF185" s="13" t="e">
        <f t="shared" si="167"/>
        <v>#NUM!</v>
      </c>
      <c r="BG185" s="20" t="e">
        <f t="shared" si="168"/>
        <v>#NUM!</v>
      </c>
      <c r="BH185" s="59" t="e">
        <f t="shared" si="116"/>
        <v>#NUM!</v>
      </c>
      <c r="BI185" s="59">
        <f ca="1">AVERAGE(OFFSET($BH$3,0,0,'Données projet'!$E$11+1,1))-AVERAGE(OFFSET($H$3,0,0,'Données projet'!$E$11+1,1))</f>
        <v>112.82287576550925</v>
      </c>
      <c r="BJ185" s="59">
        <f t="shared" si="146"/>
        <v>317.78570695363294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2.4311102805367453</v>
      </c>
      <c r="BQ185" s="21">
        <f>EXP(-LN(2)/25)*BQ184+(1-EXP(-LN(2)/25))/(LN(2)/25)*Calculateur!BL185*Calculateur!BN185*VLOOKUP('Données projet'!$B$11,Paramètres!$A$1:$I$89,3,0)*0.475*44/12</f>
        <v>0.14379672198779256</v>
      </c>
      <c r="BR185" s="21">
        <f>EXP(-LN(2)/2)*BR184+(1-EXP(-LN(2)/2))/(LN(2)/2)*BL185*BO185*VLOOKUP('Données projet'!$B$11,Paramètres!$A$1:$I$89,3,0)*0.475*44/12</f>
        <v>7.5816372180928211E-24</v>
      </c>
      <c r="BS185" s="22">
        <f t="shared" si="169"/>
        <v>2.574907002524538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>
        <f>BY185*VLOOKUP('Données projet'!$B$12,Paramètres!$A$1:$I$89,3,0)*VLOOKUP('Données projet'!$B$12,Paramètres!$A$1:$I$89,5,0)</f>
        <v>0</v>
      </c>
      <c r="CA185" s="13" t="e">
        <f t="shared" si="170"/>
        <v>#NUM!</v>
      </c>
      <c r="CB185" s="20" t="e">
        <f t="shared" si="171"/>
        <v>#NUM!</v>
      </c>
      <c r="CC185" s="59" t="e">
        <f t="shared" si="119"/>
        <v>#NUM!</v>
      </c>
      <c r="CD185" s="59">
        <f ca="1">AVERAGE(OFFSET($CC$3,0,0,'Données projet'!$E$12+1,1))-AVERAGE(OFFSET($H$3,0,0,'Données projet'!$E$12+1,1))</f>
        <v>112.82287576550925</v>
      </c>
      <c r="CE185" s="59">
        <f t="shared" si="148"/>
        <v>317.78570695363294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>
        <f>EXP(-LN(2)/35)*CK184+(1-EXP(-LN(2)/35))/(LN(2)/35)*CG185*CH185*VLOOKUP('Données projet'!$B$12,Paramètres!$A$1:$I$89,3,0)*0.475*44/12</f>
        <v>2.4311102805367453</v>
      </c>
      <c r="CL185" s="21">
        <f>EXP(-LN(2)/25)*CL184+(1-EXP(-LN(2)/25))/(LN(2)/25)*Calculateur!CG185*Calculateur!CI185*VLOOKUP('Données projet'!$B$12,Paramètres!$A$1:$I$89,3,0)*0.475*44/12</f>
        <v>0.14379672198779256</v>
      </c>
      <c r="CM185" s="21">
        <f>EXP(-LN(2)/2)*CM184+(1-EXP(-LN(2)/2))/(LN(2)/2)*CG185*CJ185*VLOOKUP('Données projet'!$B$12,Paramètres!$A$1:$I$89,3,0)*0.475*44/12</f>
        <v>7.5816372180928211E-24</v>
      </c>
      <c r="CN185" s="22">
        <f t="shared" si="172"/>
        <v>2.574907002524538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5">
      <c r="A186" s="10">
        <f t="shared" si="161"/>
        <v>183</v>
      </c>
      <c r="B186" s="73">
        <f>'Scénario référence'!$B$16*5+'Scénario référence'!$B$17*0+'Scénario référence'!$B$18*5</f>
        <v>5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1">
        <f t="shared" si="140"/>
        <v>0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6" s="11">
        <f>IF(OR('Scénario référence'!$F$8&gt;0,'Scénario référence'!$F$9&gt;0),('Scénario référence'!$F$8+'Scénario référence'!$F$9)*10,0)</f>
        <v>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18.333333333333332</v>
      </c>
      <c r="H186" s="67">
        <f t="shared" si="110"/>
        <v>183.33333333333334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0</v>
      </c>
      <c r="O186" s="13">
        <f>N186*VLOOKUP('Données projet'!$B$9,Paramètres!$A$1:$I$89,3,0)*VLOOKUP('Données projet'!$B$9,Paramètres!$A$1:$I$89,5,0)</f>
        <v>0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112.82287576550925</v>
      </c>
      <c r="T186" s="59">
        <f t="shared" si="142"/>
        <v>317.78570695363294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2.3834376907662733</v>
      </c>
      <c r="AA186" s="21">
        <f>EXP(-LN(2)/25)*AA185+(1-EXP(-LN(2)/25))/(LN(2)/25)*Calculateur!V186*Calculateur!X186*VLOOKUP('Données projet'!$B$9,Paramètres!$A$1:$I$89,3,0)*0.475*44/12</f>
        <v>0.13986459306309543</v>
      </c>
      <c r="AB186" s="21">
        <f>EXP(-LN(2)/2)*AB185+(1-EXP(-LN(2)/2))/(LN(2)/2)*V186*Y186*VLOOKUP('Données projet'!$B$9,Paramètres!$A$1:$I$89,3,0)*0.475*44/12</f>
        <v>5.3610270894097454E-24</v>
      </c>
      <c r="AC186" s="22">
        <f t="shared" si="163"/>
        <v>2.5233022838293686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0</v>
      </c>
      <c r="AJ186" s="13">
        <f>AI186*VLOOKUP('Données projet'!$B$10,Paramètres!$A$1:$I$89,3,0)*VLOOKUP('Données projet'!$B$10,Paramètres!$A$1:$I$89,5,0)</f>
        <v>0</v>
      </c>
      <c r="AK186" s="13" t="e">
        <f t="shared" si="164"/>
        <v>#NUM!</v>
      </c>
      <c r="AL186" s="20" t="e">
        <f t="shared" si="165"/>
        <v>#NUM!</v>
      </c>
      <c r="AM186" s="59" t="e">
        <f t="shared" si="113"/>
        <v>#NUM!</v>
      </c>
      <c r="AN186" s="59">
        <f ca="1">AVERAGE(OFFSET($AM$3,0,0,'Données projet'!$E$10+1,1))-AVERAGE(OFFSET($H$3,0,0,'Données projet'!$E$10+1,1))</f>
        <v>112.82287576550925</v>
      </c>
      <c r="AO186" s="59">
        <f t="shared" si="144"/>
        <v>317.78570695363294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2.3834376907662733</v>
      </c>
      <c r="AV186" s="21">
        <f>EXP(-LN(2)/25)*AV185+(1-EXP(-LN(2)/25))/(LN(2)/25)*Calculateur!AQ186*Calculateur!AS186*VLOOKUP('Données projet'!$B$10,Paramètres!$A$1:$I$89,3,0)*0.475*44/12</f>
        <v>0.13986459306309543</v>
      </c>
      <c r="AW186" s="21">
        <f>EXP(-LN(2)/2)*AW185+(1-EXP(-LN(2)/2))/(LN(2)/2)*AQ186*AT186*VLOOKUP('Données projet'!$B$10,Paramètres!$A$1:$I$89,3,0)*0.475*44/12</f>
        <v>5.3610270894097454E-24</v>
      </c>
      <c r="AX186" s="21">
        <f t="shared" si="166"/>
        <v>2.5233022838293686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0</v>
      </c>
      <c r="BE186" s="13">
        <f>BD186*VLOOKUP('Données projet'!$B$11,Paramètres!$A$1:$I$89,3,0)*VLOOKUP('Données projet'!$B$11,Paramètres!$A$1:$I$89,5,0)</f>
        <v>0</v>
      </c>
      <c r="BF186" s="13" t="e">
        <f t="shared" si="167"/>
        <v>#NUM!</v>
      </c>
      <c r="BG186" s="20" t="e">
        <f t="shared" si="168"/>
        <v>#NUM!</v>
      </c>
      <c r="BH186" s="59" t="e">
        <f t="shared" si="116"/>
        <v>#NUM!</v>
      </c>
      <c r="BI186" s="59">
        <f ca="1">AVERAGE(OFFSET($BH$3,0,0,'Données projet'!$E$11+1,1))-AVERAGE(OFFSET($H$3,0,0,'Données projet'!$E$11+1,1))</f>
        <v>112.82287576550925</v>
      </c>
      <c r="BJ186" s="59">
        <f t="shared" si="146"/>
        <v>317.78570695363294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2.3834376907662733</v>
      </c>
      <c r="BQ186" s="21">
        <f>EXP(-LN(2)/25)*BQ185+(1-EXP(-LN(2)/25))/(LN(2)/25)*Calculateur!BL186*Calculateur!BN186*VLOOKUP('Données projet'!$B$11,Paramètres!$A$1:$I$89,3,0)*0.475*44/12</f>
        <v>0.13986459306309543</v>
      </c>
      <c r="BR186" s="21">
        <f>EXP(-LN(2)/2)*BR185+(1-EXP(-LN(2)/2))/(LN(2)/2)*BL186*BO186*VLOOKUP('Données projet'!$B$11,Paramètres!$A$1:$I$89,3,0)*0.475*44/12</f>
        <v>5.3610270894097454E-24</v>
      </c>
      <c r="BS186" s="22">
        <f t="shared" si="169"/>
        <v>2.5233022838293686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>
        <f>BY186*VLOOKUP('Données projet'!$B$12,Paramètres!$A$1:$I$89,3,0)*VLOOKUP('Données projet'!$B$12,Paramètres!$A$1:$I$89,5,0)</f>
        <v>0</v>
      </c>
      <c r="CA186" s="13" t="e">
        <f t="shared" si="170"/>
        <v>#NUM!</v>
      </c>
      <c r="CB186" s="20" t="e">
        <f t="shared" si="171"/>
        <v>#NUM!</v>
      </c>
      <c r="CC186" s="59" t="e">
        <f t="shared" si="119"/>
        <v>#NUM!</v>
      </c>
      <c r="CD186" s="59">
        <f ca="1">AVERAGE(OFFSET($CC$3,0,0,'Données projet'!$E$12+1,1))-AVERAGE(OFFSET($H$3,0,0,'Données projet'!$E$12+1,1))</f>
        <v>112.82287576550925</v>
      </c>
      <c r="CE186" s="59">
        <f t="shared" si="148"/>
        <v>317.78570695363294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>
        <f>EXP(-LN(2)/35)*CK185+(1-EXP(-LN(2)/35))/(LN(2)/35)*CG186*CH186*VLOOKUP('Données projet'!$B$12,Paramètres!$A$1:$I$89,3,0)*0.475*44/12</f>
        <v>2.3834376907662733</v>
      </c>
      <c r="CL186" s="21">
        <f>EXP(-LN(2)/25)*CL185+(1-EXP(-LN(2)/25))/(LN(2)/25)*Calculateur!CG186*Calculateur!CI186*VLOOKUP('Données projet'!$B$12,Paramètres!$A$1:$I$89,3,0)*0.475*44/12</f>
        <v>0.13986459306309543</v>
      </c>
      <c r="CM186" s="21">
        <f>EXP(-LN(2)/2)*CM185+(1-EXP(-LN(2)/2))/(LN(2)/2)*CG186*CJ186*VLOOKUP('Données projet'!$B$12,Paramètres!$A$1:$I$89,3,0)*0.475*44/12</f>
        <v>5.3610270894097454E-24</v>
      </c>
      <c r="CN186" s="22">
        <f t="shared" si="172"/>
        <v>2.5233022838293686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5">
      <c r="A187" s="10">
        <f t="shared" si="161"/>
        <v>184</v>
      </c>
      <c r="B187" s="73">
        <f>'Scénario référence'!$B$16*5+'Scénario référence'!$B$17*0+'Scénario référence'!$B$18*5</f>
        <v>5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1">
        <f t="shared" si="140"/>
        <v>0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7" s="11">
        <f>IF(OR('Scénario référence'!$F$8&gt;0,'Scénario référence'!$F$9&gt;0),('Scénario référence'!$F$8+'Scénario référence'!$F$9)*10,0)</f>
        <v>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18.333333333333332</v>
      </c>
      <c r="H187" s="67">
        <f t="shared" si="110"/>
        <v>183.33333333333334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0</v>
      </c>
      <c r="O187" s="13">
        <f>N187*VLOOKUP('Données projet'!$B$9,Paramètres!$A$1:$I$89,3,0)*VLOOKUP('Données projet'!$B$9,Paramètres!$A$1:$I$89,5,0)</f>
        <v>0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112.82287576550925</v>
      </c>
      <c r="T187" s="59">
        <f t="shared" si="142"/>
        <v>317.78570695363294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2.3366999314037917</v>
      </c>
      <c r="AA187" s="21">
        <f>EXP(-LN(2)/25)*AA186+(1-EXP(-LN(2)/25))/(LN(2)/25)*Calculateur!V187*Calculateur!X187*VLOOKUP('Données projet'!$B$9,Paramètres!$A$1:$I$89,3,0)*0.475*44/12</f>
        <v>0.13603998841062581</v>
      </c>
      <c r="AB187" s="21">
        <f>EXP(-LN(2)/2)*AB186+(1-EXP(-LN(2)/2))/(LN(2)/2)*V187*Y187*VLOOKUP('Données projet'!$B$9,Paramètres!$A$1:$I$89,3,0)*0.475*44/12</f>
        <v>3.7908186090464105E-24</v>
      </c>
      <c r="AC187" s="22">
        <f t="shared" si="163"/>
        <v>2.4727399198144173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0</v>
      </c>
      <c r="AJ187" s="13">
        <f>AI187*VLOOKUP('Données projet'!$B$10,Paramètres!$A$1:$I$89,3,0)*VLOOKUP('Données projet'!$B$10,Paramètres!$A$1:$I$89,5,0)</f>
        <v>0</v>
      </c>
      <c r="AK187" s="13" t="e">
        <f t="shared" si="164"/>
        <v>#NUM!</v>
      </c>
      <c r="AL187" s="20" t="e">
        <f t="shared" si="165"/>
        <v>#NUM!</v>
      </c>
      <c r="AM187" s="59" t="e">
        <f t="shared" si="113"/>
        <v>#NUM!</v>
      </c>
      <c r="AN187" s="59">
        <f ca="1">AVERAGE(OFFSET($AM$3,0,0,'Données projet'!$E$10+1,1))-AVERAGE(OFFSET($H$3,0,0,'Données projet'!$E$10+1,1))</f>
        <v>112.82287576550925</v>
      </c>
      <c r="AO187" s="59">
        <f t="shared" si="144"/>
        <v>317.78570695363294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2.3366999314037917</v>
      </c>
      <c r="AV187" s="21">
        <f>EXP(-LN(2)/25)*AV186+(1-EXP(-LN(2)/25))/(LN(2)/25)*Calculateur!AQ187*Calculateur!AS187*VLOOKUP('Données projet'!$B$10,Paramètres!$A$1:$I$89,3,0)*0.475*44/12</f>
        <v>0.13603998841062581</v>
      </c>
      <c r="AW187" s="21">
        <f>EXP(-LN(2)/2)*AW186+(1-EXP(-LN(2)/2))/(LN(2)/2)*AQ187*AT187*VLOOKUP('Données projet'!$B$10,Paramètres!$A$1:$I$89,3,0)*0.475*44/12</f>
        <v>3.7908186090464105E-24</v>
      </c>
      <c r="AX187" s="21">
        <f t="shared" si="166"/>
        <v>2.4727399198144173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0</v>
      </c>
      <c r="BE187" s="13">
        <f>BD187*VLOOKUP('Données projet'!$B$11,Paramètres!$A$1:$I$89,3,0)*VLOOKUP('Données projet'!$B$11,Paramètres!$A$1:$I$89,5,0)</f>
        <v>0</v>
      </c>
      <c r="BF187" s="13" t="e">
        <f t="shared" si="167"/>
        <v>#NUM!</v>
      </c>
      <c r="BG187" s="20" t="e">
        <f t="shared" si="168"/>
        <v>#NUM!</v>
      </c>
      <c r="BH187" s="59" t="e">
        <f t="shared" si="116"/>
        <v>#NUM!</v>
      </c>
      <c r="BI187" s="59">
        <f ca="1">AVERAGE(OFFSET($BH$3,0,0,'Données projet'!$E$11+1,1))-AVERAGE(OFFSET($H$3,0,0,'Données projet'!$E$11+1,1))</f>
        <v>112.82287576550925</v>
      </c>
      <c r="BJ187" s="59">
        <f t="shared" si="146"/>
        <v>317.78570695363294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2.3366999314037917</v>
      </c>
      <c r="BQ187" s="21">
        <f>EXP(-LN(2)/25)*BQ186+(1-EXP(-LN(2)/25))/(LN(2)/25)*Calculateur!BL187*Calculateur!BN187*VLOOKUP('Données projet'!$B$11,Paramètres!$A$1:$I$89,3,0)*0.475*44/12</f>
        <v>0.13603998841062581</v>
      </c>
      <c r="BR187" s="21">
        <f>EXP(-LN(2)/2)*BR186+(1-EXP(-LN(2)/2))/(LN(2)/2)*BL187*BO187*VLOOKUP('Données projet'!$B$11,Paramètres!$A$1:$I$89,3,0)*0.475*44/12</f>
        <v>3.7908186090464105E-24</v>
      </c>
      <c r="BS187" s="22">
        <f t="shared" si="169"/>
        <v>2.4727399198144173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>
        <f>BY187*VLOOKUP('Données projet'!$B$12,Paramètres!$A$1:$I$89,3,0)*VLOOKUP('Données projet'!$B$12,Paramètres!$A$1:$I$89,5,0)</f>
        <v>0</v>
      </c>
      <c r="CA187" s="13" t="e">
        <f t="shared" si="170"/>
        <v>#NUM!</v>
      </c>
      <c r="CB187" s="20" t="e">
        <f t="shared" si="171"/>
        <v>#NUM!</v>
      </c>
      <c r="CC187" s="59" t="e">
        <f t="shared" si="119"/>
        <v>#NUM!</v>
      </c>
      <c r="CD187" s="59">
        <f ca="1">AVERAGE(OFFSET($CC$3,0,0,'Données projet'!$E$12+1,1))-AVERAGE(OFFSET($H$3,0,0,'Données projet'!$E$12+1,1))</f>
        <v>112.82287576550925</v>
      </c>
      <c r="CE187" s="59">
        <f t="shared" si="148"/>
        <v>317.78570695363294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>
        <f>EXP(-LN(2)/35)*CK186+(1-EXP(-LN(2)/35))/(LN(2)/35)*CG187*CH187*VLOOKUP('Données projet'!$B$12,Paramètres!$A$1:$I$89,3,0)*0.475*44/12</f>
        <v>2.3366999314037917</v>
      </c>
      <c r="CL187" s="21">
        <f>EXP(-LN(2)/25)*CL186+(1-EXP(-LN(2)/25))/(LN(2)/25)*Calculateur!CG187*Calculateur!CI187*VLOOKUP('Données projet'!$B$12,Paramètres!$A$1:$I$89,3,0)*0.475*44/12</f>
        <v>0.13603998841062581</v>
      </c>
      <c r="CM187" s="21">
        <f>EXP(-LN(2)/2)*CM186+(1-EXP(-LN(2)/2))/(LN(2)/2)*CG187*CJ187*VLOOKUP('Données projet'!$B$12,Paramètres!$A$1:$I$89,3,0)*0.475*44/12</f>
        <v>3.7908186090464105E-24</v>
      </c>
      <c r="CN187" s="22">
        <f t="shared" si="172"/>
        <v>2.4727399198144173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5">
      <c r="A188" s="10">
        <f t="shared" si="161"/>
        <v>185</v>
      </c>
      <c r="B188" s="73">
        <f>'Scénario référence'!$B$16*5+'Scénario référence'!$B$17*0+'Scénario référence'!$B$18*5</f>
        <v>5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1">
        <f t="shared" si="140"/>
        <v>0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8" s="11">
        <f>IF(OR('Scénario référence'!$F$8&gt;0,'Scénario référence'!$F$9&gt;0),('Scénario référence'!$F$8+'Scénario référence'!$F$9)*10,0)</f>
        <v>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18.333333333333332</v>
      </c>
      <c r="H188" s="67">
        <f t="shared" si="110"/>
        <v>183.33333333333334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0</v>
      </c>
      <c r="O188" s="13">
        <f>N188*VLOOKUP('Données projet'!$B$9,Paramètres!$A$1:$I$89,3,0)*VLOOKUP('Données projet'!$B$9,Paramètres!$A$1:$I$89,5,0)</f>
        <v>0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112.82287576550925</v>
      </c>
      <c r="T188" s="59">
        <f t="shared" si="142"/>
        <v>317.78570695363294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2.2908786709951903</v>
      </c>
      <c r="AA188" s="21">
        <f>EXP(-LN(2)/25)*AA187+(1-EXP(-LN(2)/25))/(LN(2)/25)*Calculateur!V188*Calculateur!X188*VLOOKUP('Données projet'!$B$9,Paramètres!$A$1:$I$89,3,0)*0.475*44/12</f>
        <v>0.13231996777350519</v>
      </c>
      <c r="AB188" s="21">
        <f>EXP(-LN(2)/2)*AB187+(1-EXP(-LN(2)/2))/(LN(2)/2)*V188*Y188*VLOOKUP('Données projet'!$B$9,Paramètres!$A$1:$I$89,3,0)*0.475*44/12</f>
        <v>2.6805135447048727E-24</v>
      </c>
      <c r="AC188" s="22">
        <f t="shared" si="163"/>
        <v>2.4231986387686955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0</v>
      </c>
      <c r="AJ188" s="13">
        <f>AI188*VLOOKUP('Données projet'!$B$10,Paramètres!$A$1:$I$89,3,0)*VLOOKUP('Données projet'!$B$10,Paramètres!$A$1:$I$89,5,0)</f>
        <v>0</v>
      </c>
      <c r="AK188" s="13" t="e">
        <f t="shared" si="164"/>
        <v>#NUM!</v>
      </c>
      <c r="AL188" s="20" t="e">
        <f t="shared" si="165"/>
        <v>#NUM!</v>
      </c>
      <c r="AM188" s="59" t="e">
        <f t="shared" si="113"/>
        <v>#NUM!</v>
      </c>
      <c r="AN188" s="59">
        <f ca="1">AVERAGE(OFFSET($AM$3,0,0,'Données projet'!$E$10+1,1))-AVERAGE(OFFSET($H$3,0,0,'Données projet'!$E$10+1,1))</f>
        <v>112.82287576550925</v>
      </c>
      <c r="AO188" s="59">
        <f t="shared" si="144"/>
        <v>317.78570695363294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2.2908786709951903</v>
      </c>
      <c r="AV188" s="21">
        <f>EXP(-LN(2)/25)*AV187+(1-EXP(-LN(2)/25))/(LN(2)/25)*Calculateur!AQ188*Calculateur!AS188*VLOOKUP('Données projet'!$B$10,Paramètres!$A$1:$I$89,3,0)*0.475*44/12</f>
        <v>0.13231996777350519</v>
      </c>
      <c r="AW188" s="21">
        <f>EXP(-LN(2)/2)*AW187+(1-EXP(-LN(2)/2))/(LN(2)/2)*AQ188*AT188*VLOOKUP('Données projet'!$B$10,Paramètres!$A$1:$I$89,3,0)*0.475*44/12</f>
        <v>2.6805135447048727E-24</v>
      </c>
      <c r="AX188" s="21">
        <f t="shared" si="166"/>
        <v>2.4231986387686955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0</v>
      </c>
      <c r="BE188" s="13">
        <f>BD188*VLOOKUP('Données projet'!$B$11,Paramètres!$A$1:$I$89,3,0)*VLOOKUP('Données projet'!$B$11,Paramètres!$A$1:$I$89,5,0)</f>
        <v>0</v>
      </c>
      <c r="BF188" s="13" t="e">
        <f t="shared" si="167"/>
        <v>#NUM!</v>
      </c>
      <c r="BG188" s="20" t="e">
        <f t="shared" si="168"/>
        <v>#NUM!</v>
      </c>
      <c r="BH188" s="59" t="e">
        <f t="shared" si="116"/>
        <v>#NUM!</v>
      </c>
      <c r="BI188" s="59">
        <f ca="1">AVERAGE(OFFSET($BH$3,0,0,'Données projet'!$E$11+1,1))-AVERAGE(OFFSET($H$3,0,0,'Données projet'!$E$11+1,1))</f>
        <v>112.82287576550925</v>
      </c>
      <c r="BJ188" s="59">
        <f t="shared" si="146"/>
        <v>317.78570695363294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2.2908786709951903</v>
      </c>
      <c r="BQ188" s="21">
        <f>EXP(-LN(2)/25)*BQ187+(1-EXP(-LN(2)/25))/(LN(2)/25)*Calculateur!BL188*Calculateur!BN188*VLOOKUP('Données projet'!$B$11,Paramètres!$A$1:$I$89,3,0)*0.475*44/12</f>
        <v>0.13231996777350519</v>
      </c>
      <c r="BR188" s="21">
        <f>EXP(-LN(2)/2)*BR187+(1-EXP(-LN(2)/2))/(LN(2)/2)*BL188*BO188*VLOOKUP('Données projet'!$B$11,Paramètres!$A$1:$I$89,3,0)*0.475*44/12</f>
        <v>2.6805135447048727E-24</v>
      </c>
      <c r="BS188" s="22">
        <f t="shared" si="169"/>
        <v>2.4231986387686955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>
        <f>BY188*VLOOKUP('Données projet'!$B$12,Paramètres!$A$1:$I$89,3,0)*VLOOKUP('Données projet'!$B$12,Paramètres!$A$1:$I$89,5,0)</f>
        <v>0</v>
      </c>
      <c r="CA188" s="13" t="e">
        <f t="shared" si="170"/>
        <v>#NUM!</v>
      </c>
      <c r="CB188" s="20" t="e">
        <f t="shared" si="171"/>
        <v>#NUM!</v>
      </c>
      <c r="CC188" s="59" t="e">
        <f t="shared" si="119"/>
        <v>#NUM!</v>
      </c>
      <c r="CD188" s="59">
        <f ca="1">AVERAGE(OFFSET($CC$3,0,0,'Données projet'!$E$12+1,1))-AVERAGE(OFFSET($H$3,0,0,'Données projet'!$E$12+1,1))</f>
        <v>112.82287576550925</v>
      </c>
      <c r="CE188" s="59">
        <f t="shared" si="148"/>
        <v>317.78570695363294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>
        <f>EXP(-LN(2)/35)*CK187+(1-EXP(-LN(2)/35))/(LN(2)/35)*CG188*CH188*VLOOKUP('Données projet'!$B$12,Paramètres!$A$1:$I$89,3,0)*0.475*44/12</f>
        <v>2.2908786709951903</v>
      </c>
      <c r="CL188" s="21">
        <f>EXP(-LN(2)/25)*CL187+(1-EXP(-LN(2)/25))/(LN(2)/25)*Calculateur!CG188*Calculateur!CI188*VLOOKUP('Données projet'!$B$12,Paramètres!$A$1:$I$89,3,0)*0.475*44/12</f>
        <v>0.13231996777350519</v>
      </c>
      <c r="CM188" s="21">
        <f>EXP(-LN(2)/2)*CM187+(1-EXP(-LN(2)/2))/(LN(2)/2)*CG188*CJ188*VLOOKUP('Données projet'!$B$12,Paramètres!$A$1:$I$89,3,0)*0.475*44/12</f>
        <v>2.6805135447048727E-24</v>
      </c>
      <c r="CN188" s="22">
        <f t="shared" si="172"/>
        <v>2.4231986387686955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5">
      <c r="A189" s="10">
        <f t="shared" si="161"/>
        <v>186</v>
      </c>
      <c r="B189" s="73">
        <f>'Scénario référence'!$B$16*5+'Scénario référence'!$B$17*0+'Scénario référence'!$B$18*5</f>
        <v>5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1">
        <f t="shared" si="140"/>
        <v>0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9" s="11">
        <f>IF(OR('Scénario référence'!$F$8&gt;0,'Scénario référence'!$F$9&gt;0),('Scénario référence'!$F$8+'Scénario référence'!$F$9)*10,0)</f>
        <v>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18.333333333333332</v>
      </c>
      <c r="H189" s="67">
        <f t="shared" si="110"/>
        <v>183.33333333333334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0</v>
      </c>
      <c r="O189" s="13">
        <f>N189*VLOOKUP('Données projet'!$B$9,Paramètres!$A$1:$I$89,3,0)*VLOOKUP('Données projet'!$B$9,Paramètres!$A$1:$I$89,5,0)</f>
        <v>0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112.82287576550925</v>
      </c>
      <c r="T189" s="59">
        <f t="shared" si="142"/>
        <v>317.78570695363294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2.2459559375549922</v>
      </c>
      <c r="AA189" s="21">
        <f>EXP(-LN(2)/25)*AA188+(1-EXP(-LN(2)/25))/(LN(2)/25)*Calculateur!V189*Calculateur!X189*VLOOKUP('Données projet'!$B$9,Paramètres!$A$1:$I$89,3,0)*0.475*44/12</f>
        <v>0.128701671296334</v>
      </c>
      <c r="AB189" s="21">
        <f>EXP(-LN(2)/2)*AB188+(1-EXP(-LN(2)/2))/(LN(2)/2)*V189*Y189*VLOOKUP('Données projet'!$B$9,Paramètres!$A$1:$I$89,3,0)*0.475*44/12</f>
        <v>1.8954093045232053E-24</v>
      </c>
      <c r="AC189" s="22">
        <f t="shared" si="163"/>
        <v>2.3746576088513263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0</v>
      </c>
      <c r="AJ189" s="13">
        <f>AI189*VLOOKUP('Données projet'!$B$10,Paramètres!$A$1:$I$89,3,0)*VLOOKUP('Données projet'!$B$10,Paramètres!$A$1:$I$89,5,0)</f>
        <v>0</v>
      </c>
      <c r="AK189" s="13" t="e">
        <f t="shared" si="164"/>
        <v>#NUM!</v>
      </c>
      <c r="AL189" s="20" t="e">
        <f t="shared" si="165"/>
        <v>#NUM!</v>
      </c>
      <c r="AM189" s="59" t="e">
        <f t="shared" si="113"/>
        <v>#NUM!</v>
      </c>
      <c r="AN189" s="59">
        <f ca="1">AVERAGE(OFFSET($AM$3,0,0,'Données projet'!$E$10+1,1))-AVERAGE(OFFSET($H$3,0,0,'Données projet'!$E$10+1,1))</f>
        <v>112.82287576550925</v>
      </c>
      <c r="AO189" s="59">
        <f t="shared" si="144"/>
        <v>317.78570695363294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2.2459559375549922</v>
      </c>
      <c r="AV189" s="21">
        <f>EXP(-LN(2)/25)*AV188+(1-EXP(-LN(2)/25))/(LN(2)/25)*Calculateur!AQ189*Calculateur!AS189*VLOOKUP('Données projet'!$B$10,Paramètres!$A$1:$I$89,3,0)*0.475*44/12</f>
        <v>0.128701671296334</v>
      </c>
      <c r="AW189" s="21">
        <f>EXP(-LN(2)/2)*AW188+(1-EXP(-LN(2)/2))/(LN(2)/2)*AQ189*AT189*VLOOKUP('Données projet'!$B$10,Paramètres!$A$1:$I$89,3,0)*0.475*44/12</f>
        <v>1.8954093045232053E-24</v>
      </c>
      <c r="AX189" s="21">
        <f t="shared" si="166"/>
        <v>2.3746576088513263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0</v>
      </c>
      <c r="BE189" s="13">
        <f>BD189*VLOOKUP('Données projet'!$B$11,Paramètres!$A$1:$I$89,3,0)*VLOOKUP('Données projet'!$B$11,Paramètres!$A$1:$I$89,5,0)</f>
        <v>0</v>
      </c>
      <c r="BF189" s="13" t="e">
        <f t="shared" si="167"/>
        <v>#NUM!</v>
      </c>
      <c r="BG189" s="20" t="e">
        <f t="shared" si="168"/>
        <v>#NUM!</v>
      </c>
      <c r="BH189" s="59" t="e">
        <f t="shared" si="116"/>
        <v>#NUM!</v>
      </c>
      <c r="BI189" s="59">
        <f ca="1">AVERAGE(OFFSET($BH$3,0,0,'Données projet'!$E$11+1,1))-AVERAGE(OFFSET($H$3,0,0,'Données projet'!$E$11+1,1))</f>
        <v>112.82287576550925</v>
      </c>
      <c r="BJ189" s="59">
        <f t="shared" si="146"/>
        <v>317.78570695363294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2.2459559375549922</v>
      </c>
      <c r="BQ189" s="21">
        <f>EXP(-LN(2)/25)*BQ188+(1-EXP(-LN(2)/25))/(LN(2)/25)*Calculateur!BL189*Calculateur!BN189*VLOOKUP('Données projet'!$B$11,Paramètres!$A$1:$I$89,3,0)*0.475*44/12</f>
        <v>0.128701671296334</v>
      </c>
      <c r="BR189" s="21">
        <f>EXP(-LN(2)/2)*BR188+(1-EXP(-LN(2)/2))/(LN(2)/2)*BL189*BO189*VLOOKUP('Données projet'!$B$11,Paramètres!$A$1:$I$89,3,0)*0.475*44/12</f>
        <v>1.8954093045232053E-24</v>
      </c>
      <c r="BS189" s="22">
        <f t="shared" si="169"/>
        <v>2.3746576088513263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>
        <f>BY189*VLOOKUP('Données projet'!$B$12,Paramètres!$A$1:$I$89,3,0)*VLOOKUP('Données projet'!$B$12,Paramètres!$A$1:$I$89,5,0)</f>
        <v>0</v>
      </c>
      <c r="CA189" s="13" t="e">
        <f t="shared" si="170"/>
        <v>#NUM!</v>
      </c>
      <c r="CB189" s="20" t="e">
        <f t="shared" si="171"/>
        <v>#NUM!</v>
      </c>
      <c r="CC189" s="59" t="e">
        <f t="shared" si="119"/>
        <v>#NUM!</v>
      </c>
      <c r="CD189" s="59">
        <f ca="1">AVERAGE(OFFSET($CC$3,0,0,'Données projet'!$E$12+1,1))-AVERAGE(OFFSET($H$3,0,0,'Données projet'!$E$12+1,1))</f>
        <v>112.82287576550925</v>
      </c>
      <c r="CE189" s="59">
        <f t="shared" si="148"/>
        <v>317.78570695363294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>
        <f>EXP(-LN(2)/35)*CK188+(1-EXP(-LN(2)/35))/(LN(2)/35)*CG189*CH189*VLOOKUP('Données projet'!$B$12,Paramètres!$A$1:$I$89,3,0)*0.475*44/12</f>
        <v>2.2459559375549922</v>
      </c>
      <c r="CL189" s="21">
        <f>EXP(-LN(2)/25)*CL188+(1-EXP(-LN(2)/25))/(LN(2)/25)*Calculateur!CG189*Calculateur!CI189*VLOOKUP('Données projet'!$B$12,Paramètres!$A$1:$I$89,3,0)*0.475*44/12</f>
        <v>0.128701671296334</v>
      </c>
      <c r="CM189" s="21">
        <f>EXP(-LN(2)/2)*CM188+(1-EXP(-LN(2)/2))/(LN(2)/2)*CG189*CJ189*VLOOKUP('Données projet'!$B$12,Paramètres!$A$1:$I$89,3,0)*0.475*44/12</f>
        <v>1.8954093045232053E-24</v>
      </c>
      <c r="CN189" s="22">
        <f t="shared" si="172"/>
        <v>2.3746576088513263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5">
      <c r="A190" s="10">
        <f t="shared" si="161"/>
        <v>187</v>
      </c>
      <c r="B190" s="73">
        <f>'Scénario référence'!$B$16*5+'Scénario référence'!$B$17*0+'Scénario référence'!$B$18*5</f>
        <v>5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1">
        <f t="shared" si="140"/>
        <v>0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0" s="11">
        <f>IF(OR('Scénario référence'!$F$8&gt;0,'Scénario référence'!$F$9&gt;0),('Scénario référence'!$F$8+'Scénario référence'!$F$9)*10,0)</f>
        <v>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18.333333333333332</v>
      </c>
      <c r="H190" s="67">
        <f t="shared" si="110"/>
        <v>183.33333333333334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0</v>
      </c>
      <c r="O190" s="13">
        <f>N190*VLOOKUP('Données projet'!$B$9,Paramètres!$A$1:$I$89,3,0)*VLOOKUP('Données projet'!$B$9,Paramètres!$A$1:$I$89,5,0)</f>
        <v>0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112.82287576550925</v>
      </c>
      <c r="T190" s="59">
        <f t="shared" si="142"/>
        <v>317.78570695363294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2.2019141115173944</v>
      </c>
      <c r="AA190" s="21">
        <f>EXP(-LN(2)/25)*AA189+(1-EXP(-LN(2)/25))/(LN(2)/25)*Calculateur!V190*Calculateur!X190*VLOOKUP('Données projet'!$B$9,Paramètres!$A$1:$I$89,3,0)*0.475*44/12</f>
        <v>0.12518231732660901</v>
      </c>
      <c r="AB190" s="21">
        <f>EXP(-LN(2)/2)*AB189+(1-EXP(-LN(2)/2))/(LN(2)/2)*V190*Y190*VLOOKUP('Données projet'!$B$9,Paramètres!$A$1:$I$89,3,0)*0.475*44/12</f>
        <v>1.3402567723524363E-24</v>
      </c>
      <c r="AC190" s="22">
        <f t="shared" si="163"/>
        <v>2.3270964288440035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0</v>
      </c>
      <c r="AJ190" s="13">
        <f>AI190*VLOOKUP('Données projet'!$B$10,Paramètres!$A$1:$I$89,3,0)*VLOOKUP('Données projet'!$B$10,Paramètres!$A$1:$I$89,5,0)</f>
        <v>0</v>
      </c>
      <c r="AK190" s="13" t="e">
        <f t="shared" si="164"/>
        <v>#NUM!</v>
      </c>
      <c r="AL190" s="20" t="e">
        <f t="shared" si="165"/>
        <v>#NUM!</v>
      </c>
      <c r="AM190" s="59" t="e">
        <f t="shared" si="113"/>
        <v>#NUM!</v>
      </c>
      <c r="AN190" s="59">
        <f ca="1">AVERAGE(OFFSET($AM$3,0,0,'Données projet'!$E$10+1,1))-AVERAGE(OFFSET($H$3,0,0,'Données projet'!$E$10+1,1))</f>
        <v>112.82287576550925</v>
      </c>
      <c r="AO190" s="59">
        <f t="shared" si="144"/>
        <v>317.78570695363294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2.2019141115173944</v>
      </c>
      <c r="AV190" s="21">
        <f>EXP(-LN(2)/25)*AV189+(1-EXP(-LN(2)/25))/(LN(2)/25)*Calculateur!AQ190*Calculateur!AS190*VLOOKUP('Données projet'!$B$10,Paramètres!$A$1:$I$89,3,0)*0.475*44/12</f>
        <v>0.12518231732660901</v>
      </c>
      <c r="AW190" s="21">
        <f>EXP(-LN(2)/2)*AW189+(1-EXP(-LN(2)/2))/(LN(2)/2)*AQ190*AT190*VLOOKUP('Données projet'!$B$10,Paramètres!$A$1:$I$89,3,0)*0.475*44/12</f>
        <v>1.3402567723524363E-24</v>
      </c>
      <c r="AX190" s="21">
        <f t="shared" si="166"/>
        <v>2.3270964288440035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0</v>
      </c>
      <c r="BE190" s="13">
        <f>BD190*VLOOKUP('Données projet'!$B$11,Paramètres!$A$1:$I$89,3,0)*VLOOKUP('Données projet'!$B$11,Paramètres!$A$1:$I$89,5,0)</f>
        <v>0</v>
      </c>
      <c r="BF190" s="13" t="e">
        <f t="shared" si="167"/>
        <v>#NUM!</v>
      </c>
      <c r="BG190" s="20" t="e">
        <f t="shared" si="168"/>
        <v>#NUM!</v>
      </c>
      <c r="BH190" s="59" t="e">
        <f t="shared" si="116"/>
        <v>#NUM!</v>
      </c>
      <c r="BI190" s="59">
        <f ca="1">AVERAGE(OFFSET($BH$3,0,0,'Données projet'!$E$11+1,1))-AVERAGE(OFFSET($H$3,0,0,'Données projet'!$E$11+1,1))</f>
        <v>112.82287576550925</v>
      </c>
      <c r="BJ190" s="59">
        <f t="shared" si="146"/>
        <v>317.78570695363294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2.2019141115173944</v>
      </c>
      <c r="BQ190" s="21">
        <f>EXP(-LN(2)/25)*BQ189+(1-EXP(-LN(2)/25))/(LN(2)/25)*Calculateur!BL190*Calculateur!BN190*VLOOKUP('Données projet'!$B$11,Paramètres!$A$1:$I$89,3,0)*0.475*44/12</f>
        <v>0.12518231732660901</v>
      </c>
      <c r="BR190" s="21">
        <f>EXP(-LN(2)/2)*BR189+(1-EXP(-LN(2)/2))/(LN(2)/2)*BL190*BO190*VLOOKUP('Données projet'!$B$11,Paramètres!$A$1:$I$89,3,0)*0.475*44/12</f>
        <v>1.3402567723524363E-24</v>
      </c>
      <c r="BS190" s="22">
        <f t="shared" si="169"/>
        <v>2.3270964288440035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>
        <f>BY190*VLOOKUP('Données projet'!$B$12,Paramètres!$A$1:$I$89,3,0)*VLOOKUP('Données projet'!$B$12,Paramètres!$A$1:$I$89,5,0)</f>
        <v>0</v>
      </c>
      <c r="CA190" s="13" t="e">
        <f t="shared" si="170"/>
        <v>#NUM!</v>
      </c>
      <c r="CB190" s="20" t="e">
        <f t="shared" si="171"/>
        <v>#NUM!</v>
      </c>
      <c r="CC190" s="59" t="e">
        <f t="shared" si="119"/>
        <v>#NUM!</v>
      </c>
      <c r="CD190" s="59">
        <f ca="1">AVERAGE(OFFSET($CC$3,0,0,'Données projet'!$E$12+1,1))-AVERAGE(OFFSET($H$3,0,0,'Données projet'!$E$12+1,1))</f>
        <v>112.82287576550925</v>
      </c>
      <c r="CE190" s="59">
        <f t="shared" si="148"/>
        <v>317.78570695363294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>
        <f>EXP(-LN(2)/35)*CK189+(1-EXP(-LN(2)/35))/(LN(2)/35)*CG190*CH190*VLOOKUP('Données projet'!$B$12,Paramètres!$A$1:$I$89,3,0)*0.475*44/12</f>
        <v>2.2019141115173944</v>
      </c>
      <c r="CL190" s="21">
        <f>EXP(-LN(2)/25)*CL189+(1-EXP(-LN(2)/25))/(LN(2)/25)*Calculateur!CG190*Calculateur!CI190*VLOOKUP('Données projet'!$B$12,Paramètres!$A$1:$I$89,3,0)*0.475*44/12</f>
        <v>0.12518231732660901</v>
      </c>
      <c r="CM190" s="21">
        <f>EXP(-LN(2)/2)*CM189+(1-EXP(-LN(2)/2))/(LN(2)/2)*CG190*CJ190*VLOOKUP('Données projet'!$B$12,Paramètres!$A$1:$I$89,3,0)*0.475*44/12</f>
        <v>1.3402567723524363E-24</v>
      </c>
      <c r="CN190" s="22">
        <f t="shared" si="172"/>
        <v>2.3270964288440035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5">
      <c r="A191" s="10">
        <f t="shared" si="161"/>
        <v>188</v>
      </c>
      <c r="B191" s="73">
        <f>'Scénario référence'!$B$16*5+'Scénario référence'!$B$17*0+'Scénario référence'!$B$18*5</f>
        <v>5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1">
        <f t="shared" si="140"/>
        <v>0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1" s="11">
        <f>IF(OR('Scénario référence'!$F$8&gt;0,'Scénario référence'!$F$9&gt;0),('Scénario référence'!$F$8+'Scénario référence'!$F$9)*10,0)</f>
        <v>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18.333333333333332</v>
      </c>
      <c r="H191" s="67">
        <f t="shared" si="110"/>
        <v>183.33333333333334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0</v>
      </c>
      <c r="O191" s="13">
        <f>N191*VLOOKUP('Données projet'!$B$9,Paramètres!$A$1:$I$89,3,0)*VLOOKUP('Données projet'!$B$9,Paramètres!$A$1:$I$89,5,0)</f>
        <v>0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112.82287576550925</v>
      </c>
      <c r="T191" s="59">
        <f t="shared" si="142"/>
        <v>317.78570695363294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2.1587359188255326</v>
      </c>
      <c r="AA191" s="21">
        <f>EXP(-LN(2)/25)*AA190+(1-EXP(-LN(2)/25))/(LN(2)/25)*Calculateur!V191*Calculateur!X191*VLOOKUP('Données projet'!$B$9,Paramètres!$A$1:$I$89,3,0)*0.475*44/12</f>
        <v>0.12175920027626091</v>
      </c>
      <c r="AB191" s="21">
        <f>EXP(-LN(2)/2)*AB190+(1-EXP(-LN(2)/2))/(LN(2)/2)*V191*Y191*VLOOKUP('Données projet'!$B$9,Paramètres!$A$1:$I$89,3,0)*0.475*44/12</f>
        <v>9.4770465226160264E-25</v>
      </c>
      <c r="AC191" s="22">
        <f t="shared" si="163"/>
        <v>2.2804951191017935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0</v>
      </c>
      <c r="AJ191" s="13">
        <f>AI191*VLOOKUP('Données projet'!$B$10,Paramètres!$A$1:$I$89,3,0)*VLOOKUP('Données projet'!$B$10,Paramètres!$A$1:$I$89,5,0)</f>
        <v>0</v>
      </c>
      <c r="AK191" s="13" t="e">
        <f t="shared" si="164"/>
        <v>#NUM!</v>
      </c>
      <c r="AL191" s="20" t="e">
        <f t="shared" si="165"/>
        <v>#NUM!</v>
      </c>
      <c r="AM191" s="59" t="e">
        <f t="shared" si="113"/>
        <v>#NUM!</v>
      </c>
      <c r="AN191" s="59">
        <f ca="1">AVERAGE(OFFSET($AM$3,0,0,'Données projet'!$E$10+1,1))-AVERAGE(OFFSET($H$3,0,0,'Données projet'!$E$10+1,1))</f>
        <v>112.82287576550925</v>
      </c>
      <c r="AO191" s="59">
        <f t="shared" si="144"/>
        <v>317.78570695363294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2.1587359188255326</v>
      </c>
      <c r="AV191" s="21">
        <f>EXP(-LN(2)/25)*AV190+(1-EXP(-LN(2)/25))/(LN(2)/25)*Calculateur!AQ191*Calculateur!AS191*VLOOKUP('Données projet'!$B$10,Paramètres!$A$1:$I$89,3,0)*0.475*44/12</f>
        <v>0.12175920027626091</v>
      </c>
      <c r="AW191" s="21">
        <f>EXP(-LN(2)/2)*AW190+(1-EXP(-LN(2)/2))/(LN(2)/2)*AQ191*AT191*VLOOKUP('Données projet'!$B$10,Paramètres!$A$1:$I$89,3,0)*0.475*44/12</f>
        <v>9.4770465226160264E-25</v>
      </c>
      <c r="AX191" s="21">
        <f t="shared" si="166"/>
        <v>2.2804951191017935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0</v>
      </c>
      <c r="BE191" s="13">
        <f>BD191*VLOOKUP('Données projet'!$B$11,Paramètres!$A$1:$I$89,3,0)*VLOOKUP('Données projet'!$B$11,Paramètres!$A$1:$I$89,5,0)</f>
        <v>0</v>
      </c>
      <c r="BF191" s="13" t="e">
        <f t="shared" si="167"/>
        <v>#NUM!</v>
      </c>
      <c r="BG191" s="20" t="e">
        <f t="shared" si="168"/>
        <v>#NUM!</v>
      </c>
      <c r="BH191" s="59" t="e">
        <f t="shared" si="116"/>
        <v>#NUM!</v>
      </c>
      <c r="BI191" s="59">
        <f ca="1">AVERAGE(OFFSET($BH$3,0,0,'Données projet'!$E$11+1,1))-AVERAGE(OFFSET($H$3,0,0,'Données projet'!$E$11+1,1))</f>
        <v>112.82287576550925</v>
      </c>
      <c r="BJ191" s="59">
        <f t="shared" si="146"/>
        <v>317.78570695363294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2.1587359188255326</v>
      </c>
      <c r="BQ191" s="21">
        <f>EXP(-LN(2)/25)*BQ190+(1-EXP(-LN(2)/25))/(LN(2)/25)*Calculateur!BL191*Calculateur!BN191*VLOOKUP('Données projet'!$B$11,Paramètres!$A$1:$I$89,3,0)*0.475*44/12</f>
        <v>0.12175920027626091</v>
      </c>
      <c r="BR191" s="21">
        <f>EXP(-LN(2)/2)*BR190+(1-EXP(-LN(2)/2))/(LN(2)/2)*BL191*BO191*VLOOKUP('Données projet'!$B$11,Paramètres!$A$1:$I$89,3,0)*0.475*44/12</f>
        <v>9.4770465226160264E-25</v>
      </c>
      <c r="BS191" s="22">
        <f t="shared" si="169"/>
        <v>2.2804951191017935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>
        <f>BY191*VLOOKUP('Données projet'!$B$12,Paramètres!$A$1:$I$89,3,0)*VLOOKUP('Données projet'!$B$12,Paramètres!$A$1:$I$89,5,0)</f>
        <v>0</v>
      </c>
      <c r="CA191" s="13" t="e">
        <f t="shared" si="170"/>
        <v>#NUM!</v>
      </c>
      <c r="CB191" s="20" t="e">
        <f t="shared" si="171"/>
        <v>#NUM!</v>
      </c>
      <c r="CC191" s="59" t="e">
        <f t="shared" si="119"/>
        <v>#NUM!</v>
      </c>
      <c r="CD191" s="59">
        <f ca="1">AVERAGE(OFFSET($CC$3,0,0,'Données projet'!$E$12+1,1))-AVERAGE(OFFSET($H$3,0,0,'Données projet'!$E$12+1,1))</f>
        <v>112.82287576550925</v>
      </c>
      <c r="CE191" s="59">
        <f t="shared" si="148"/>
        <v>317.78570695363294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>
        <f>EXP(-LN(2)/35)*CK190+(1-EXP(-LN(2)/35))/(LN(2)/35)*CG191*CH191*VLOOKUP('Données projet'!$B$12,Paramètres!$A$1:$I$89,3,0)*0.475*44/12</f>
        <v>2.1587359188255326</v>
      </c>
      <c r="CL191" s="21">
        <f>EXP(-LN(2)/25)*CL190+(1-EXP(-LN(2)/25))/(LN(2)/25)*Calculateur!CG191*Calculateur!CI191*VLOOKUP('Données projet'!$B$12,Paramètres!$A$1:$I$89,3,0)*0.475*44/12</f>
        <v>0.12175920027626091</v>
      </c>
      <c r="CM191" s="21">
        <f>EXP(-LN(2)/2)*CM190+(1-EXP(-LN(2)/2))/(LN(2)/2)*CG191*CJ191*VLOOKUP('Données projet'!$B$12,Paramètres!$A$1:$I$89,3,0)*0.475*44/12</f>
        <v>9.4770465226160264E-25</v>
      </c>
      <c r="CN191" s="22">
        <f t="shared" si="172"/>
        <v>2.2804951191017935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5">
      <c r="A192" s="10">
        <f t="shared" si="161"/>
        <v>189</v>
      </c>
      <c r="B192" s="73">
        <f>'Scénario référence'!$B$16*5+'Scénario référence'!$B$17*0+'Scénario référence'!$B$18*5</f>
        <v>5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1">
        <f t="shared" si="140"/>
        <v>0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2" s="11">
        <f>IF(OR('Scénario référence'!$F$8&gt;0,'Scénario référence'!$F$9&gt;0),('Scénario référence'!$F$8+'Scénario référence'!$F$9)*10,0)</f>
        <v>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18.333333333333332</v>
      </c>
      <c r="H192" s="67">
        <f t="shared" si="110"/>
        <v>183.33333333333334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0</v>
      </c>
      <c r="O192" s="13">
        <f>N192*VLOOKUP('Données projet'!$B$9,Paramètres!$A$1:$I$89,3,0)*VLOOKUP('Données projet'!$B$9,Paramètres!$A$1:$I$89,5,0)</f>
        <v>0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112.82287576550925</v>
      </c>
      <c r="T192" s="59">
        <f t="shared" si="142"/>
        <v>317.78570695363294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2.1164044241562614</v>
      </c>
      <c r="AA192" s="21">
        <f>EXP(-LN(2)/25)*AA191+(1-EXP(-LN(2)/25))/(LN(2)/25)*Calculateur!V192*Calculateur!X192*VLOOKUP('Données projet'!$B$9,Paramètres!$A$1:$I$89,3,0)*0.475*44/12</f>
        <v>0.11842968854166851</v>
      </c>
      <c r="AB192" s="21">
        <f>EXP(-LN(2)/2)*AB191+(1-EXP(-LN(2)/2))/(LN(2)/2)*V192*Y192*VLOOKUP('Données projet'!$B$9,Paramètres!$A$1:$I$89,3,0)*0.475*44/12</f>
        <v>6.7012838617621817E-25</v>
      </c>
      <c r="AC192" s="22">
        <f t="shared" si="163"/>
        <v>2.2348341126979299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0</v>
      </c>
      <c r="AJ192" s="13">
        <f>AI192*VLOOKUP('Données projet'!$B$10,Paramètres!$A$1:$I$89,3,0)*VLOOKUP('Données projet'!$B$10,Paramètres!$A$1:$I$89,5,0)</f>
        <v>0</v>
      </c>
      <c r="AK192" s="13" t="e">
        <f t="shared" si="164"/>
        <v>#NUM!</v>
      </c>
      <c r="AL192" s="20" t="e">
        <f t="shared" si="165"/>
        <v>#NUM!</v>
      </c>
      <c r="AM192" s="59" t="e">
        <f t="shared" si="113"/>
        <v>#NUM!</v>
      </c>
      <c r="AN192" s="59">
        <f ca="1">AVERAGE(OFFSET($AM$3,0,0,'Données projet'!$E$10+1,1))-AVERAGE(OFFSET($H$3,0,0,'Données projet'!$E$10+1,1))</f>
        <v>112.82287576550925</v>
      </c>
      <c r="AO192" s="59">
        <f t="shared" si="144"/>
        <v>317.78570695363294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2.1164044241562614</v>
      </c>
      <c r="AV192" s="21">
        <f>EXP(-LN(2)/25)*AV191+(1-EXP(-LN(2)/25))/(LN(2)/25)*Calculateur!AQ192*Calculateur!AS192*VLOOKUP('Données projet'!$B$10,Paramètres!$A$1:$I$89,3,0)*0.475*44/12</f>
        <v>0.11842968854166851</v>
      </c>
      <c r="AW192" s="21">
        <f>EXP(-LN(2)/2)*AW191+(1-EXP(-LN(2)/2))/(LN(2)/2)*AQ192*AT192*VLOOKUP('Données projet'!$B$10,Paramètres!$A$1:$I$89,3,0)*0.475*44/12</f>
        <v>6.7012838617621817E-25</v>
      </c>
      <c r="AX192" s="21">
        <f t="shared" si="166"/>
        <v>2.2348341126979299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0</v>
      </c>
      <c r="BE192" s="13">
        <f>BD192*VLOOKUP('Données projet'!$B$11,Paramètres!$A$1:$I$89,3,0)*VLOOKUP('Données projet'!$B$11,Paramètres!$A$1:$I$89,5,0)</f>
        <v>0</v>
      </c>
      <c r="BF192" s="13" t="e">
        <f t="shared" si="167"/>
        <v>#NUM!</v>
      </c>
      <c r="BG192" s="20" t="e">
        <f t="shared" si="168"/>
        <v>#NUM!</v>
      </c>
      <c r="BH192" s="59" t="e">
        <f t="shared" si="116"/>
        <v>#NUM!</v>
      </c>
      <c r="BI192" s="59">
        <f ca="1">AVERAGE(OFFSET($BH$3,0,0,'Données projet'!$E$11+1,1))-AVERAGE(OFFSET($H$3,0,0,'Données projet'!$E$11+1,1))</f>
        <v>112.82287576550925</v>
      </c>
      <c r="BJ192" s="59">
        <f t="shared" si="146"/>
        <v>317.78570695363294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2.1164044241562614</v>
      </c>
      <c r="BQ192" s="21">
        <f>EXP(-LN(2)/25)*BQ191+(1-EXP(-LN(2)/25))/(LN(2)/25)*Calculateur!BL192*Calculateur!BN192*VLOOKUP('Données projet'!$B$11,Paramètres!$A$1:$I$89,3,0)*0.475*44/12</f>
        <v>0.11842968854166851</v>
      </c>
      <c r="BR192" s="21">
        <f>EXP(-LN(2)/2)*BR191+(1-EXP(-LN(2)/2))/(LN(2)/2)*BL192*BO192*VLOOKUP('Données projet'!$B$11,Paramètres!$A$1:$I$89,3,0)*0.475*44/12</f>
        <v>6.7012838617621817E-25</v>
      </c>
      <c r="BS192" s="22">
        <f t="shared" si="169"/>
        <v>2.2348341126979299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>
        <f>BY192*VLOOKUP('Données projet'!$B$12,Paramètres!$A$1:$I$89,3,0)*VLOOKUP('Données projet'!$B$12,Paramètres!$A$1:$I$89,5,0)</f>
        <v>0</v>
      </c>
      <c r="CA192" s="13" t="e">
        <f t="shared" si="170"/>
        <v>#NUM!</v>
      </c>
      <c r="CB192" s="20" t="e">
        <f t="shared" si="171"/>
        <v>#NUM!</v>
      </c>
      <c r="CC192" s="59" t="e">
        <f t="shared" si="119"/>
        <v>#NUM!</v>
      </c>
      <c r="CD192" s="59">
        <f ca="1">AVERAGE(OFFSET($CC$3,0,0,'Données projet'!$E$12+1,1))-AVERAGE(OFFSET($H$3,0,0,'Données projet'!$E$12+1,1))</f>
        <v>112.82287576550925</v>
      </c>
      <c r="CE192" s="59">
        <f t="shared" si="148"/>
        <v>317.78570695363294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>
        <f>EXP(-LN(2)/35)*CK191+(1-EXP(-LN(2)/35))/(LN(2)/35)*CG192*CH192*VLOOKUP('Données projet'!$B$12,Paramètres!$A$1:$I$89,3,0)*0.475*44/12</f>
        <v>2.1164044241562614</v>
      </c>
      <c r="CL192" s="21">
        <f>EXP(-LN(2)/25)*CL191+(1-EXP(-LN(2)/25))/(LN(2)/25)*Calculateur!CG192*Calculateur!CI192*VLOOKUP('Données projet'!$B$12,Paramètres!$A$1:$I$89,3,0)*0.475*44/12</f>
        <v>0.11842968854166851</v>
      </c>
      <c r="CM192" s="21">
        <f>EXP(-LN(2)/2)*CM191+(1-EXP(-LN(2)/2))/(LN(2)/2)*CG192*CJ192*VLOOKUP('Données projet'!$B$12,Paramètres!$A$1:$I$89,3,0)*0.475*44/12</f>
        <v>6.7012838617621817E-25</v>
      </c>
      <c r="CN192" s="22">
        <f t="shared" si="172"/>
        <v>2.2348341126979299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5">
      <c r="A193" s="10">
        <f t="shared" si="161"/>
        <v>190</v>
      </c>
      <c r="B193" s="73">
        <f>'Scénario référence'!$B$16*5+'Scénario référence'!$B$17*0+'Scénario référence'!$B$18*5</f>
        <v>5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1">
        <f t="shared" si="140"/>
        <v>0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3" s="11">
        <f>IF(OR('Scénario référence'!$F$8&gt;0,'Scénario référence'!$F$9&gt;0),('Scénario référence'!$F$8+'Scénario référence'!$F$9)*10,0)</f>
        <v>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18.333333333333332</v>
      </c>
      <c r="H193" s="67">
        <f t="shared" si="110"/>
        <v>183.33333333333334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0</v>
      </c>
      <c r="O193" s="13">
        <f>N193*VLOOKUP('Données projet'!$B$9,Paramètres!$A$1:$I$89,3,0)*VLOOKUP('Données projet'!$B$9,Paramètres!$A$1:$I$89,5,0)</f>
        <v>0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112.82287576550925</v>
      </c>
      <c r="T193" s="59">
        <f t="shared" si="142"/>
        <v>317.78570695363294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2.0749030242777922</v>
      </c>
      <c r="AA193" s="21">
        <f>EXP(-LN(2)/25)*AA192+(1-EXP(-LN(2)/25))/(LN(2)/25)*Calculateur!V193*Calculateur!X193*VLOOKUP('Données projet'!$B$9,Paramètres!$A$1:$I$89,3,0)*0.475*44/12</f>
        <v>0.11519122248054993</v>
      </c>
      <c r="AB193" s="21">
        <f>EXP(-LN(2)/2)*AB192+(1-EXP(-LN(2)/2))/(LN(2)/2)*V193*Y193*VLOOKUP('Données projet'!$B$9,Paramètres!$A$1:$I$89,3,0)*0.475*44/12</f>
        <v>4.7385232613080132E-25</v>
      </c>
      <c r="AC193" s="22">
        <f t="shared" si="163"/>
        <v>2.190094246758342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0</v>
      </c>
      <c r="AJ193" s="13">
        <f>AI193*VLOOKUP('Données projet'!$B$10,Paramètres!$A$1:$I$89,3,0)*VLOOKUP('Données projet'!$B$10,Paramètres!$A$1:$I$89,5,0)</f>
        <v>0</v>
      </c>
      <c r="AK193" s="13" t="e">
        <f t="shared" si="164"/>
        <v>#NUM!</v>
      </c>
      <c r="AL193" s="20" t="e">
        <f t="shared" si="165"/>
        <v>#NUM!</v>
      </c>
      <c r="AM193" s="59" t="e">
        <f t="shared" si="113"/>
        <v>#NUM!</v>
      </c>
      <c r="AN193" s="59">
        <f ca="1">AVERAGE(OFFSET($AM$3,0,0,'Données projet'!$E$10+1,1))-AVERAGE(OFFSET($H$3,0,0,'Données projet'!$E$10+1,1))</f>
        <v>112.82287576550925</v>
      </c>
      <c r="AO193" s="59">
        <f t="shared" si="144"/>
        <v>317.78570695363294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2.0749030242777922</v>
      </c>
      <c r="AV193" s="21">
        <f>EXP(-LN(2)/25)*AV192+(1-EXP(-LN(2)/25))/(LN(2)/25)*Calculateur!AQ193*Calculateur!AS193*VLOOKUP('Données projet'!$B$10,Paramètres!$A$1:$I$89,3,0)*0.475*44/12</f>
        <v>0.11519122248054993</v>
      </c>
      <c r="AW193" s="21">
        <f>EXP(-LN(2)/2)*AW192+(1-EXP(-LN(2)/2))/(LN(2)/2)*AQ193*AT193*VLOOKUP('Données projet'!$B$10,Paramètres!$A$1:$I$89,3,0)*0.475*44/12</f>
        <v>4.7385232613080132E-25</v>
      </c>
      <c r="AX193" s="21">
        <f t="shared" si="166"/>
        <v>2.190094246758342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0</v>
      </c>
      <c r="BE193" s="13">
        <f>BD193*VLOOKUP('Données projet'!$B$11,Paramètres!$A$1:$I$89,3,0)*VLOOKUP('Données projet'!$B$11,Paramètres!$A$1:$I$89,5,0)</f>
        <v>0</v>
      </c>
      <c r="BF193" s="13" t="e">
        <f t="shared" si="167"/>
        <v>#NUM!</v>
      </c>
      <c r="BG193" s="20" t="e">
        <f t="shared" si="168"/>
        <v>#NUM!</v>
      </c>
      <c r="BH193" s="59" t="e">
        <f t="shared" si="116"/>
        <v>#NUM!</v>
      </c>
      <c r="BI193" s="59">
        <f ca="1">AVERAGE(OFFSET($BH$3,0,0,'Données projet'!$E$11+1,1))-AVERAGE(OFFSET($H$3,0,0,'Données projet'!$E$11+1,1))</f>
        <v>112.82287576550925</v>
      </c>
      <c r="BJ193" s="59">
        <f t="shared" si="146"/>
        <v>317.78570695363294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2.0749030242777922</v>
      </c>
      <c r="BQ193" s="21">
        <f>EXP(-LN(2)/25)*BQ192+(1-EXP(-LN(2)/25))/(LN(2)/25)*Calculateur!BL193*Calculateur!BN193*VLOOKUP('Données projet'!$B$11,Paramètres!$A$1:$I$89,3,0)*0.475*44/12</f>
        <v>0.11519122248054993</v>
      </c>
      <c r="BR193" s="21">
        <f>EXP(-LN(2)/2)*BR192+(1-EXP(-LN(2)/2))/(LN(2)/2)*BL193*BO193*VLOOKUP('Données projet'!$B$11,Paramètres!$A$1:$I$89,3,0)*0.475*44/12</f>
        <v>4.7385232613080132E-25</v>
      </c>
      <c r="BS193" s="22">
        <f t="shared" si="169"/>
        <v>2.190094246758342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>
        <f>BY193*VLOOKUP('Données projet'!$B$12,Paramètres!$A$1:$I$89,3,0)*VLOOKUP('Données projet'!$B$12,Paramètres!$A$1:$I$89,5,0)</f>
        <v>0</v>
      </c>
      <c r="CA193" s="13" t="e">
        <f t="shared" si="170"/>
        <v>#NUM!</v>
      </c>
      <c r="CB193" s="20" t="e">
        <f t="shared" si="171"/>
        <v>#NUM!</v>
      </c>
      <c r="CC193" s="59" t="e">
        <f t="shared" si="119"/>
        <v>#NUM!</v>
      </c>
      <c r="CD193" s="59">
        <f ca="1">AVERAGE(OFFSET($CC$3,0,0,'Données projet'!$E$12+1,1))-AVERAGE(OFFSET($H$3,0,0,'Données projet'!$E$12+1,1))</f>
        <v>112.82287576550925</v>
      </c>
      <c r="CE193" s="59">
        <f t="shared" si="148"/>
        <v>317.78570695363294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>
        <f>EXP(-LN(2)/35)*CK192+(1-EXP(-LN(2)/35))/(LN(2)/35)*CG193*CH193*VLOOKUP('Données projet'!$B$12,Paramètres!$A$1:$I$89,3,0)*0.475*44/12</f>
        <v>2.0749030242777922</v>
      </c>
      <c r="CL193" s="21">
        <f>EXP(-LN(2)/25)*CL192+(1-EXP(-LN(2)/25))/(LN(2)/25)*Calculateur!CG193*Calculateur!CI193*VLOOKUP('Données projet'!$B$12,Paramètres!$A$1:$I$89,3,0)*0.475*44/12</f>
        <v>0.11519122248054993</v>
      </c>
      <c r="CM193" s="21">
        <f>EXP(-LN(2)/2)*CM192+(1-EXP(-LN(2)/2))/(LN(2)/2)*CG193*CJ193*VLOOKUP('Données projet'!$B$12,Paramètres!$A$1:$I$89,3,0)*0.475*44/12</f>
        <v>4.7385232613080132E-25</v>
      </c>
      <c r="CN193" s="22">
        <f t="shared" si="172"/>
        <v>2.190094246758342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5">
      <c r="A194" s="10">
        <f t="shared" si="161"/>
        <v>191</v>
      </c>
      <c r="B194" s="73">
        <f>'Scénario référence'!$B$16*5+'Scénario référence'!$B$17*0+'Scénario référence'!$B$18*5</f>
        <v>5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1">
        <f t="shared" si="140"/>
        <v>0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4" s="11">
        <f>IF(OR('Scénario référence'!$F$8&gt;0,'Scénario référence'!$F$9&gt;0),('Scénario référence'!$F$8+'Scénario référence'!$F$9)*10,0)</f>
        <v>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18.333333333333332</v>
      </c>
      <c r="H194" s="67">
        <f t="shared" si="110"/>
        <v>183.33333333333334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0</v>
      </c>
      <c r="O194" s="13">
        <f>N194*VLOOKUP('Données projet'!$B$9,Paramètres!$A$1:$I$89,3,0)*VLOOKUP('Données projet'!$B$9,Paramètres!$A$1:$I$89,5,0)</f>
        <v>0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112.82287576550925</v>
      </c>
      <c r="T194" s="59">
        <f t="shared" si="142"/>
        <v>317.78570695363294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2.0342154415375853</v>
      </c>
      <c r="AA194" s="21">
        <f>EXP(-LN(2)/25)*AA193+(1-EXP(-LN(2)/25))/(LN(2)/25)*Calculateur!V194*Calculateur!X194*VLOOKUP('Données projet'!$B$9,Paramètres!$A$1:$I$89,3,0)*0.475*44/12</f>
        <v>0.11204131244417617</v>
      </c>
      <c r="AB194" s="21">
        <f>EXP(-LN(2)/2)*AB193+(1-EXP(-LN(2)/2))/(LN(2)/2)*V194*Y194*VLOOKUP('Données projet'!$B$9,Paramètres!$A$1:$I$89,3,0)*0.475*44/12</f>
        <v>3.3506419308810909E-25</v>
      </c>
      <c r="AC194" s="22">
        <f t="shared" si="163"/>
        <v>2.1462567539817616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0</v>
      </c>
      <c r="AJ194" s="13">
        <f>AI194*VLOOKUP('Données projet'!$B$10,Paramètres!$A$1:$I$89,3,0)*VLOOKUP('Données projet'!$B$10,Paramètres!$A$1:$I$89,5,0)</f>
        <v>0</v>
      </c>
      <c r="AK194" s="13" t="e">
        <f t="shared" si="164"/>
        <v>#NUM!</v>
      </c>
      <c r="AL194" s="20" t="e">
        <f t="shared" si="165"/>
        <v>#NUM!</v>
      </c>
      <c r="AM194" s="59" t="e">
        <f t="shared" si="113"/>
        <v>#NUM!</v>
      </c>
      <c r="AN194" s="59">
        <f ca="1">AVERAGE(OFFSET($AM$3,0,0,'Données projet'!$E$10+1,1))-AVERAGE(OFFSET($H$3,0,0,'Données projet'!$E$10+1,1))</f>
        <v>112.82287576550925</v>
      </c>
      <c r="AO194" s="59">
        <f t="shared" si="144"/>
        <v>317.78570695363294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2.0342154415375853</v>
      </c>
      <c r="AV194" s="21">
        <f>EXP(-LN(2)/25)*AV193+(1-EXP(-LN(2)/25))/(LN(2)/25)*Calculateur!AQ194*Calculateur!AS194*VLOOKUP('Données projet'!$B$10,Paramètres!$A$1:$I$89,3,0)*0.475*44/12</f>
        <v>0.11204131244417617</v>
      </c>
      <c r="AW194" s="21">
        <f>EXP(-LN(2)/2)*AW193+(1-EXP(-LN(2)/2))/(LN(2)/2)*AQ194*AT194*VLOOKUP('Données projet'!$B$10,Paramètres!$A$1:$I$89,3,0)*0.475*44/12</f>
        <v>3.3506419308810909E-25</v>
      </c>
      <c r="AX194" s="21">
        <f t="shared" si="166"/>
        <v>2.1462567539817616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0</v>
      </c>
      <c r="BE194" s="13">
        <f>BD194*VLOOKUP('Données projet'!$B$11,Paramètres!$A$1:$I$89,3,0)*VLOOKUP('Données projet'!$B$11,Paramètres!$A$1:$I$89,5,0)</f>
        <v>0</v>
      </c>
      <c r="BF194" s="13" t="e">
        <f t="shared" si="167"/>
        <v>#NUM!</v>
      </c>
      <c r="BG194" s="20" t="e">
        <f t="shared" si="168"/>
        <v>#NUM!</v>
      </c>
      <c r="BH194" s="59" t="e">
        <f t="shared" si="116"/>
        <v>#NUM!</v>
      </c>
      <c r="BI194" s="59">
        <f ca="1">AVERAGE(OFFSET($BH$3,0,0,'Données projet'!$E$11+1,1))-AVERAGE(OFFSET($H$3,0,0,'Données projet'!$E$11+1,1))</f>
        <v>112.82287576550925</v>
      </c>
      <c r="BJ194" s="59">
        <f t="shared" si="146"/>
        <v>317.78570695363294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2.0342154415375853</v>
      </c>
      <c r="BQ194" s="21">
        <f>EXP(-LN(2)/25)*BQ193+(1-EXP(-LN(2)/25))/(LN(2)/25)*Calculateur!BL194*Calculateur!BN194*VLOOKUP('Données projet'!$B$11,Paramètres!$A$1:$I$89,3,0)*0.475*44/12</f>
        <v>0.11204131244417617</v>
      </c>
      <c r="BR194" s="21">
        <f>EXP(-LN(2)/2)*BR193+(1-EXP(-LN(2)/2))/(LN(2)/2)*BL194*BO194*VLOOKUP('Données projet'!$B$11,Paramètres!$A$1:$I$89,3,0)*0.475*44/12</f>
        <v>3.3506419308810909E-25</v>
      </c>
      <c r="BS194" s="22">
        <f t="shared" si="169"/>
        <v>2.1462567539817616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>
        <f>BY194*VLOOKUP('Données projet'!$B$12,Paramètres!$A$1:$I$89,3,0)*VLOOKUP('Données projet'!$B$12,Paramètres!$A$1:$I$89,5,0)</f>
        <v>0</v>
      </c>
      <c r="CA194" s="13" t="e">
        <f t="shared" si="170"/>
        <v>#NUM!</v>
      </c>
      <c r="CB194" s="20" t="e">
        <f t="shared" si="171"/>
        <v>#NUM!</v>
      </c>
      <c r="CC194" s="59" t="e">
        <f t="shared" si="119"/>
        <v>#NUM!</v>
      </c>
      <c r="CD194" s="59">
        <f ca="1">AVERAGE(OFFSET($CC$3,0,0,'Données projet'!$E$12+1,1))-AVERAGE(OFFSET($H$3,0,0,'Données projet'!$E$12+1,1))</f>
        <v>112.82287576550925</v>
      </c>
      <c r="CE194" s="59">
        <f t="shared" si="148"/>
        <v>317.78570695363294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>
        <f>EXP(-LN(2)/35)*CK193+(1-EXP(-LN(2)/35))/(LN(2)/35)*CG194*CH194*VLOOKUP('Données projet'!$B$12,Paramètres!$A$1:$I$89,3,0)*0.475*44/12</f>
        <v>2.0342154415375853</v>
      </c>
      <c r="CL194" s="21">
        <f>EXP(-LN(2)/25)*CL193+(1-EXP(-LN(2)/25))/(LN(2)/25)*Calculateur!CG194*Calculateur!CI194*VLOOKUP('Données projet'!$B$12,Paramètres!$A$1:$I$89,3,0)*0.475*44/12</f>
        <v>0.11204131244417617</v>
      </c>
      <c r="CM194" s="21">
        <f>EXP(-LN(2)/2)*CM193+(1-EXP(-LN(2)/2))/(LN(2)/2)*CG194*CJ194*VLOOKUP('Données projet'!$B$12,Paramètres!$A$1:$I$89,3,0)*0.475*44/12</f>
        <v>3.3506419308810909E-25</v>
      </c>
      <c r="CN194" s="22">
        <f t="shared" si="172"/>
        <v>2.1462567539817616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5">
      <c r="A195" s="10">
        <f t="shared" si="161"/>
        <v>192</v>
      </c>
      <c r="B195" s="73">
        <f>'Scénario référence'!$B$16*5+'Scénario référence'!$B$17*0+'Scénario référence'!$B$18*5</f>
        <v>5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1">
        <f t="shared" si="140"/>
        <v>0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5" s="11">
        <f>IF(OR('Scénario référence'!$F$8&gt;0,'Scénario référence'!$F$9&gt;0),('Scénario référence'!$F$8+'Scénario référence'!$F$9)*10,0)</f>
        <v>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18.333333333333332</v>
      </c>
      <c r="H195" s="67">
        <f t="shared" si="110"/>
        <v>183.33333333333334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0</v>
      </c>
      <c r="O195" s="13">
        <f>N195*VLOOKUP('Données projet'!$B$9,Paramètres!$A$1:$I$89,3,0)*VLOOKUP('Données projet'!$B$9,Paramètres!$A$1:$I$89,5,0)</f>
        <v>0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112.82287576550925</v>
      </c>
      <c r="T195" s="59">
        <f t="shared" si="142"/>
        <v>317.78570695363294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1.9943257174779387</v>
      </c>
      <c r="AA195" s="21">
        <f>EXP(-LN(2)/25)*AA194+(1-EXP(-LN(2)/25))/(LN(2)/25)*Calculateur!V195*Calculateur!X195*VLOOKUP('Données projet'!$B$9,Paramètres!$A$1:$I$89,3,0)*0.475*44/12</f>
        <v>0.10897753686339362</v>
      </c>
      <c r="AB195" s="21">
        <f>EXP(-LN(2)/2)*AB194+(1-EXP(-LN(2)/2))/(LN(2)/2)*V195*Y195*VLOOKUP('Données projet'!$B$9,Paramètres!$A$1:$I$89,3,0)*0.475*44/12</f>
        <v>2.3692616306540066E-25</v>
      </c>
      <c r="AC195" s="22">
        <f t="shared" si="163"/>
        <v>2.1033032543413324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0</v>
      </c>
      <c r="AJ195" s="13">
        <f>AI195*VLOOKUP('Données projet'!$B$10,Paramètres!$A$1:$I$89,3,0)*VLOOKUP('Données projet'!$B$10,Paramètres!$A$1:$I$89,5,0)</f>
        <v>0</v>
      </c>
      <c r="AK195" s="13" t="e">
        <f t="shared" si="164"/>
        <v>#NUM!</v>
      </c>
      <c r="AL195" s="20" t="e">
        <f t="shared" si="165"/>
        <v>#NUM!</v>
      </c>
      <c r="AM195" s="59" t="e">
        <f t="shared" si="113"/>
        <v>#NUM!</v>
      </c>
      <c r="AN195" s="59">
        <f ca="1">AVERAGE(OFFSET($AM$3,0,0,'Données projet'!$E$10+1,1))-AVERAGE(OFFSET($H$3,0,0,'Données projet'!$E$10+1,1))</f>
        <v>112.82287576550925</v>
      </c>
      <c r="AO195" s="59">
        <f t="shared" si="144"/>
        <v>317.78570695363294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1.9943257174779387</v>
      </c>
      <c r="AV195" s="21">
        <f>EXP(-LN(2)/25)*AV194+(1-EXP(-LN(2)/25))/(LN(2)/25)*Calculateur!AQ195*Calculateur!AS195*VLOOKUP('Données projet'!$B$10,Paramètres!$A$1:$I$89,3,0)*0.475*44/12</f>
        <v>0.10897753686339362</v>
      </c>
      <c r="AW195" s="21">
        <f>EXP(-LN(2)/2)*AW194+(1-EXP(-LN(2)/2))/(LN(2)/2)*AQ195*AT195*VLOOKUP('Données projet'!$B$10,Paramètres!$A$1:$I$89,3,0)*0.475*44/12</f>
        <v>2.3692616306540066E-25</v>
      </c>
      <c r="AX195" s="21">
        <f t="shared" si="166"/>
        <v>2.1033032543413324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0</v>
      </c>
      <c r="BE195" s="13">
        <f>BD195*VLOOKUP('Données projet'!$B$11,Paramètres!$A$1:$I$89,3,0)*VLOOKUP('Données projet'!$B$11,Paramètres!$A$1:$I$89,5,0)</f>
        <v>0</v>
      </c>
      <c r="BF195" s="13" t="e">
        <f t="shared" si="167"/>
        <v>#NUM!</v>
      </c>
      <c r="BG195" s="20" t="e">
        <f t="shared" si="168"/>
        <v>#NUM!</v>
      </c>
      <c r="BH195" s="59" t="e">
        <f t="shared" si="116"/>
        <v>#NUM!</v>
      </c>
      <c r="BI195" s="59">
        <f ca="1">AVERAGE(OFFSET($BH$3,0,0,'Données projet'!$E$11+1,1))-AVERAGE(OFFSET($H$3,0,0,'Données projet'!$E$11+1,1))</f>
        <v>112.82287576550925</v>
      </c>
      <c r="BJ195" s="59">
        <f t="shared" si="146"/>
        <v>317.78570695363294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1.9943257174779387</v>
      </c>
      <c r="BQ195" s="21">
        <f>EXP(-LN(2)/25)*BQ194+(1-EXP(-LN(2)/25))/(LN(2)/25)*Calculateur!BL195*Calculateur!BN195*VLOOKUP('Données projet'!$B$11,Paramètres!$A$1:$I$89,3,0)*0.475*44/12</f>
        <v>0.10897753686339362</v>
      </c>
      <c r="BR195" s="21">
        <f>EXP(-LN(2)/2)*BR194+(1-EXP(-LN(2)/2))/(LN(2)/2)*BL195*BO195*VLOOKUP('Données projet'!$B$11,Paramètres!$A$1:$I$89,3,0)*0.475*44/12</f>
        <v>2.3692616306540066E-25</v>
      </c>
      <c r="BS195" s="22">
        <f t="shared" si="169"/>
        <v>2.1033032543413324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>
        <f>BY195*VLOOKUP('Données projet'!$B$12,Paramètres!$A$1:$I$89,3,0)*VLOOKUP('Données projet'!$B$12,Paramètres!$A$1:$I$89,5,0)</f>
        <v>0</v>
      </c>
      <c r="CA195" s="13" t="e">
        <f t="shared" si="170"/>
        <v>#NUM!</v>
      </c>
      <c r="CB195" s="20" t="e">
        <f t="shared" si="171"/>
        <v>#NUM!</v>
      </c>
      <c r="CC195" s="59" t="e">
        <f t="shared" si="119"/>
        <v>#NUM!</v>
      </c>
      <c r="CD195" s="59">
        <f ca="1">AVERAGE(OFFSET($CC$3,0,0,'Données projet'!$E$12+1,1))-AVERAGE(OFFSET($H$3,0,0,'Données projet'!$E$12+1,1))</f>
        <v>112.82287576550925</v>
      </c>
      <c r="CE195" s="59">
        <f t="shared" si="148"/>
        <v>317.78570695363294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>
        <f>EXP(-LN(2)/35)*CK194+(1-EXP(-LN(2)/35))/(LN(2)/35)*CG195*CH195*VLOOKUP('Données projet'!$B$12,Paramètres!$A$1:$I$89,3,0)*0.475*44/12</f>
        <v>1.9943257174779387</v>
      </c>
      <c r="CL195" s="21">
        <f>EXP(-LN(2)/25)*CL194+(1-EXP(-LN(2)/25))/(LN(2)/25)*Calculateur!CG195*Calculateur!CI195*VLOOKUP('Données projet'!$B$12,Paramètres!$A$1:$I$89,3,0)*0.475*44/12</f>
        <v>0.10897753686339362</v>
      </c>
      <c r="CM195" s="21">
        <f>EXP(-LN(2)/2)*CM194+(1-EXP(-LN(2)/2))/(LN(2)/2)*CG195*CJ195*VLOOKUP('Données projet'!$B$12,Paramètres!$A$1:$I$89,3,0)*0.475*44/12</f>
        <v>2.3692616306540066E-25</v>
      </c>
      <c r="CN195" s="22">
        <f t="shared" si="172"/>
        <v>2.1033032543413324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5">
      <c r="A196" s="10">
        <f t="shared" si="161"/>
        <v>193</v>
      </c>
      <c r="B196" s="73">
        <f>'Scénario référence'!$B$16*5+'Scénario référence'!$B$17*0+'Scénario référence'!$B$18*5</f>
        <v>5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1">
        <f t="shared" si="140"/>
        <v>0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6" s="11">
        <f>IF(OR('Scénario référence'!$F$8&gt;0,'Scénario référence'!$F$9&gt;0),('Scénario référence'!$F$8+'Scénario référence'!$F$9)*10,0)</f>
        <v>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18.333333333333332</v>
      </c>
      <c r="H196" s="67">
        <f t="shared" ref="H196:H203" si="192">(B196+E196+F196)*44/12+(C196+D196)*0.475*44/12</f>
        <v>183.33333333333334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0</v>
      </c>
      <c r="O196" s="13">
        <f>N196*VLOOKUP('Données projet'!$B$9,Paramètres!$A$1:$I$89,3,0)*VLOOKUP('Données projet'!$B$9,Paramètres!$A$1:$I$89,5,0)</f>
        <v>0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112.82287576550925</v>
      </c>
      <c r="T196" s="59">
        <f t="shared" si="142"/>
        <v>317.78570695363294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1.9552182065767727</v>
      </c>
      <c r="AA196" s="21">
        <f>EXP(-LN(2)/25)*AA195+(1-EXP(-LN(2)/25))/(LN(2)/25)*Calculateur!V196*Calculateur!X196*VLOOKUP('Données projet'!$B$9,Paramètres!$A$1:$I$89,3,0)*0.475*44/12</f>
        <v>0.10599754038698453</v>
      </c>
      <c r="AB196" s="21">
        <f>EXP(-LN(2)/2)*AB195+(1-EXP(-LN(2)/2))/(LN(2)/2)*V196*Y196*VLOOKUP('Données projet'!$B$9,Paramètres!$A$1:$I$89,3,0)*0.475*44/12</f>
        <v>1.6753209654405454E-25</v>
      </c>
      <c r="AC196" s="22">
        <f t="shared" si="163"/>
        <v>2.0612157469637573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0</v>
      </c>
      <c r="AJ196" s="13">
        <f>AI196*VLOOKUP('Données projet'!$B$10,Paramètres!$A$1:$I$89,3,0)*VLOOKUP('Données projet'!$B$10,Paramètres!$A$1:$I$89,5,0)</f>
        <v>0</v>
      </c>
      <c r="AK196" s="13" t="e">
        <f t="shared" si="164"/>
        <v>#NUM!</v>
      </c>
      <c r="AL196" s="20" t="e">
        <f t="shared" si="165"/>
        <v>#NUM!</v>
      </c>
      <c r="AM196" s="59" t="e">
        <f t="shared" ref="AM196:AM203" si="193">AL196+(AD196+AE196)*44/12</f>
        <v>#NUM!</v>
      </c>
      <c r="AN196" s="59">
        <f ca="1">AVERAGE(OFFSET($AM$3,0,0,'Données projet'!$E$10+1,1))-AVERAGE(OFFSET($H$3,0,0,'Données projet'!$E$10+1,1))</f>
        <v>112.82287576550925</v>
      </c>
      <c r="AO196" s="59">
        <f t="shared" si="144"/>
        <v>317.78570695363294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1.9552182065767727</v>
      </c>
      <c r="AV196" s="21">
        <f>EXP(-LN(2)/25)*AV195+(1-EXP(-LN(2)/25))/(LN(2)/25)*Calculateur!AQ196*Calculateur!AS196*VLOOKUP('Données projet'!$B$10,Paramètres!$A$1:$I$89,3,0)*0.475*44/12</f>
        <v>0.10599754038698453</v>
      </c>
      <c r="AW196" s="21">
        <f>EXP(-LN(2)/2)*AW195+(1-EXP(-LN(2)/2))/(LN(2)/2)*AQ196*AT196*VLOOKUP('Données projet'!$B$10,Paramètres!$A$1:$I$89,3,0)*0.475*44/12</f>
        <v>1.6753209654405454E-25</v>
      </c>
      <c r="AX196" s="21">
        <f t="shared" si="166"/>
        <v>2.0612157469637573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0</v>
      </c>
      <c r="BE196" s="13">
        <f>BD196*VLOOKUP('Données projet'!$B$11,Paramètres!$A$1:$I$89,3,0)*VLOOKUP('Données projet'!$B$11,Paramètres!$A$1:$I$89,5,0)</f>
        <v>0</v>
      </c>
      <c r="BF196" s="13" t="e">
        <f t="shared" si="167"/>
        <v>#NUM!</v>
      </c>
      <c r="BG196" s="20" t="e">
        <f t="shared" si="168"/>
        <v>#NUM!</v>
      </c>
      <c r="BH196" s="59" t="e">
        <f t="shared" ref="BH196:BH203" si="194">BG196+(AY196+AZ196)*44/12</f>
        <v>#NUM!</v>
      </c>
      <c r="BI196" s="59">
        <f ca="1">AVERAGE(OFFSET($BH$3,0,0,'Données projet'!$E$11+1,1))-AVERAGE(OFFSET($H$3,0,0,'Données projet'!$E$11+1,1))</f>
        <v>112.82287576550925</v>
      </c>
      <c r="BJ196" s="59">
        <f t="shared" si="146"/>
        <v>317.78570695363294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1.9552182065767727</v>
      </c>
      <c r="BQ196" s="21">
        <f>EXP(-LN(2)/25)*BQ195+(1-EXP(-LN(2)/25))/(LN(2)/25)*Calculateur!BL196*Calculateur!BN196*VLOOKUP('Données projet'!$B$11,Paramètres!$A$1:$I$89,3,0)*0.475*44/12</f>
        <v>0.10599754038698453</v>
      </c>
      <c r="BR196" s="21">
        <f>EXP(-LN(2)/2)*BR195+(1-EXP(-LN(2)/2))/(LN(2)/2)*BL196*BO196*VLOOKUP('Données projet'!$B$11,Paramètres!$A$1:$I$89,3,0)*0.475*44/12</f>
        <v>1.6753209654405454E-25</v>
      </c>
      <c r="BS196" s="22">
        <f t="shared" si="169"/>
        <v>2.0612157469637573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>
        <f>BY196*VLOOKUP('Données projet'!$B$12,Paramètres!$A$1:$I$89,3,0)*VLOOKUP('Données projet'!$B$12,Paramètres!$A$1:$I$89,5,0)</f>
        <v>0</v>
      </c>
      <c r="CA196" s="13" t="e">
        <f t="shared" si="170"/>
        <v>#NUM!</v>
      </c>
      <c r="CB196" s="20" t="e">
        <f t="shared" si="171"/>
        <v>#NUM!</v>
      </c>
      <c r="CC196" s="59" t="e">
        <f t="shared" ref="CC196:CC203" si="195">CB196+(BT196+BU196)*44/12</f>
        <v>#NUM!</v>
      </c>
      <c r="CD196" s="59">
        <f ca="1">AVERAGE(OFFSET($CC$3,0,0,'Données projet'!$E$12+1,1))-AVERAGE(OFFSET($H$3,0,0,'Données projet'!$E$12+1,1))</f>
        <v>112.82287576550925</v>
      </c>
      <c r="CE196" s="59">
        <f t="shared" si="148"/>
        <v>317.78570695363294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>
        <f>EXP(-LN(2)/35)*CK195+(1-EXP(-LN(2)/35))/(LN(2)/35)*CG196*CH196*VLOOKUP('Données projet'!$B$12,Paramètres!$A$1:$I$89,3,0)*0.475*44/12</f>
        <v>1.9552182065767727</v>
      </c>
      <c r="CL196" s="21">
        <f>EXP(-LN(2)/25)*CL195+(1-EXP(-LN(2)/25))/(LN(2)/25)*Calculateur!CG196*Calculateur!CI196*VLOOKUP('Données projet'!$B$12,Paramètres!$A$1:$I$89,3,0)*0.475*44/12</f>
        <v>0.10599754038698453</v>
      </c>
      <c r="CM196" s="21">
        <f>EXP(-LN(2)/2)*CM195+(1-EXP(-LN(2)/2))/(LN(2)/2)*CG196*CJ196*VLOOKUP('Données projet'!$B$12,Paramètres!$A$1:$I$89,3,0)*0.475*44/12</f>
        <v>1.6753209654405454E-25</v>
      </c>
      <c r="CN196" s="22">
        <f t="shared" si="172"/>
        <v>2.0612157469637573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5">
      <c r="A197" s="10">
        <f t="shared" si="161"/>
        <v>194</v>
      </c>
      <c r="B197" s="73">
        <f>'Scénario référence'!$B$16*5+'Scénario référence'!$B$17*0+'Scénario référence'!$B$18*5</f>
        <v>5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1">
        <f t="shared" ref="D197:D203" si="202">IFERROR(EXP(-1.0587+0.8836*LN(C197)+0.284),0)</f>
        <v>0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7" s="11">
        <f>IF(OR('Scénario référence'!$F$8&gt;0,'Scénario référence'!$F$9&gt;0),('Scénario référence'!$F$8+'Scénario référence'!$F$9)*10,0)</f>
        <v>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18.333333333333332</v>
      </c>
      <c r="H197" s="67">
        <f t="shared" si="192"/>
        <v>183.33333333333334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0</v>
      </c>
      <c r="O197" s="13">
        <f>N197*VLOOKUP('Données projet'!$B$9,Paramètres!$A$1:$I$89,3,0)*VLOOKUP('Données projet'!$B$9,Paramètres!$A$1:$I$89,5,0)</f>
        <v>0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112.82287576550925</v>
      </c>
      <c r="T197" s="59">
        <f t="shared" ref="T197:T203" si="204">$T$3</f>
        <v>317.78570695363294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1.9168775701111522</v>
      </c>
      <c r="AA197" s="21">
        <f>EXP(-LN(2)/25)*AA196+(1-EXP(-LN(2)/25))/(LN(2)/25)*Calculateur!V197*Calculateur!X197*VLOOKUP('Données projet'!$B$9,Paramètres!$A$1:$I$89,3,0)*0.475*44/12</f>
        <v>0.10309903207093404</v>
      </c>
      <c r="AB197" s="21">
        <f>EXP(-LN(2)/2)*AB196+(1-EXP(-LN(2)/2))/(LN(2)/2)*V197*Y197*VLOOKUP('Données projet'!$B$9,Paramètres!$A$1:$I$89,3,0)*0.475*44/12</f>
        <v>1.1846308153270033E-25</v>
      </c>
      <c r="AC197" s="22">
        <f t="shared" si="163"/>
        <v>2.0199766021820862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0</v>
      </c>
      <c r="AJ197" s="13">
        <f>AI197*VLOOKUP('Données projet'!$B$10,Paramètres!$A$1:$I$89,3,0)*VLOOKUP('Données projet'!$B$10,Paramètres!$A$1:$I$89,5,0)</f>
        <v>0</v>
      </c>
      <c r="AK197" s="13" t="e">
        <f t="shared" si="164"/>
        <v>#NUM!</v>
      </c>
      <c r="AL197" s="20" t="e">
        <f t="shared" si="165"/>
        <v>#NUM!</v>
      </c>
      <c r="AM197" s="59" t="e">
        <f t="shared" si="193"/>
        <v>#NUM!</v>
      </c>
      <c r="AN197" s="59">
        <f ca="1">AVERAGE(OFFSET($AM$3,0,0,'Données projet'!$E$10+1,1))-AVERAGE(OFFSET($H$3,0,0,'Données projet'!$E$10+1,1))</f>
        <v>112.82287576550925</v>
      </c>
      <c r="AO197" s="59">
        <f t="shared" ref="AO197:AO203" si="205">$AO$3</f>
        <v>317.78570695363294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1.9168775701111522</v>
      </c>
      <c r="AV197" s="21">
        <f>EXP(-LN(2)/25)*AV196+(1-EXP(-LN(2)/25))/(LN(2)/25)*Calculateur!AQ197*Calculateur!AS197*VLOOKUP('Données projet'!$B$10,Paramètres!$A$1:$I$89,3,0)*0.475*44/12</f>
        <v>0.10309903207093404</v>
      </c>
      <c r="AW197" s="21">
        <f>EXP(-LN(2)/2)*AW196+(1-EXP(-LN(2)/2))/(LN(2)/2)*AQ197*AT197*VLOOKUP('Données projet'!$B$10,Paramètres!$A$1:$I$89,3,0)*0.475*44/12</f>
        <v>1.1846308153270033E-25</v>
      </c>
      <c r="AX197" s="21">
        <f t="shared" si="166"/>
        <v>2.0199766021820862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0</v>
      </c>
      <c r="BE197" s="13">
        <f>BD197*VLOOKUP('Données projet'!$B$11,Paramètres!$A$1:$I$89,3,0)*VLOOKUP('Données projet'!$B$11,Paramètres!$A$1:$I$89,5,0)</f>
        <v>0</v>
      </c>
      <c r="BF197" s="13" t="e">
        <f t="shared" si="167"/>
        <v>#NUM!</v>
      </c>
      <c r="BG197" s="20" t="e">
        <f t="shared" si="168"/>
        <v>#NUM!</v>
      </c>
      <c r="BH197" s="59" t="e">
        <f t="shared" si="194"/>
        <v>#NUM!</v>
      </c>
      <c r="BI197" s="59">
        <f ca="1">AVERAGE(OFFSET($BH$3,0,0,'Données projet'!$E$11+1,1))-AVERAGE(OFFSET($H$3,0,0,'Données projet'!$E$11+1,1))</f>
        <v>112.82287576550925</v>
      </c>
      <c r="BJ197" s="59">
        <f t="shared" ref="BJ197:BJ203" si="206">$BJ$3</f>
        <v>317.78570695363294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1.9168775701111522</v>
      </c>
      <c r="BQ197" s="21">
        <f>EXP(-LN(2)/25)*BQ196+(1-EXP(-LN(2)/25))/(LN(2)/25)*Calculateur!BL197*Calculateur!BN197*VLOOKUP('Données projet'!$B$11,Paramètres!$A$1:$I$89,3,0)*0.475*44/12</f>
        <v>0.10309903207093404</v>
      </c>
      <c r="BR197" s="21">
        <f>EXP(-LN(2)/2)*BR196+(1-EXP(-LN(2)/2))/(LN(2)/2)*BL197*BO197*VLOOKUP('Données projet'!$B$11,Paramètres!$A$1:$I$89,3,0)*0.475*44/12</f>
        <v>1.1846308153270033E-25</v>
      </c>
      <c r="BS197" s="22">
        <f t="shared" si="169"/>
        <v>2.0199766021820862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>
        <f>BY197*VLOOKUP('Données projet'!$B$12,Paramètres!$A$1:$I$89,3,0)*VLOOKUP('Données projet'!$B$12,Paramètres!$A$1:$I$89,5,0)</f>
        <v>0</v>
      </c>
      <c r="CA197" s="13" t="e">
        <f t="shared" si="170"/>
        <v>#NUM!</v>
      </c>
      <c r="CB197" s="20" t="e">
        <f t="shared" si="171"/>
        <v>#NUM!</v>
      </c>
      <c r="CC197" s="59" t="e">
        <f t="shared" si="195"/>
        <v>#NUM!</v>
      </c>
      <c r="CD197" s="59">
        <f ca="1">AVERAGE(OFFSET($CC$3,0,0,'Données projet'!$E$12+1,1))-AVERAGE(OFFSET($H$3,0,0,'Données projet'!$E$12+1,1))</f>
        <v>112.82287576550925</v>
      </c>
      <c r="CE197" s="59">
        <f t="shared" ref="CE197:CE203" si="207">$CE$3</f>
        <v>317.78570695363294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>
        <f>EXP(-LN(2)/35)*CK196+(1-EXP(-LN(2)/35))/(LN(2)/35)*CG197*CH197*VLOOKUP('Données projet'!$B$12,Paramètres!$A$1:$I$89,3,0)*0.475*44/12</f>
        <v>1.9168775701111522</v>
      </c>
      <c r="CL197" s="21">
        <f>EXP(-LN(2)/25)*CL196+(1-EXP(-LN(2)/25))/(LN(2)/25)*Calculateur!CG197*Calculateur!CI197*VLOOKUP('Données projet'!$B$12,Paramètres!$A$1:$I$89,3,0)*0.475*44/12</f>
        <v>0.10309903207093404</v>
      </c>
      <c r="CM197" s="21">
        <f>EXP(-LN(2)/2)*CM196+(1-EXP(-LN(2)/2))/(LN(2)/2)*CG197*CJ197*VLOOKUP('Données projet'!$B$12,Paramètres!$A$1:$I$89,3,0)*0.475*44/12</f>
        <v>1.1846308153270033E-25</v>
      </c>
      <c r="CN197" s="22">
        <f t="shared" si="172"/>
        <v>2.0199766021820862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5">
      <c r="A198" s="10">
        <f t="shared" si="161"/>
        <v>195</v>
      </c>
      <c r="B198" s="73">
        <f>'Scénario référence'!$B$16*5+'Scénario référence'!$B$17*0+'Scénario référence'!$B$18*5</f>
        <v>5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1">
        <f t="shared" si="202"/>
        <v>0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8" s="11">
        <f>IF(OR('Scénario référence'!$F$8&gt;0,'Scénario référence'!$F$9&gt;0),('Scénario référence'!$F$8+'Scénario référence'!$F$9)*10,0)</f>
        <v>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18.333333333333332</v>
      </c>
      <c r="H198" s="67">
        <f t="shared" si="192"/>
        <v>183.33333333333334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0</v>
      </c>
      <c r="O198" s="13">
        <f>N198*VLOOKUP('Données projet'!$B$9,Paramètres!$A$1:$I$89,3,0)*VLOOKUP('Données projet'!$B$9,Paramètres!$A$1:$I$89,5,0)</f>
        <v>0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112.82287576550925</v>
      </c>
      <c r="T198" s="59">
        <f t="shared" si="204"/>
        <v>317.78570695363294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1.8792887701411434</v>
      </c>
      <c r="AA198" s="21">
        <f>EXP(-LN(2)/25)*AA197+(1-EXP(-LN(2)/25))/(LN(2)/25)*Calculateur!V198*Calculateur!X198*VLOOKUP('Données projet'!$B$9,Paramètres!$A$1:$I$89,3,0)*0.475*44/12</f>
        <v>0.10027978361721189</v>
      </c>
      <c r="AB198" s="21">
        <f>EXP(-LN(2)/2)*AB197+(1-EXP(-LN(2)/2))/(LN(2)/2)*V198*Y198*VLOOKUP('Données projet'!$B$9,Paramètres!$A$1:$I$89,3,0)*0.475*44/12</f>
        <v>8.3766048272027271E-26</v>
      </c>
      <c r="AC198" s="22">
        <f t="shared" si="163"/>
        <v>1.9795685537583552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0</v>
      </c>
      <c r="AJ198" s="13">
        <f>AI198*VLOOKUP('Données projet'!$B$10,Paramètres!$A$1:$I$89,3,0)*VLOOKUP('Données projet'!$B$10,Paramètres!$A$1:$I$89,5,0)</f>
        <v>0</v>
      </c>
      <c r="AK198" s="13" t="e">
        <f t="shared" si="164"/>
        <v>#NUM!</v>
      </c>
      <c r="AL198" s="20" t="e">
        <f t="shared" si="165"/>
        <v>#NUM!</v>
      </c>
      <c r="AM198" s="59" t="e">
        <f t="shared" si="193"/>
        <v>#NUM!</v>
      </c>
      <c r="AN198" s="59">
        <f ca="1">AVERAGE(OFFSET($AM$3,0,0,'Données projet'!$E$10+1,1))-AVERAGE(OFFSET($H$3,0,0,'Données projet'!$E$10+1,1))</f>
        <v>112.82287576550925</v>
      </c>
      <c r="AO198" s="59">
        <f t="shared" si="205"/>
        <v>317.78570695363294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1.8792887701411434</v>
      </c>
      <c r="AV198" s="21">
        <f>EXP(-LN(2)/25)*AV197+(1-EXP(-LN(2)/25))/(LN(2)/25)*Calculateur!AQ198*Calculateur!AS198*VLOOKUP('Données projet'!$B$10,Paramètres!$A$1:$I$89,3,0)*0.475*44/12</f>
        <v>0.10027978361721189</v>
      </c>
      <c r="AW198" s="21">
        <f>EXP(-LN(2)/2)*AW197+(1-EXP(-LN(2)/2))/(LN(2)/2)*AQ198*AT198*VLOOKUP('Données projet'!$B$10,Paramètres!$A$1:$I$89,3,0)*0.475*44/12</f>
        <v>8.3766048272027271E-26</v>
      </c>
      <c r="AX198" s="21">
        <f t="shared" si="166"/>
        <v>1.9795685537583552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0</v>
      </c>
      <c r="BE198" s="13">
        <f>BD198*VLOOKUP('Données projet'!$B$11,Paramètres!$A$1:$I$89,3,0)*VLOOKUP('Données projet'!$B$11,Paramètres!$A$1:$I$89,5,0)</f>
        <v>0</v>
      </c>
      <c r="BF198" s="13" t="e">
        <f t="shared" si="167"/>
        <v>#NUM!</v>
      </c>
      <c r="BG198" s="20" t="e">
        <f t="shared" si="168"/>
        <v>#NUM!</v>
      </c>
      <c r="BH198" s="59" t="e">
        <f t="shared" si="194"/>
        <v>#NUM!</v>
      </c>
      <c r="BI198" s="59">
        <f ca="1">AVERAGE(OFFSET($BH$3,0,0,'Données projet'!$E$11+1,1))-AVERAGE(OFFSET($H$3,0,0,'Données projet'!$E$11+1,1))</f>
        <v>112.82287576550925</v>
      </c>
      <c r="BJ198" s="59">
        <f t="shared" si="206"/>
        <v>317.78570695363294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1.8792887701411434</v>
      </c>
      <c r="BQ198" s="21">
        <f>EXP(-LN(2)/25)*BQ197+(1-EXP(-LN(2)/25))/(LN(2)/25)*Calculateur!BL198*Calculateur!BN198*VLOOKUP('Données projet'!$B$11,Paramètres!$A$1:$I$89,3,0)*0.475*44/12</f>
        <v>0.10027978361721189</v>
      </c>
      <c r="BR198" s="21">
        <f>EXP(-LN(2)/2)*BR197+(1-EXP(-LN(2)/2))/(LN(2)/2)*BL198*BO198*VLOOKUP('Données projet'!$B$11,Paramètres!$A$1:$I$89,3,0)*0.475*44/12</f>
        <v>8.3766048272027271E-26</v>
      </c>
      <c r="BS198" s="22">
        <f t="shared" si="169"/>
        <v>1.9795685537583552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>
        <f>BY198*VLOOKUP('Données projet'!$B$12,Paramètres!$A$1:$I$89,3,0)*VLOOKUP('Données projet'!$B$12,Paramètres!$A$1:$I$89,5,0)</f>
        <v>0</v>
      </c>
      <c r="CA198" s="13" t="e">
        <f t="shared" si="170"/>
        <v>#NUM!</v>
      </c>
      <c r="CB198" s="20" t="e">
        <f t="shared" si="171"/>
        <v>#NUM!</v>
      </c>
      <c r="CC198" s="59" t="e">
        <f t="shared" si="195"/>
        <v>#NUM!</v>
      </c>
      <c r="CD198" s="59">
        <f ca="1">AVERAGE(OFFSET($CC$3,0,0,'Données projet'!$E$12+1,1))-AVERAGE(OFFSET($H$3,0,0,'Données projet'!$E$12+1,1))</f>
        <v>112.82287576550925</v>
      </c>
      <c r="CE198" s="59">
        <f t="shared" si="207"/>
        <v>317.78570695363294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>
        <f>EXP(-LN(2)/35)*CK197+(1-EXP(-LN(2)/35))/(LN(2)/35)*CG198*CH198*VLOOKUP('Données projet'!$B$12,Paramètres!$A$1:$I$89,3,0)*0.475*44/12</f>
        <v>1.8792887701411434</v>
      </c>
      <c r="CL198" s="21">
        <f>EXP(-LN(2)/25)*CL197+(1-EXP(-LN(2)/25))/(LN(2)/25)*Calculateur!CG198*Calculateur!CI198*VLOOKUP('Données projet'!$B$12,Paramètres!$A$1:$I$89,3,0)*0.475*44/12</f>
        <v>0.10027978361721189</v>
      </c>
      <c r="CM198" s="21">
        <f>EXP(-LN(2)/2)*CM197+(1-EXP(-LN(2)/2))/(LN(2)/2)*CG198*CJ198*VLOOKUP('Données projet'!$B$12,Paramètres!$A$1:$I$89,3,0)*0.475*44/12</f>
        <v>8.3766048272027271E-26</v>
      </c>
      <c r="CN198" s="22">
        <f t="shared" si="172"/>
        <v>1.9795685537583552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5">
      <c r="A199" s="10">
        <f t="shared" si="161"/>
        <v>196</v>
      </c>
      <c r="B199" s="73">
        <f>'Scénario référence'!$B$16*5+'Scénario référence'!$B$17*0+'Scénario référence'!$B$18*5</f>
        <v>5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1">
        <f t="shared" si="202"/>
        <v>0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9" s="11">
        <f>IF(OR('Scénario référence'!$F$8&gt;0,'Scénario référence'!$F$9&gt;0),('Scénario référence'!$F$8+'Scénario référence'!$F$9)*10,0)</f>
        <v>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18.333333333333332</v>
      </c>
      <c r="H199" s="67">
        <f t="shared" si="192"/>
        <v>183.33333333333334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0</v>
      </c>
      <c r="O199" s="13">
        <f>N199*VLOOKUP('Données projet'!$B$9,Paramètres!$A$1:$I$89,3,0)*VLOOKUP('Données projet'!$B$9,Paramètres!$A$1:$I$89,5,0)</f>
        <v>0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112.82287576550925</v>
      </c>
      <c r="T199" s="59">
        <f t="shared" si="204"/>
        <v>317.78570695363294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1.8424370636116423</v>
      </c>
      <c r="AA199" s="21">
        <f>EXP(-LN(2)/25)*AA198+(1-EXP(-LN(2)/25))/(LN(2)/25)*Calculateur!V199*Calculateur!X199*VLOOKUP('Données projet'!$B$9,Paramètres!$A$1:$I$89,3,0)*0.475*44/12</f>
        <v>9.753762766071461E-2</v>
      </c>
      <c r="AB199" s="21">
        <f>EXP(-LN(2)/2)*AB198+(1-EXP(-LN(2)/2))/(LN(2)/2)*V199*Y199*VLOOKUP('Données projet'!$B$9,Paramètres!$A$1:$I$89,3,0)*0.475*44/12</f>
        <v>5.9231540766350165E-26</v>
      </c>
      <c r="AC199" s="22">
        <f t="shared" si="163"/>
        <v>1.939974691272357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0</v>
      </c>
      <c r="AJ199" s="13">
        <f>AI199*VLOOKUP('Données projet'!$B$10,Paramètres!$A$1:$I$89,3,0)*VLOOKUP('Données projet'!$B$10,Paramètres!$A$1:$I$89,5,0)</f>
        <v>0</v>
      </c>
      <c r="AK199" s="13" t="e">
        <f t="shared" si="164"/>
        <v>#NUM!</v>
      </c>
      <c r="AL199" s="20" t="e">
        <f t="shared" si="165"/>
        <v>#NUM!</v>
      </c>
      <c r="AM199" s="59" t="e">
        <f t="shared" si="193"/>
        <v>#NUM!</v>
      </c>
      <c r="AN199" s="59">
        <f ca="1">AVERAGE(OFFSET($AM$3,0,0,'Données projet'!$E$10+1,1))-AVERAGE(OFFSET($H$3,0,0,'Données projet'!$E$10+1,1))</f>
        <v>112.82287576550925</v>
      </c>
      <c r="AO199" s="59">
        <f t="shared" si="205"/>
        <v>317.78570695363294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1.8424370636116423</v>
      </c>
      <c r="AV199" s="21">
        <f>EXP(-LN(2)/25)*AV198+(1-EXP(-LN(2)/25))/(LN(2)/25)*Calculateur!AQ199*Calculateur!AS199*VLOOKUP('Données projet'!$B$10,Paramètres!$A$1:$I$89,3,0)*0.475*44/12</f>
        <v>9.753762766071461E-2</v>
      </c>
      <c r="AW199" s="21">
        <f>EXP(-LN(2)/2)*AW198+(1-EXP(-LN(2)/2))/(LN(2)/2)*AQ199*AT199*VLOOKUP('Données projet'!$B$10,Paramètres!$A$1:$I$89,3,0)*0.475*44/12</f>
        <v>5.9231540766350165E-26</v>
      </c>
      <c r="AX199" s="21">
        <f t="shared" si="166"/>
        <v>1.939974691272357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0</v>
      </c>
      <c r="BE199" s="13">
        <f>BD199*VLOOKUP('Données projet'!$B$11,Paramètres!$A$1:$I$89,3,0)*VLOOKUP('Données projet'!$B$11,Paramètres!$A$1:$I$89,5,0)</f>
        <v>0</v>
      </c>
      <c r="BF199" s="13" t="e">
        <f t="shared" si="167"/>
        <v>#NUM!</v>
      </c>
      <c r="BG199" s="20" t="e">
        <f t="shared" si="168"/>
        <v>#NUM!</v>
      </c>
      <c r="BH199" s="59" t="e">
        <f t="shared" si="194"/>
        <v>#NUM!</v>
      </c>
      <c r="BI199" s="59">
        <f ca="1">AVERAGE(OFFSET($BH$3,0,0,'Données projet'!$E$11+1,1))-AVERAGE(OFFSET($H$3,0,0,'Données projet'!$E$11+1,1))</f>
        <v>112.82287576550925</v>
      </c>
      <c r="BJ199" s="59">
        <f t="shared" si="206"/>
        <v>317.78570695363294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1.8424370636116423</v>
      </c>
      <c r="BQ199" s="21">
        <f>EXP(-LN(2)/25)*BQ198+(1-EXP(-LN(2)/25))/(LN(2)/25)*Calculateur!BL199*Calculateur!BN199*VLOOKUP('Données projet'!$B$11,Paramètres!$A$1:$I$89,3,0)*0.475*44/12</f>
        <v>9.753762766071461E-2</v>
      </c>
      <c r="BR199" s="21">
        <f>EXP(-LN(2)/2)*BR198+(1-EXP(-LN(2)/2))/(LN(2)/2)*BL199*BO199*VLOOKUP('Données projet'!$B$11,Paramètres!$A$1:$I$89,3,0)*0.475*44/12</f>
        <v>5.9231540766350165E-26</v>
      </c>
      <c r="BS199" s="22">
        <f t="shared" si="169"/>
        <v>1.939974691272357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>
        <f>BY199*VLOOKUP('Données projet'!$B$12,Paramètres!$A$1:$I$89,3,0)*VLOOKUP('Données projet'!$B$12,Paramètres!$A$1:$I$89,5,0)</f>
        <v>0</v>
      </c>
      <c r="CA199" s="13" t="e">
        <f t="shared" si="170"/>
        <v>#NUM!</v>
      </c>
      <c r="CB199" s="20" t="e">
        <f t="shared" si="171"/>
        <v>#NUM!</v>
      </c>
      <c r="CC199" s="59" t="e">
        <f t="shared" si="195"/>
        <v>#NUM!</v>
      </c>
      <c r="CD199" s="59">
        <f ca="1">AVERAGE(OFFSET($CC$3,0,0,'Données projet'!$E$12+1,1))-AVERAGE(OFFSET($H$3,0,0,'Données projet'!$E$12+1,1))</f>
        <v>112.82287576550925</v>
      </c>
      <c r="CE199" s="59">
        <f t="shared" si="207"/>
        <v>317.78570695363294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>
        <f>EXP(-LN(2)/35)*CK198+(1-EXP(-LN(2)/35))/(LN(2)/35)*CG199*CH199*VLOOKUP('Données projet'!$B$12,Paramètres!$A$1:$I$89,3,0)*0.475*44/12</f>
        <v>1.8424370636116423</v>
      </c>
      <c r="CL199" s="21">
        <f>EXP(-LN(2)/25)*CL198+(1-EXP(-LN(2)/25))/(LN(2)/25)*Calculateur!CG199*Calculateur!CI199*VLOOKUP('Données projet'!$B$12,Paramètres!$A$1:$I$89,3,0)*0.475*44/12</f>
        <v>9.753762766071461E-2</v>
      </c>
      <c r="CM199" s="21">
        <f>EXP(-LN(2)/2)*CM198+(1-EXP(-LN(2)/2))/(LN(2)/2)*CG199*CJ199*VLOOKUP('Données projet'!$B$12,Paramètres!$A$1:$I$89,3,0)*0.475*44/12</f>
        <v>5.9231540766350165E-26</v>
      </c>
      <c r="CN199" s="22">
        <f t="shared" si="172"/>
        <v>1.939974691272357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5">
      <c r="A200" s="10">
        <f t="shared" si="161"/>
        <v>197</v>
      </c>
      <c r="B200" s="73">
        <f>'Scénario référence'!$B$16*5+'Scénario référence'!$B$17*0+'Scénario référence'!$B$18*5</f>
        <v>5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1">
        <f t="shared" si="202"/>
        <v>0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0" s="11">
        <f>IF(OR('Scénario référence'!$F$8&gt;0,'Scénario référence'!$F$9&gt;0),('Scénario référence'!$F$8+'Scénario référence'!$F$9)*10,0)</f>
        <v>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18.333333333333332</v>
      </c>
      <c r="H200" s="67">
        <f t="shared" si="192"/>
        <v>183.33333333333334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0</v>
      </c>
      <c r="O200" s="13">
        <f>N200*VLOOKUP('Données projet'!$B$9,Paramètres!$A$1:$I$89,3,0)*VLOOKUP('Données projet'!$B$9,Paramètres!$A$1:$I$89,5,0)</f>
        <v>0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112.82287576550925</v>
      </c>
      <c r="T200" s="59">
        <f t="shared" si="204"/>
        <v>317.78570695363294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1.8063079965698632</v>
      </c>
      <c r="AA200" s="21">
        <f>EXP(-LN(2)/25)*AA199+(1-EXP(-LN(2)/25))/(LN(2)/25)*Calculateur!V200*Calculateur!X200*VLOOKUP('Données projet'!$B$9,Paramètres!$A$1:$I$89,3,0)*0.475*44/12</f>
        <v>9.4870456103051462E-2</v>
      </c>
      <c r="AB200" s="21">
        <f>EXP(-LN(2)/2)*AB199+(1-EXP(-LN(2)/2))/(LN(2)/2)*V200*Y200*VLOOKUP('Données projet'!$B$9,Paramètres!$A$1:$I$89,3,0)*0.475*44/12</f>
        <v>4.1883024136013636E-26</v>
      </c>
      <c r="AC200" s="22">
        <f t="shared" si="163"/>
        <v>1.9011784526729147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0</v>
      </c>
      <c r="AJ200" s="13">
        <f>AI200*VLOOKUP('Données projet'!$B$10,Paramètres!$A$1:$I$89,3,0)*VLOOKUP('Données projet'!$B$10,Paramètres!$A$1:$I$89,5,0)</f>
        <v>0</v>
      </c>
      <c r="AK200" s="13" t="e">
        <f t="shared" si="164"/>
        <v>#NUM!</v>
      </c>
      <c r="AL200" s="20" t="e">
        <f t="shared" si="165"/>
        <v>#NUM!</v>
      </c>
      <c r="AM200" s="59" t="e">
        <f t="shared" si="193"/>
        <v>#NUM!</v>
      </c>
      <c r="AN200" s="59">
        <f ca="1">AVERAGE(OFFSET($AM$3,0,0,'Données projet'!$E$10+1,1))-AVERAGE(OFFSET($H$3,0,0,'Données projet'!$E$10+1,1))</f>
        <v>112.82287576550925</v>
      </c>
      <c r="AO200" s="59">
        <f t="shared" si="205"/>
        <v>317.78570695363294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1.8063079965698632</v>
      </c>
      <c r="AV200" s="21">
        <f>EXP(-LN(2)/25)*AV199+(1-EXP(-LN(2)/25))/(LN(2)/25)*Calculateur!AQ200*Calculateur!AS200*VLOOKUP('Données projet'!$B$10,Paramètres!$A$1:$I$89,3,0)*0.475*44/12</f>
        <v>9.4870456103051462E-2</v>
      </c>
      <c r="AW200" s="21">
        <f>EXP(-LN(2)/2)*AW199+(1-EXP(-LN(2)/2))/(LN(2)/2)*AQ200*AT200*VLOOKUP('Données projet'!$B$10,Paramètres!$A$1:$I$89,3,0)*0.475*44/12</f>
        <v>4.1883024136013636E-26</v>
      </c>
      <c r="AX200" s="21">
        <f t="shared" si="166"/>
        <v>1.9011784526729147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0</v>
      </c>
      <c r="BE200" s="13">
        <f>BD200*VLOOKUP('Données projet'!$B$11,Paramètres!$A$1:$I$89,3,0)*VLOOKUP('Données projet'!$B$11,Paramètres!$A$1:$I$89,5,0)</f>
        <v>0</v>
      </c>
      <c r="BF200" s="13" t="e">
        <f t="shared" si="167"/>
        <v>#NUM!</v>
      </c>
      <c r="BG200" s="20" t="e">
        <f t="shared" si="168"/>
        <v>#NUM!</v>
      </c>
      <c r="BH200" s="59" t="e">
        <f t="shared" si="194"/>
        <v>#NUM!</v>
      </c>
      <c r="BI200" s="59">
        <f ca="1">AVERAGE(OFFSET($BH$3,0,0,'Données projet'!$E$11+1,1))-AVERAGE(OFFSET($H$3,0,0,'Données projet'!$E$11+1,1))</f>
        <v>112.82287576550925</v>
      </c>
      <c r="BJ200" s="59">
        <f t="shared" si="206"/>
        <v>317.78570695363294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1.8063079965698632</v>
      </c>
      <c r="BQ200" s="21">
        <f>EXP(-LN(2)/25)*BQ199+(1-EXP(-LN(2)/25))/(LN(2)/25)*Calculateur!BL200*Calculateur!BN200*VLOOKUP('Données projet'!$B$11,Paramètres!$A$1:$I$89,3,0)*0.475*44/12</f>
        <v>9.4870456103051462E-2</v>
      </c>
      <c r="BR200" s="21">
        <f>EXP(-LN(2)/2)*BR199+(1-EXP(-LN(2)/2))/(LN(2)/2)*BL200*BO200*VLOOKUP('Données projet'!$B$11,Paramètres!$A$1:$I$89,3,0)*0.475*44/12</f>
        <v>4.1883024136013636E-26</v>
      </c>
      <c r="BS200" s="22">
        <f t="shared" si="169"/>
        <v>1.9011784526729147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>
        <f>BY200*VLOOKUP('Données projet'!$B$12,Paramètres!$A$1:$I$89,3,0)*VLOOKUP('Données projet'!$B$12,Paramètres!$A$1:$I$89,5,0)</f>
        <v>0</v>
      </c>
      <c r="CA200" s="13" t="e">
        <f t="shared" si="170"/>
        <v>#NUM!</v>
      </c>
      <c r="CB200" s="20" t="e">
        <f t="shared" si="171"/>
        <v>#NUM!</v>
      </c>
      <c r="CC200" s="59" t="e">
        <f t="shared" si="195"/>
        <v>#NUM!</v>
      </c>
      <c r="CD200" s="59">
        <f ca="1">AVERAGE(OFFSET($CC$3,0,0,'Données projet'!$E$12+1,1))-AVERAGE(OFFSET($H$3,0,0,'Données projet'!$E$12+1,1))</f>
        <v>112.82287576550925</v>
      </c>
      <c r="CE200" s="59">
        <f t="shared" si="207"/>
        <v>317.78570695363294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>
        <f>EXP(-LN(2)/35)*CK199+(1-EXP(-LN(2)/35))/(LN(2)/35)*CG200*CH200*VLOOKUP('Données projet'!$B$12,Paramètres!$A$1:$I$89,3,0)*0.475*44/12</f>
        <v>1.8063079965698632</v>
      </c>
      <c r="CL200" s="21">
        <f>EXP(-LN(2)/25)*CL199+(1-EXP(-LN(2)/25))/(LN(2)/25)*Calculateur!CG200*Calculateur!CI200*VLOOKUP('Données projet'!$B$12,Paramètres!$A$1:$I$89,3,0)*0.475*44/12</f>
        <v>9.4870456103051462E-2</v>
      </c>
      <c r="CM200" s="21">
        <f>EXP(-LN(2)/2)*CM199+(1-EXP(-LN(2)/2))/(LN(2)/2)*CG200*CJ200*VLOOKUP('Données projet'!$B$12,Paramètres!$A$1:$I$89,3,0)*0.475*44/12</f>
        <v>4.1883024136013636E-26</v>
      </c>
      <c r="CN200" s="22">
        <f t="shared" si="172"/>
        <v>1.9011784526729147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5">
      <c r="A201" s="10">
        <f>A200+1</f>
        <v>198</v>
      </c>
      <c r="B201" s="73">
        <f>'Scénario référence'!$B$16*5+'Scénario référence'!$B$17*0+'Scénario référence'!$B$18*5</f>
        <v>5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1">
        <f t="shared" si="202"/>
        <v>0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1" s="11">
        <f>IF(OR('Scénario référence'!$F$8&gt;0,'Scénario référence'!$F$9&gt;0),('Scénario référence'!$F$8+'Scénario référence'!$F$9)*10,0)</f>
        <v>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18.333333333333332</v>
      </c>
      <c r="H201" s="67">
        <f t="shared" si="192"/>
        <v>183.33333333333334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0</v>
      </c>
      <c r="O201" s="13">
        <f>N201*VLOOKUP('Données projet'!$B$9,Paramètres!$A$1:$I$89,3,0)*VLOOKUP('Données projet'!$B$9,Paramètres!$A$1:$I$89,5,0)</f>
        <v>0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112.82287576550925</v>
      </c>
      <c r="T201" s="59">
        <f t="shared" si="204"/>
        <v>317.78570695363294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1.7708873984962183</v>
      </c>
      <c r="AA201" s="21">
        <f>EXP(-LN(2)/25)*AA200+(1-EXP(-LN(2)/25))/(LN(2)/25)*Calculateur!V201*Calculateur!X201*VLOOKUP('Données projet'!$B$9,Paramètres!$A$1:$I$89,3,0)*0.475*44/12</f>
        <v>9.2276218491893061E-2</v>
      </c>
      <c r="AB201" s="21">
        <f>EXP(-LN(2)/2)*AB200+(1-EXP(-LN(2)/2))/(LN(2)/2)*V201*Y201*VLOOKUP('Données projet'!$B$9,Paramètres!$A$1:$I$89,3,0)*0.475*44/12</f>
        <v>2.9615770383175082E-26</v>
      </c>
      <c r="AC201" s="22">
        <f t="shared" si="163"/>
        <v>1.8631636169881114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0</v>
      </c>
      <c r="AJ201" s="13">
        <f>AI201*VLOOKUP('Données projet'!$B$10,Paramètres!$A$1:$I$89,3,0)*VLOOKUP('Données projet'!$B$10,Paramètres!$A$1:$I$89,5,0)</f>
        <v>0</v>
      </c>
      <c r="AK201" s="13" t="e">
        <f t="shared" si="164"/>
        <v>#NUM!</v>
      </c>
      <c r="AL201" s="20" t="e">
        <f t="shared" si="165"/>
        <v>#NUM!</v>
      </c>
      <c r="AM201" s="59" t="e">
        <f t="shared" si="193"/>
        <v>#NUM!</v>
      </c>
      <c r="AN201" s="59">
        <f ca="1">AVERAGE(OFFSET($AM$3,0,0,'Données projet'!$E$10+1,1))-AVERAGE(OFFSET($H$3,0,0,'Données projet'!$E$10+1,1))</f>
        <v>112.82287576550925</v>
      </c>
      <c r="AO201" s="59">
        <f t="shared" si="205"/>
        <v>317.78570695363294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1.7708873984962183</v>
      </c>
      <c r="AV201" s="21">
        <f>EXP(-LN(2)/25)*AV200+(1-EXP(-LN(2)/25))/(LN(2)/25)*Calculateur!AQ201*Calculateur!AS201*VLOOKUP('Données projet'!$B$10,Paramètres!$A$1:$I$89,3,0)*0.475*44/12</f>
        <v>9.2276218491893061E-2</v>
      </c>
      <c r="AW201" s="21">
        <f>EXP(-LN(2)/2)*AW200+(1-EXP(-LN(2)/2))/(LN(2)/2)*AQ201*AT201*VLOOKUP('Données projet'!$B$10,Paramètres!$A$1:$I$89,3,0)*0.475*44/12</f>
        <v>2.9615770383175082E-26</v>
      </c>
      <c r="AX201" s="21">
        <f t="shared" si="166"/>
        <v>1.8631636169881114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0</v>
      </c>
      <c r="BE201" s="13">
        <f>BD201*VLOOKUP('Données projet'!$B$11,Paramètres!$A$1:$I$89,3,0)*VLOOKUP('Données projet'!$B$11,Paramètres!$A$1:$I$89,5,0)</f>
        <v>0</v>
      </c>
      <c r="BF201" s="13" t="e">
        <f t="shared" si="167"/>
        <v>#NUM!</v>
      </c>
      <c r="BG201" s="20" t="e">
        <f t="shared" si="168"/>
        <v>#NUM!</v>
      </c>
      <c r="BH201" s="59" t="e">
        <f t="shared" si="194"/>
        <v>#NUM!</v>
      </c>
      <c r="BI201" s="59">
        <f ca="1">AVERAGE(OFFSET($BH$3,0,0,'Données projet'!$E$11+1,1))-AVERAGE(OFFSET($H$3,0,0,'Données projet'!$E$11+1,1))</f>
        <v>112.82287576550925</v>
      </c>
      <c r="BJ201" s="59">
        <f t="shared" si="206"/>
        <v>317.78570695363294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1.7708873984962183</v>
      </c>
      <c r="BQ201" s="21">
        <f>EXP(-LN(2)/25)*BQ200+(1-EXP(-LN(2)/25))/(LN(2)/25)*Calculateur!BL201*Calculateur!BN201*VLOOKUP('Données projet'!$B$11,Paramètres!$A$1:$I$89,3,0)*0.475*44/12</f>
        <v>9.2276218491893061E-2</v>
      </c>
      <c r="BR201" s="21">
        <f>EXP(-LN(2)/2)*BR200+(1-EXP(-LN(2)/2))/(LN(2)/2)*BL201*BO201*VLOOKUP('Données projet'!$B$11,Paramètres!$A$1:$I$89,3,0)*0.475*44/12</f>
        <v>2.9615770383175082E-26</v>
      </c>
      <c r="BS201" s="22">
        <f t="shared" si="169"/>
        <v>1.8631636169881114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>
        <f>BY201*VLOOKUP('Données projet'!$B$12,Paramètres!$A$1:$I$89,3,0)*VLOOKUP('Données projet'!$B$12,Paramètres!$A$1:$I$89,5,0)</f>
        <v>0</v>
      </c>
      <c r="CA201" s="13" t="e">
        <f t="shared" si="170"/>
        <v>#NUM!</v>
      </c>
      <c r="CB201" s="20" t="e">
        <f t="shared" si="171"/>
        <v>#NUM!</v>
      </c>
      <c r="CC201" s="59" t="e">
        <f t="shared" si="195"/>
        <v>#NUM!</v>
      </c>
      <c r="CD201" s="59">
        <f ca="1">AVERAGE(OFFSET($CC$3,0,0,'Données projet'!$E$12+1,1))-AVERAGE(OFFSET($H$3,0,0,'Données projet'!$E$12+1,1))</f>
        <v>112.82287576550925</v>
      </c>
      <c r="CE201" s="59">
        <f t="shared" si="207"/>
        <v>317.78570695363294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>
        <f>EXP(-LN(2)/35)*CK200+(1-EXP(-LN(2)/35))/(LN(2)/35)*CG201*CH201*VLOOKUP('Données projet'!$B$12,Paramètres!$A$1:$I$89,3,0)*0.475*44/12</f>
        <v>1.7708873984962183</v>
      </c>
      <c r="CL201" s="21">
        <f>EXP(-LN(2)/25)*CL200+(1-EXP(-LN(2)/25))/(LN(2)/25)*Calculateur!CG201*Calculateur!CI201*VLOOKUP('Données projet'!$B$12,Paramètres!$A$1:$I$89,3,0)*0.475*44/12</f>
        <v>9.2276218491893061E-2</v>
      </c>
      <c r="CM201" s="21">
        <f>EXP(-LN(2)/2)*CM200+(1-EXP(-LN(2)/2))/(LN(2)/2)*CG201*CJ201*VLOOKUP('Données projet'!$B$12,Paramètres!$A$1:$I$89,3,0)*0.475*44/12</f>
        <v>2.9615770383175082E-26</v>
      </c>
      <c r="CN201" s="22">
        <f t="shared" si="172"/>
        <v>1.8631636169881114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5">
      <c r="A202" s="10">
        <f t="shared" si="161"/>
        <v>199</v>
      </c>
      <c r="B202" s="73">
        <f>'Scénario référence'!$B$16*5+'Scénario référence'!$B$17*0+'Scénario référence'!$B$18*5</f>
        <v>5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1">
        <f t="shared" si="202"/>
        <v>0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2" s="11">
        <f>IF(OR('Scénario référence'!$F$8&gt;0,'Scénario référence'!$F$9&gt;0),('Scénario référence'!$F$8+'Scénario référence'!$F$9)*10,0)</f>
        <v>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18.333333333333332</v>
      </c>
      <c r="H202" s="67">
        <f t="shared" si="192"/>
        <v>183.33333333333334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0</v>
      </c>
      <c r="O202" s="13">
        <f>N202*VLOOKUP('Données projet'!$B$9,Paramètres!$A$1:$I$89,3,0)*VLOOKUP('Données projet'!$B$9,Paramètres!$A$1:$I$89,5,0)</f>
        <v>0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112.82287576550925</v>
      </c>
      <c r="T202" s="59">
        <f t="shared" si="204"/>
        <v>317.78570695363294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1.7361613767463662</v>
      </c>
      <c r="AA202" s="21">
        <f>EXP(-LN(2)/25)*AA201+(1-EXP(-LN(2)/25))/(LN(2)/25)*Calculateur!V202*Calculateur!X202*VLOOKUP('Données projet'!$B$9,Paramètres!$A$1:$I$89,3,0)*0.475*44/12</f>
        <v>8.9752920444636813E-2</v>
      </c>
      <c r="AB202" s="21">
        <f>EXP(-LN(2)/2)*AB201+(1-EXP(-LN(2)/2))/(LN(2)/2)*V202*Y202*VLOOKUP('Données projet'!$B$9,Paramètres!$A$1:$I$89,3,0)*0.475*44/12</f>
        <v>2.0941512068006818E-26</v>
      </c>
      <c r="AC202" s="22">
        <f t="shared" si="163"/>
        <v>1.825914297191003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0</v>
      </c>
      <c r="AJ202" s="13">
        <f>AI202*VLOOKUP('Données projet'!$B$10,Paramètres!$A$1:$I$89,3,0)*VLOOKUP('Données projet'!$B$10,Paramètres!$A$1:$I$89,5,0)</f>
        <v>0</v>
      </c>
      <c r="AK202" s="13" t="e">
        <f t="shared" si="164"/>
        <v>#NUM!</v>
      </c>
      <c r="AL202" s="20" t="e">
        <f t="shared" si="165"/>
        <v>#NUM!</v>
      </c>
      <c r="AM202" s="59" t="e">
        <f t="shared" si="193"/>
        <v>#NUM!</v>
      </c>
      <c r="AN202" s="59">
        <f ca="1">AVERAGE(OFFSET($AM$3,0,0,'Données projet'!$E$10+1,1))-AVERAGE(OFFSET($H$3,0,0,'Données projet'!$E$10+1,1))</f>
        <v>112.82287576550925</v>
      </c>
      <c r="AO202" s="59">
        <f t="shared" si="205"/>
        <v>317.78570695363294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1.7361613767463662</v>
      </c>
      <c r="AV202" s="21">
        <f>EXP(-LN(2)/25)*AV201+(1-EXP(-LN(2)/25))/(LN(2)/25)*Calculateur!AQ202*Calculateur!AS202*VLOOKUP('Données projet'!$B$10,Paramètres!$A$1:$I$89,3,0)*0.475*44/12</f>
        <v>8.9752920444636813E-2</v>
      </c>
      <c r="AW202" s="21">
        <f>EXP(-LN(2)/2)*AW201+(1-EXP(-LN(2)/2))/(LN(2)/2)*AQ202*AT202*VLOOKUP('Données projet'!$B$10,Paramètres!$A$1:$I$89,3,0)*0.475*44/12</f>
        <v>2.0941512068006818E-26</v>
      </c>
      <c r="AX202" s="21">
        <f t="shared" si="166"/>
        <v>1.825914297191003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0</v>
      </c>
      <c r="BE202" s="13">
        <f>BD202*VLOOKUP('Données projet'!$B$11,Paramètres!$A$1:$I$89,3,0)*VLOOKUP('Données projet'!$B$11,Paramètres!$A$1:$I$89,5,0)</f>
        <v>0</v>
      </c>
      <c r="BF202" s="13" t="e">
        <f t="shared" si="167"/>
        <v>#NUM!</v>
      </c>
      <c r="BG202" s="20" t="e">
        <f t="shared" si="168"/>
        <v>#NUM!</v>
      </c>
      <c r="BH202" s="59" t="e">
        <f t="shared" si="194"/>
        <v>#NUM!</v>
      </c>
      <c r="BI202" s="59">
        <f ca="1">AVERAGE(OFFSET($BH$3,0,0,'Données projet'!$E$11+1,1))-AVERAGE(OFFSET($H$3,0,0,'Données projet'!$E$11+1,1))</f>
        <v>112.82287576550925</v>
      </c>
      <c r="BJ202" s="59">
        <f t="shared" si="206"/>
        <v>317.78570695363294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1.7361613767463662</v>
      </c>
      <c r="BQ202" s="21">
        <f>EXP(-LN(2)/25)*BQ201+(1-EXP(-LN(2)/25))/(LN(2)/25)*Calculateur!BL202*Calculateur!BN202*VLOOKUP('Données projet'!$B$11,Paramètres!$A$1:$I$89,3,0)*0.475*44/12</f>
        <v>8.9752920444636813E-2</v>
      </c>
      <c r="BR202" s="21">
        <f>EXP(-LN(2)/2)*BR201+(1-EXP(-LN(2)/2))/(LN(2)/2)*BL202*BO202*VLOOKUP('Données projet'!$B$11,Paramètres!$A$1:$I$89,3,0)*0.475*44/12</f>
        <v>2.0941512068006818E-26</v>
      </c>
      <c r="BS202" s="22">
        <f t="shared" si="169"/>
        <v>1.825914297191003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>
        <f>BY202*VLOOKUP('Données projet'!$B$12,Paramètres!$A$1:$I$89,3,0)*VLOOKUP('Données projet'!$B$12,Paramètres!$A$1:$I$89,5,0)</f>
        <v>0</v>
      </c>
      <c r="CA202" s="13" t="e">
        <f t="shared" si="170"/>
        <v>#NUM!</v>
      </c>
      <c r="CB202" s="20" t="e">
        <f t="shared" si="171"/>
        <v>#NUM!</v>
      </c>
      <c r="CC202" s="59" t="e">
        <f t="shared" si="195"/>
        <v>#NUM!</v>
      </c>
      <c r="CD202" s="59">
        <f ca="1">AVERAGE(OFFSET($CC$3,0,0,'Données projet'!$E$12+1,1))-AVERAGE(OFFSET($H$3,0,0,'Données projet'!$E$12+1,1))</f>
        <v>112.82287576550925</v>
      </c>
      <c r="CE202" s="59">
        <f t="shared" si="207"/>
        <v>317.78570695363294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>
        <f>EXP(-LN(2)/35)*CK201+(1-EXP(-LN(2)/35))/(LN(2)/35)*CG202*CH202*VLOOKUP('Données projet'!$B$12,Paramètres!$A$1:$I$89,3,0)*0.475*44/12</f>
        <v>1.7361613767463662</v>
      </c>
      <c r="CL202" s="21">
        <f>EXP(-LN(2)/25)*CL201+(1-EXP(-LN(2)/25))/(LN(2)/25)*Calculateur!CG202*Calculateur!CI202*VLOOKUP('Données projet'!$B$12,Paramètres!$A$1:$I$89,3,0)*0.475*44/12</f>
        <v>8.9752920444636813E-2</v>
      </c>
      <c r="CM202" s="21">
        <f>EXP(-LN(2)/2)*CM201+(1-EXP(-LN(2)/2))/(LN(2)/2)*CG202*CJ202*VLOOKUP('Données projet'!$B$12,Paramètres!$A$1:$I$89,3,0)*0.475*44/12</f>
        <v>2.0941512068006818E-26</v>
      </c>
      <c r="CN202" s="22">
        <f t="shared" si="172"/>
        <v>1.825914297191003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4">
      <c r="A203" s="10">
        <f>A202+1</f>
        <v>200</v>
      </c>
      <c r="B203" s="73">
        <f>'Scénario référence'!$B$16*5+'Scénario référence'!$B$17*0+'Scénario référence'!$B$18*5</f>
        <v>5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1">
        <f t="shared" si="202"/>
        <v>0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3" s="11">
        <f>IF(OR('Scénario référence'!$F$8&gt;0,'Scénario référence'!$F$9&gt;0),('Scénario référence'!$F$8+'Scénario référence'!$F$9)*10,0)</f>
        <v>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18.333333333333332</v>
      </c>
      <c r="H203" s="67">
        <f t="shared" si="192"/>
        <v>183.33333333333334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0</v>
      </c>
      <c r="O203" s="13">
        <f>N203*VLOOKUP('Données projet'!$B$9,Paramètres!$A$1:$I$89,3,0)*VLOOKUP('Données projet'!$B$9,Paramètres!$A$1:$I$89,5,0)</f>
        <v>0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112.82287576550925</v>
      </c>
      <c r="T203" s="59">
        <f t="shared" si="204"/>
        <v>317.78570695363294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1.7021163111022468</v>
      </c>
      <c r="AA203" s="21">
        <f>EXP(-LN(2)/25)*AA202+(1-EXP(-LN(2)/25))/(LN(2)/25)*Calculateur!V203*Calculateur!X203*VLOOKUP('Données projet'!$B$9,Paramètres!$A$1:$I$89,3,0)*0.475*44/12</f>
        <v>8.7298622115177263E-2</v>
      </c>
      <c r="AB203" s="21">
        <f>EXP(-LN(2)/2)*AB202+(1-EXP(-LN(2)/2))/(LN(2)/2)*V203*Y203*VLOOKUP('Données projet'!$B$9,Paramètres!$A$1:$I$89,3,0)*0.475*44/12</f>
        <v>1.4807885191587541E-26</v>
      </c>
      <c r="AC203" s="22">
        <f t="shared" si="163"/>
        <v>1.7894149332174241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0</v>
      </c>
      <c r="AJ203" s="13">
        <f>AI203*VLOOKUP('Données projet'!$B$10,Paramètres!$A$1:$I$89,3,0)*VLOOKUP('Données projet'!$B$10,Paramètres!$A$1:$I$89,5,0)</f>
        <v>0</v>
      </c>
      <c r="AK203" s="13" t="e">
        <f t="shared" si="164"/>
        <v>#NUM!</v>
      </c>
      <c r="AL203" s="20" t="e">
        <f t="shared" si="165"/>
        <v>#NUM!</v>
      </c>
      <c r="AM203" s="59" t="e">
        <f t="shared" si="193"/>
        <v>#NUM!</v>
      </c>
      <c r="AN203" s="59">
        <f ca="1">AVERAGE(OFFSET($AM$3,0,0,'Données projet'!$E$10+1,1))-AVERAGE(OFFSET($H$3,0,0,'Données projet'!$E$10+1,1))</f>
        <v>112.82287576550925</v>
      </c>
      <c r="AO203" s="59">
        <f t="shared" si="205"/>
        <v>317.78570695363294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1.7021163111022468</v>
      </c>
      <c r="AV203" s="21">
        <f>EXP(-LN(2)/25)*AV202+(1-EXP(-LN(2)/25))/(LN(2)/25)*Calculateur!AQ203*Calculateur!AS203*VLOOKUP('Données projet'!$B$10,Paramètres!$A$1:$I$89,3,0)*0.475*44/12</f>
        <v>8.7298622115177263E-2</v>
      </c>
      <c r="AW203" s="21">
        <f>EXP(-LN(2)/2)*AW202+(1-EXP(-LN(2)/2))/(LN(2)/2)*AQ203*AT203*VLOOKUP('Données projet'!$B$10,Paramètres!$A$1:$I$89,3,0)*0.475*44/12</f>
        <v>1.4807885191587541E-26</v>
      </c>
      <c r="AX203" s="21">
        <f t="shared" si="166"/>
        <v>1.7894149332174241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0</v>
      </c>
      <c r="BE203" s="13">
        <f>BD203*VLOOKUP('Données projet'!$B$11,Paramètres!$A$1:$I$89,3,0)*VLOOKUP('Données projet'!$B$11,Paramètres!$A$1:$I$89,5,0)</f>
        <v>0</v>
      </c>
      <c r="BF203" s="13" t="e">
        <f t="shared" si="167"/>
        <v>#NUM!</v>
      </c>
      <c r="BG203" s="20" t="e">
        <f t="shared" si="168"/>
        <v>#NUM!</v>
      </c>
      <c r="BH203" s="59" t="e">
        <f t="shared" si="194"/>
        <v>#NUM!</v>
      </c>
      <c r="BI203" s="59">
        <f ca="1">AVERAGE(OFFSET($BH$3,0,0,'Données projet'!$E$11+1,1))-AVERAGE(OFFSET($H$3,0,0,'Données projet'!$E$11+1,1))</f>
        <v>112.82287576550925</v>
      </c>
      <c r="BJ203" s="59">
        <f t="shared" si="206"/>
        <v>317.78570695363294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1.7021163111022468</v>
      </c>
      <c r="BQ203" s="21">
        <f>EXP(-LN(2)/25)*BQ202+(1-EXP(-LN(2)/25))/(LN(2)/25)*Calculateur!BL203*Calculateur!BN203*VLOOKUP('Données projet'!$B$11,Paramètres!$A$1:$I$89,3,0)*0.475*44/12</f>
        <v>8.7298622115177263E-2</v>
      </c>
      <c r="BR203" s="21">
        <f>EXP(-LN(2)/2)*BR202+(1-EXP(-LN(2)/2))/(LN(2)/2)*BL203*BO203*VLOOKUP('Données projet'!$B$11,Paramètres!$A$1:$I$89,3,0)*0.475*44/12</f>
        <v>1.4807885191587541E-26</v>
      </c>
      <c r="BS203" s="22">
        <f t="shared" si="169"/>
        <v>1.7894149332174241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>
        <f>BY203*VLOOKUP('Données projet'!$B$12,Paramètres!$A$1:$I$89,3,0)*VLOOKUP('Données projet'!$B$12,Paramètres!$A$1:$I$89,5,0)</f>
        <v>0</v>
      </c>
      <c r="CA203" s="13" t="e">
        <f t="shared" si="170"/>
        <v>#NUM!</v>
      </c>
      <c r="CB203" s="20" t="e">
        <f t="shared" si="171"/>
        <v>#NUM!</v>
      </c>
      <c r="CC203" s="59" t="e">
        <f t="shared" si="195"/>
        <v>#NUM!</v>
      </c>
      <c r="CD203" s="59">
        <f ca="1">AVERAGE(OFFSET($CC$3,0,0,'Données projet'!$E$12+1,1))-AVERAGE(OFFSET($H$3,0,0,'Données projet'!$E$12+1,1))</f>
        <v>112.82287576550925</v>
      </c>
      <c r="CE203" s="59">
        <f t="shared" si="207"/>
        <v>317.78570695363294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>
        <f>EXP(-LN(2)/35)*CK202+(1-EXP(-LN(2)/35))/(LN(2)/35)*CG203*CH203*VLOOKUP('Données projet'!$B$12,Paramètres!$A$1:$I$89,3,0)*0.475*44/12</f>
        <v>1.7021163111022468</v>
      </c>
      <c r="CL203" s="21">
        <f>EXP(-LN(2)/25)*CL202+(1-EXP(-LN(2)/25))/(LN(2)/25)*Calculateur!CG203*Calculateur!CI203*VLOOKUP('Données projet'!$B$12,Paramètres!$A$1:$I$89,3,0)*0.475*44/12</f>
        <v>8.7298622115177263E-2</v>
      </c>
      <c r="CM203" s="21">
        <f>EXP(-LN(2)/2)*CM202+(1-EXP(-LN(2)/2))/(LN(2)/2)*CG203*CJ203*VLOOKUP('Données projet'!$B$12,Paramètres!$A$1:$I$89,3,0)*0.475*44/12</f>
        <v>1.4807885191587541E-26</v>
      </c>
      <c r="CN203" s="22">
        <f t="shared" si="172"/>
        <v>1.7894149332174241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4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5" thickBot="1" x14ac:dyDescent="0.4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0.42937043954955023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0.42937043954955023</v>
      </c>
      <c r="BA205" s="82">
        <f>EXP(LN('Données projet'!B88)/'Données projet'!A88)</f>
        <v>0.42937043954955023</v>
      </c>
      <c r="BV205" s="82">
        <f>EXP(LN('Données projet'!B114)/'Données projet'!A114)</f>
        <v>0.42937043954955023</v>
      </c>
      <c r="CQ205" s="82" t="e">
        <f>EXP(LN('Données projet'!B140)/'Données projet'!A140)</f>
        <v>#NUM!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53125" defaultRowHeight="14.5" x14ac:dyDescent="0.35"/>
  <cols>
    <col min="1" max="1" width="23.453125" style="4" bestFit="1" customWidth="1"/>
    <col min="2" max="2" width="27.7265625" style="4" bestFit="1" customWidth="1"/>
    <col min="3" max="3" width="11.81640625" style="4" bestFit="1" customWidth="1"/>
    <col min="4" max="4" width="40" style="4" bestFit="1" customWidth="1"/>
    <col min="5" max="5" width="11.81640625" style="4" bestFit="1" customWidth="1"/>
    <col min="6" max="6" width="13.7265625" style="4" bestFit="1" customWidth="1"/>
    <col min="7" max="7" width="11.453125" style="4" bestFit="1" customWidth="1"/>
    <col min="8" max="8" width="39" style="4" bestFit="1" customWidth="1"/>
    <col min="9" max="9" width="16.7265625" style="4" customWidth="1"/>
    <col min="10" max="14" width="11.453125" style="4"/>
    <col min="15" max="15" width="23.453125" style="4" bestFit="1" customWidth="1"/>
    <col min="16" max="16384" width="11.453125" style="4"/>
  </cols>
  <sheetData>
    <row r="1" spans="1:16" ht="44" thickBot="1" x14ac:dyDescent="0.4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35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1" t="s">
        <v>238</v>
      </c>
      <c r="P2" s="121">
        <v>0</v>
      </c>
    </row>
    <row r="3" spans="1:16" ht="15" thickBot="1" x14ac:dyDescent="0.4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2"/>
      <c r="P3" s="128">
        <v>0.2</v>
      </c>
    </row>
    <row r="4" spans="1:16" ht="15" thickBot="1" x14ac:dyDescent="0.4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35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1" t="s">
        <v>237</v>
      </c>
      <c r="P5" s="121">
        <v>0</v>
      </c>
    </row>
    <row r="6" spans="1:16" x14ac:dyDescent="0.35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3"/>
      <c r="P6" s="129">
        <v>0.05</v>
      </c>
    </row>
    <row r="7" spans="1:16" x14ac:dyDescent="0.35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3"/>
      <c r="P7" s="129">
        <v>0.1</v>
      </c>
    </row>
    <row r="8" spans="1:16" ht="15" thickBot="1" x14ac:dyDescent="0.4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2"/>
      <c r="P8" s="128">
        <v>0.15</v>
      </c>
    </row>
    <row r="9" spans="1:16" ht="15" thickBot="1" x14ac:dyDescent="0.4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35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1" t="s">
        <v>236</v>
      </c>
      <c r="P10" s="121">
        <v>0</v>
      </c>
    </row>
    <row r="11" spans="1:16" ht="15" thickBot="1" x14ac:dyDescent="0.4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2"/>
      <c r="P11" s="128">
        <v>0.1</v>
      </c>
    </row>
    <row r="12" spans="1:16" x14ac:dyDescent="0.35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35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35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35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35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35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35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35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35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35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35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35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35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35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35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35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35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35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35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35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35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35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35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35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35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35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35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35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35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35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35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35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35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35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35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35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35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35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35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35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35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35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35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35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35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35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35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35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35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35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35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35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35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35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35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35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35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35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35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35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35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35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35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35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35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35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35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35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35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35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35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35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35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35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35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35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35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5" thickBot="1" x14ac:dyDescent="0.4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35">
      <c r="A93" s="122" t="s">
        <v>208</v>
      </c>
    </row>
    <row r="94" spans="1:14" x14ac:dyDescent="0.35">
      <c r="A94" s="122" t="s">
        <v>209</v>
      </c>
    </row>
    <row r="95" spans="1:14" x14ac:dyDescent="0.35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zoomScale="90" zoomScaleNormal="90" workbookViewId="0">
      <selection activeCell="I8" sqref="I8"/>
    </sheetView>
  </sheetViews>
  <sheetFormatPr baseColWidth="10" defaultColWidth="11.453125" defaultRowHeight="14.5" x14ac:dyDescent="0.35"/>
  <cols>
    <col min="1" max="1" width="22.81640625" style="1" bestFit="1" customWidth="1"/>
    <col min="2" max="2" width="10.54296875" style="1" bestFit="1" customWidth="1"/>
    <col min="3" max="3" width="15.54296875" style="1" bestFit="1" customWidth="1"/>
    <col min="4" max="4" width="13.453125" style="1" bestFit="1" customWidth="1"/>
    <col min="5" max="8" width="11.453125" style="1"/>
    <col min="9" max="13" width="11.453125" style="62"/>
    <col min="14" max="15" width="11.453125" style="1"/>
    <col min="16" max="17" width="13.453125" style="1" customWidth="1"/>
    <col min="18" max="16384" width="11.453125" style="1"/>
  </cols>
  <sheetData>
    <row r="1" spans="1:62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5" thickBot="1" x14ac:dyDescent="0.65">
      <c r="A2" s="272" t="s">
        <v>271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4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4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58.5" thickBot="1" x14ac:dyDescent="0.4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5">
      <c r="A6" s="145" t="str">
        <f>IF('Données projet'!$B$9="","",'Données projet'!$B$9)</f>
        <v>Peuplier Koster</v>
      </c>
      <c r="B6" s="146">
        <f>'Données projet'!D9</f>
        <v>2.1124999999999998</v>
      </c>
      <c r="C6" s="147">
        <f ca="1">IF(OR('Données projet'!B9="",'Données projet'!C9="",'Données projet'!C9=0%),0,Calculateur!S3)</f>
        <v>112.82287576550925</v>
      </c>
      <c r="D6" s="147">
        <f>IF(OR('Données projet'!B9="",'Données projet'!C9="",'Données projet'!C9=0%),0,Calculateur!T3)</f>
        <v>317.78570695363294</v>
      </c>
      <c r="E6" s="147">
        <f ca="1">MIN(C6,D6)</f>
        <v>112.82287576550925</v>
      </c>
      <c r="F6" s="147">
        <f ca="1">E6*B6</f>
        <v>238.33832505463826</v>
      </c>
      <c r="G6" s="147">
        <f ca="1">F6*(100%-'Données projet'!$C$24)*(100%-'Données projet'!$C$25)*(100%-'Données projet'!$C$26)*(100%-'Données projet'!$C$27)</f>
        <v>182.32881866679827</v>
      </c>
      <c r="H6" s="148">
        <f>IF(OR('Données projet'!B9="",'Données projet'!C9="",'Données projet'!C9=0%),0,AVERAGE(Calculateur!$AC$3:$AC$33)*B6)</f>
        <v>53.488084865855996</v>
      </c>
      <c r="I6" s="149">
        <f>H6*(100%-'Données projet'!$C$24)*(100%-'Données projet'!$C$25)*(100%-'Données projet'!$C$26)*(100%-'Données projet'!$C$27)</f>
        <v>40.918384922379836</v>
      </c>
      <c r="J6" s="150">
        <f>IF(OR('Données projet'!B9="",'Données projet'!C9="",'Données projet'!C9=0%),0,SUM(Calculateur!$V$3:$V$33)*VLOOKUP('Données projet'!$B$9,Paramètres!$A$1:$I$89,9,0)*B6)</f>
        <v>554.164677083333</v>
      </c>
      <c r="K6" s="151">
        <f>J6*(100%-'Données projet'!$C$24)*(100%-'Données projet'!$C$25)*(100%-'Données projet'!$C$26)*(100%-'Données projet'!$C$27)</f>
        <v>423.93597796874974</v>
      </c>
      <c r="L6" s="152">
        <f ca="1">G6+I6+K6</f>
        <v>647.18318155792781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5">
      <c r="A7" s="153" t="str">
        <f>IF('Données projet'!$B$10="","",'Données projet'!$B$10)</f>
        <v>Peuplier Koster</v>
      </c>
      <c r="B7" s="154">
        <f>'Données projet'!D10</f>
        <v>2.1124999999999998</v>
      </c>
      <c r="C7" s="147">
        <f ca="1">IF(OR('Données projet'!B10="",'Données projet'!C10="",'Données projet'!C10=0%),0,Calculateur!AN3)</f>
        <v>112.82287576550925</v>
      </c>
      <c r="D7" s="147">
        <f>IF(OR('Données projet'!B10="",'Données projet'!C10="",'Données projet'!C10=0%),0,Calculateur!AO3)</f>
        <v>317.78570695363294</v>
      </c>
      <c r="E7" s="147">
        <f t="shared" ref="E7:E15" ca="1" si="0">MIN(C7,D7)</f>
        <v>112.82287576550925</v>
      </c>
      <c r="F7" s="147">
        <f t="shared" ref="F7:F15" ca="1" si="1">E7*B7</f>
        <v>238.33832505463826</v>
      </c>
      <c r="G7" s="147">
        <f ca="1">F7*(100%-'Données projet'!$C$24)*(100%-'Données projet'!$C$25)*(100%-'Données projet'!$C$26)*(100%-'Données projet'!$C$27)</f>
        <v>182.32881866679827</v>
      </c>
      <c r="H7" s="155">
        <f>IF(OR('Données projet'!B10="",'Données projet'!C10="",'Données projet'!C10=0%),0,AVERAGE(Calculateur!$AX$3:$AX$33)*B7)</f>
        <v>53.488084865855996</v>
      </c>
      <c r="I7" s="149">
        <f>H7*(100%-'Données projet'!$C$24)*(100%-'Données projet'!$C$25)*(100%-'Données projet'!$C$26)*(100%-'Données projet'!$C$27)</f>
        <v>40.918384922379836</v>
      </c>
      <c r="J7" s="150">
        <f>IF(OR('Données projet'!B10="",'Données projet'!C10="",'Données projet'!C10=0%),0,SUM(Calculateur!$AQ$3:$AQ$33)*VLOOKUP('Données projet'!$B$10,Paramètres!$A$1:$I$89,9,0)*B7)</f>
        <v>554.164677083333</v>
      </c>
      <c r="K7" s="151">
        <f>J7*(100%-'Données projet'!$C$24)*(100%-'Données projet'!$C$25)*(100%-'Données projet'!$C$26)*(100%-'Données projet'!$C$27)</f>
        <v>423.93597796874974</v>
      </c>
      <c r="L7" s="152">
        <f t="shared" ref="L7:L15" ca="1" si="2">G7+I7+K7</f>
        <v>647.18318155792781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5">
      <c r="A8" s="153" t="str">
        <f>IF('Données projet'!$B$11="","",'Données projet'!$B$11)</f>
        <v>Peuplier Koster</v>
      </c>
      <c r="B8" s="154">
        <f>'Données projet'!D11</f>
        <v>2.1124999999999998</v>
      </c>
      <c r="C8" s="147">
        <f ca="1">IF(OR('Données projet'!B11="",'Données projet'!C11="",'Données projet'!C11=0%),0,Calculateur!BI3)</f>
        <v>112.82287576550925</v>
      </c>
      <c r="D8" s="147">
        <f>IF(OR('Données projet'!B11="",'Données projet'!C11="",'Données projet'!C11=0%),0,Calculateur!BJ3)</f>
        <v>317.78570695363294</v>
      </c>
      <c r="E8" s="147">
        <f t="shared" ca="1" si="0"/>
        <v>112.82287576550925</v>
      </c>
      <c r="F8" s="147">
        <f t="shared" ca="1" si="1"/>
        <v>238.33832505463826</v>
      </c>
      <c r="G8" s="147">
        <f ca="1">F8*(100%-'Données projet'!$C$24)*(100%-'Données projet'!$C$25)*(100%-'Données projet'!$C$26)*(100%-'Données projet'!$C$27)</f>
        <v>182.32881866679827</v>
      </c>
      <c r="H8" s="155">
        <f>IF(OR('Données projet'!B11="",'Données projet'!C11="",'Données projet'!C11=0%),0,AVERAGE(Calculateur!$BS$3:$BS$33)*B8)</f>
        <v>53.488084865855996</v>
      </c>
      <c r="I8" s="149">
        <f>H8*(100%-'Données projet'!$C$24)*(100%-'Données projet'!$C$25)*(100%-'Données projet'!$C$26)*(100%-'Données projet'!$C$27)</f>
        <v>40.918384922379836</v>
      </c>
      <c r="J8" s="150">
        <f>IF(OR('Données projet'!B11="",'Données projet'!C11="",'Données projet'!C11=0%),0,SUM(Calculateur!$BL$3:$BL$33)*VLOOKUP('Données projet'!$B$11,Paramètres!$A$1:$I$89,9,0)*B8)</f>
        <v>554.164677083333</v>
      </c>
      <c r="K8" s="151">
        <f>J8*(100%-'Données projet'!$C$24)*(100%-'Données projet'!$C$25)*(100%-'Données projet'!$C$26)*(100%-'Données projet'!$C$27)</f>
        <v>423.93597796874974</v>
      </c>
      <c r="L8" s="152">
        <f t="shared" ca="1" si="2"/>
        <v>647.18318155792781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5">
      <c r="A9" s="153" t="str">
        <f>IF('Données projet'!$B$12="","",'Données projet'!$B$12)</f>
        <v>Peuplier Koster</v>
      </c>
      <c r="B9" s="154">
        <f>'Données projet'!D12</f>
        <v>2.1124999999999998</v>
      </c>
      <c r="C9" s="147">
        <f ca="1">IF(OR('Données projet'!B12="",'Données projet'!C12="",'Données projet'!C12=0%),0,Calculateur!CD3)</f>
        <v>112.82287576550925</v>
      </c>
      <c r="D9" s="147">
        <f>IF(OR('Données projet'!B12="",'Données projet'!C12="",'Données projet'!C12=0%),0,Calculateur!CE3)</f>
        <v>317.78570695363294</v>
      </c>
      <c r="E9" s="147">
        <f t="shared" ca="1" si="0"/>
        <v>112.82287576550925</v>
      </c>
      <c r="F9" s="147">
        <f t="shared" ca="1" si="1"/>
        <v>238.33832505463826</v>
      </c>
      <c r="G9" s="147">
        <f ca="1">F9*(100%-'Données projet'!$C$24)*(100%-'Données projet'!$C$25)*(100%-'Données projet'!$C$26)*(100%-'Données projet'!$C$27)</f>
        <v>182.32881866679827</v>
      </c>
      <c r="H9" s="155">
        <f>IF(OR('Données projet'!B12="",'Données projet'!C12="",'Données projet'!C12=0%),0,AVERAGE(Calculateur!$CN$3:$CN$33)*B9)</f>
        <v>53.488084865855996</v>
      </c>
      <c r="I9" s="149">
        <f>H9*(100%-'Données projet'!$C$24)*(100%-'Données projet'!$C$25)*(100%-'Données projet'!$C$26)*(100%-'Données projet'!$C$27)</f>
        <v>40.918384922379836</v>
      </c>
      <c r="J9" s="150">
        <f>IF(OR('Données projet'!B12="",'Données projet'!C12="",'Données projet'!C12=0%),0,SUM(Calculateur!$CG$3:$CG$33)*VLOOKUP('Données projet'!$B$12,Paramètres!$A$1:$I$89,9,0)*B9)</f>
        <v>554.164677083333</v>
      </c>
      <c r="K9" s="151">
        <f>J9*(100%-'Données projet'!$C$24)*(100%-'Données projet'!$C$25)*(100%-'Données projet'!$C$26)*(100%-'Données projet'!$C$27)</f>
        <v>423.93597796874974</v>
      </c>
      <c r="L9" s="152">
        <f t="shared" ca="1" si="2"/>
        <v>647.18318155792781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5">
      <c r="A10" s="153" t="str">
        <f>IF('Données projet'!$B$13="","",'Données projet'!$B$13)</f>
        <v/>
      </c>
      <c r="B10" s="154">
        <f>'Données projet'!D13</f>
        <v>0</v>
      </c>
      <c r="C10" s="147">
        <f>IF(OR('Données projet'!B13="",'Données projet'!C13="",'Données projet'!C13=0%),0,Calculateur!CY3)</f>
        <v>0</v>
      </c>
      <c r="D10" s="147">
        <f>IF(OR('Données projet'!B13="",'Données projet'!C13="",'Données projet'!C13=0%),0,Calculateur!CZ3)</f>
        <v>0</v>
      </c>
      <c r="E10" s="147">
        <f t="shared" si="0"/>
        <v>0</v>
      </c>
      <c r="F10" s="147">
        <f t="shared" si="1"/>
        <v>0</v>
      </c>
      <c r="G10" s="147">
        <f>F10*(100%-'Données projet'!$C$24)*(100%-'Données projet'!$C$25)*(100%-'Données projet'!$C$26)*(100%-'Données projet'!$C$27)</f>
        <v>0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5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5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5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5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4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4">
      <c r="A16" s="209"/>
      <c r="B16" s="213"/>
      <c r="C16" s="214"/>
      <c r="D16" s="23"/>
      <c r="E16" s="23"/>
      <c r="F16" s="165">
        <f t="shared" ref="F16:L16" ca="1" si="3">SUM(F6:F15)</f>
        <v>953.35330021855304</v>
      </c>
      <c r="G16" s="166">
        <f t="shared" ca="1" si="3"/>
        <v>729.31527466719308</v>
      </c>
      <c r="H16" s="167">
        <f t="shared" si="3"/>
        <v>213.95233946342398</v>
      </c>
      <c r="I16" s="167">
        <f t="shared" si="3"/>
        <v>163.67353968951934</v>
      </c>
      <c r="J16" s="168">
        <f t="shared" si="3"/>
        <v>2216.658708333332</v>
      </c>
      <c r="K16" s="168">
        <f t="shared" si="3"/>
        <v>1695.743911874999</v>
      </c>
      <c r="L16" s="169">
        <f t="shared" ca="1" si="3"/>
        <v>2588.7327262317112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5">
      <c r="A17" s="209"/>
      <c r="B17" s="213"/>
      <c r="C17" s="214"/>
      <c r="D17" s="23"/>
      <c r="E17" s="23"/>
      <c r="F17" s="284" t="s">
        <v>246</v>
      </c>
      <c r="G17" s="285"/>
      <c r="H17" s="285"/>
      <c r="I17" s="285"/>
      <c r="J17" s="285"/>
      <c r="K17" s="285"/>
      <c r="L17" s="285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5">
      <c r="A18" s="209"/>
      <c r="B18" s="213"/>
      <c r="C18" s="214"/>
      <c r="D18" s="23"/>
      <c r="E18" s="23"/>
      <c r="F18" s="271"/>
      <c r="G18" s="271"/>
      <c r="H18" s="271"/>
      <c r="I18" s="271"/>
      <c r="J18" s="271"/>
      <c r="K18" s="271"/>
      <c r="L18" s="271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4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4">
      <c r="A21" s="170" t="str">
        <f>A6</f>
        <v>Peuplier Koster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5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5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5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5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5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5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5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5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5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5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5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5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5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5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5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5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4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4">
      <c r="A39" s="170" t="str">
        <f>A7</f>
        <v>Peuplier Koster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5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5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5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5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5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5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5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5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5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5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5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5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5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5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5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5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4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4">
      <c r="A57" s="170" t="str">
        <f>A8</f>
        <v>Peuplier Koster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5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5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5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5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5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5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5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5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5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5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5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5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5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5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5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5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5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4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4">
      <c r="A76" s="170" t="str">
        <f>A9</f>
        <v>Peuplier Koster</v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5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5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5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5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5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5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5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5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5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5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5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5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5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5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5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5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4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4">
      <c r="A94" s="170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5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5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5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5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5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5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5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5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5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5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5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5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5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5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5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5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4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4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5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5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5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5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5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5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5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5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5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5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5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5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5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5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5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5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4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4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5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5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5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5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5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5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5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5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5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5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5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5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5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5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5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5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4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4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5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5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5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5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5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5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5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5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5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5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5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5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5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5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5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5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4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4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5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5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5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5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5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5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5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5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5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5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5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5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5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5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5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5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4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4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5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5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5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5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5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5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5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5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5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5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5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5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5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5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5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5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5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5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5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abSelected="1" topLeftCell="I15" zoomScale="80" zoomScaleNormal="80" workbookViewId="0">
      <selection activeCell="L26" sqref="L26:P27"/>
    </sheetView>
  </sheetViews>
  <sheetFormatPr baseColWidth="10" defaultColWidth="11.453125" defaultRowHeight="14.5" x14ac:dyDescent="0.35"/>
  <cols>
    <col min="1" max="1" width="11.453125" style="1"/>
    <col min="2" max="2" width="30.81640625" style="1" bestFit="1" customWidth="1"/>
    <col min="3" max="3" width="18.1796875" style="1" bestFit="1" customWidth="1"/>
    <col min="4" max="5" width="11.453125" style="1"/>
    <col min="6" max="6" width="14" style="1" customWidth="1"/>
    <col min="7" max="7" width="17.54296875" style="1" customWidth="1"/>
    <col min="8" max="8" width="21.7265625" style="1" customWidth="1"/>
    <col min="9" max="9" width="37" style="1" customWidth="1"/>
    <col min="10" max="10" width="11.453125" style="1"/>
    <col min="11" max="11" width="8.81640625" style="1" customWidth="1"/>
    <col min="12" max="12" width="11.453125" style="1"/>
    <col min="13" max="13" width="21" style="1" customWidth="1"/>
    <col min="14" max="16" width="11.453125" style="1"/>
    <col min="17" max="17" width="8" style="1" customWidth="1"/>
    <col min="18" max="18" width="11.453125" style="1"/>
    <col min="19" max="19" width="31" style="1" customWidth="1"/>
    <col min="20" max="20" width="18.1796875" style="1" customWidth="1"/>
    <col min="21" max="21" width="16.453125" style="1" customWidth="1"/>
    <col min="22" max="22" width="17.81640625" style="1" customWidth="1"/>
    <col min="23" max="16384" width="11.453125" style="1"/>
  </cols>
  <sheetData>
    <row r="1" spans="1:42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5" thickBot="1" x14ac:dyDescent="0.65">
      <c r="A2" s="4"/>
      <c r="B2" s="272" t="s">
        <v>272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5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5">
      <c r="A4" s="4"/>
      <c r="B4" s="4"/>
      <c r="C4" s="4"/>
      <c r="D4" s="4"/>
      <c r="E4" s="4"/>
      <c r="G4" s="4"/>
      <c r="H4" s="258" t="s">
        <v>315</v>
      </c>
      <c r="I4" s="258"/>
      <c r="K4" s="300" t="s">
        <v>253</v>
      </c>
      <c r="L4" s="301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5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4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65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292" t="s">
        <v>310</v>
      </c>
      <c r="S7" s="293"/>
      <c r="T7" s="293"/>
      <c r="U7" s="293"/>
      <c r="V7" s="29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5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5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5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Peuplier Koster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5714.2570405224378</v>
      </c>
      <c r="U10" s="178">
        <f>'Données projet'!D9</f>
        <v>2.1124999999999998</v>
      </c>
      <c r="V10" s="177">
        <f>U10*T10</f>
        <v>12071.367998103649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5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Peuplier Koster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5714.2570405224378</v>
      </c>
      <c r="U11" s="178">
        <f>'Données projet'!D10</f>
        <v>2.1124999999999998</v>
      </c>
      <c r="V11" s="177">
        <f t="shared" ref="V11" si="0">U11*T11</f>
        <v>12071.367998103649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5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>Peuplier Koster</v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5714.2570405224378</v>
      </c>
      <c r="U12" s="178">
        <f>'Données projet'!D11</f>
        <v>2.1124999999999998</v>
      </c>
      <c r="V12" s="177">
        <f t="shared" ref="V12:V19" si="1">U12*T12</f>
        <v>12071.367998103649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5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>Peuplier Koster</v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5714.2570405224378</v>
      </c>
      <c r="U13" s="178">
        <f>'Données projet'!D12</f>
        <v>2.1124999999999998</v>
      </c>
      <c r="V13" s="177">
        <f t="shared" si="1"/>
        <v>12071.367998103649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5">
      <c r="A14" s="46" t="s">
        <v>165</v>
      </c>
      <c r="B14" s="174" t="str">
        <f>IF('Données projet'!$B$9="","",'Données projet'!$B$9)</f>
        <v>Peuplier Koster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/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8">
        <f>'Données projet'!D13</f>
        <v>0</v>
      </c>
      <c r="V14" s="177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5">
      <c r="A15" s="4"/>
      <c r="B15" s="4"/>
      <c r="C15" s="4"/>
      <c r="D15" s="4"/>
      <c r="E15" s="4"/>
      <c r="F15" s="230"/>
      <c r="G15" s="303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/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5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303"/>
      <c r="H16" s="190"/>
      <c r="I16" s="191"/>
      <c r="J16" s="202"/>
      <c r="K16" s="208"/>
      <c r="L16" s="300" t="s">
        <v>254</v>
      </c>
      <c r="M16" s="301"/>
      <c r="N16" s="2"/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5">
      <c r="A17" s="49">
        <v>0</v>
      </c>
      <c r="B17" s="199" t="s">
        <v>132</v>
      </c>
      <c r="C17" s="198" t="s">
        <v>132</v>
      </c>
      <c r="D17" s="197" t="s">
        <v>132</v>
      </c>
      <c r="E17" s="193"/>
      <c r="F17" s="230"/>
      <c r="G17" s="303"/>
      <c r="J17" s="202"/>
      <c r="K17" s="208"/>
      <c r="L17" s="260" t="s">
        <v>289</v>
      </c>
      <c r="M17" s="262"/>
      <c r="N17" s="175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5">
      <c r="A18" s="49">
        <v>1</v>
      </c>
      <c r="B18" s="199" t="s">
        <v>132</v>
      </c>
      <c r="C18" s="198" t="s">
        <v>132</v>
      </c>
      <c r="D18" s="197" t="s">
        <v>132</v>
      </c>
      <c r="E18" s="193"/>
      <c r="F18" s="230"/>
      <c r="G18" s="303"/>
      <c r="J18" s="202"/>
      <c r="K18" s="208"/>
      <c r="L18" s="260" t="s">
        <v>255</v>
      </c>
      <c r="M18" s="262"/>
      <c r="N18" s="192"/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5">
      <c r="A19" s="49">
        <v>2</v>
      </c>
      <c r="B19" s="199" t="s">
        <v>132</v>
      </c>
      <c r="C19" s="198" t="s">
        <v>132</v>
      </c>
      <c r="D19" s="197" t="s">
        <v>132</v>
      </c>
      <c r="E19" s="193"/>
      <c r="F19" s="230"/>
      <c r="G19" s="303"/>
      <c r="H19" s="212" t="s">
        <v>178</v>
      </c>
      <c r="I19" s="212" t="s">
        <v>287</v>
      </c>
      <c r="J19" s="93"/>
      <c r="K19" s="173"/>
      <c r="L19" s="300" t="s">
        <v>288</v>
      </c>
      <c r="M19" s="301"/>
      <c r="N19" s="179">
        <f>N17*N18</f>
        <v>0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5">
      <c r="A20" s="49">
        <v>3</v>
      </c>
      <c r="B20" s="199" t="s">
        <v>132</v>
      </c>
      <c r="C20" s="198" t="s">
        <v>132</v>
      </c>
      <c r="D20" s="197" t="s">
        <v>132</v>
      </c>
      <c r="E20" s="193"/>
      <c r="F20" s="230"/>
      <c r="G20" s="303"/>
      <c r="H20" s="190">
        <v>1</v>
      </c>
      <c r="I20" s="191">
        <v>3877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5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/>
      <c r="I21" s="191"/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5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/>
      <c r="I22" s="191"/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5">
      <c r="A23" s="180">
        <f>'Données projet'!A36</f>
        <v>2</v>
      </c>
      <c r="B23" s="181">
        <f>'Données projet'!D36</f>
        <v>0</v>
      </c>
      <c r="C23" s="193"/>
      <c r="D23" s="182">
        <f>B23*C23</f>
        <v>0</v>
      </c>
      <c r="E23" s="193"/>
      <c r="F23" s="230"/>
      <c r="H23" s="190"/>
      <c r="I23" s="191"/>
      <c r="K23" s="208"/>
      <c r="L23" s="302" t="s">
        <v>260</v>
      </c>
      <c r="M23" s="302"/>
      <c r="N23" s="302"/>
      <c r="O23" s="23"/>
      <c r="P23" s="23"/>
      <c r="Q23" s="234"/>
      <c r="R23" s="23"/>
      <c r="S23" s="36" t="s">
        <v>264</v>
      </c>
      <c r="T23" s="297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16935.567686194503</v>
      </c>
      <c r="U23" s="297"/>
      <c r="V23" s="297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5">
      <c r="A24" s="180">
        <f>'Données projet'!A37</f>
        <v>3</v>
      </c>
      <c r="B24" s="181">
        <f>'Données projet'!D37</f>
        <v>0</v>
      </c>
      <c r="C24" s="193"/>
      <c r="D24" s="182">
        <f t="shared" ref="D24:D42" si="2">B24*C24</f>
        <v>0</v>
      </c>
      <c r="E24" s="193"/>
      <c r="F24" s="233"/>
      <c r="H24" s="190"/>
      <c r="I24" s="191"/>
      <c r="K24" s="208"/>
      <c r="O24" s="23"/>
      <c r="P24" s="23"/>
      <c r="Q24" s="234"/>
      <c r="R24" s="23"/>
      <c r="S24" s="36" t="s">
        <v>261</v>
      </c>
      <c r="T24" s="298">
        <f ca="1">'Scénario référence'!$B$8*$M$30*'Données projet'!$C$5+('Scénario référence'!B9+'Scénario référence'!B10+'Scénario référence'!F8+'Scénario référence'!F9)*$N$19/(1+M4)^N16*'Données projet'!$C$5</f>
        <v>118367.06301478387</v>
      </c>
      <c r="U24" s="298"/>
      <c r="V24" s="298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5">
      <c r="A25" s="180">
        <f>'Données projet'!A38</f>
        <v>4</v>
      </c>
      <c r="B25" s="181">
        <f>'Données projet'!D38</f>
        <v>0</v>
      </c>
      <c r="C25" s="193"/>
      <c r="D25" s="182">
        <f t="shared" si="2"/>
        <v>0</v>
      </c>
      <c r="E25" s="193"/>
      <c r="F25" s="233"/>
      <c r="H25" s="190"/>
      <c r="I25" s="191"/>
      <c r="K25" s="208"/>
      <c r="L25" s="130" t="s">
        <v>285</v>
      </c>
      <c r="M25" s="130"/>
      <c r="N25" s="130"/>
      <c r="O25" s="130"/>
      <c r="P25" s="192">
        <v>1000</v>
      </c>
      <c r="Q25" s="234"/>
      <c r="R25" s="23"/>
      <c r="S25" s="186" t="s">
        <v>266</v>
      </c>
      <c r="T25" s="299">
        <f ca="1">T23-T24</f>
        <v>-101431.49532858937</v>
      </c>
      <c r="U25" s="299"/>
      <c r="V25" s="299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5">
      <c r="A26" s="180">
        <f>'Données projet'!A39</f>
        <v>5</v>
      </c>
      <c r="B26" s="181">
        <f>'Données projet'!D39</f>
        <v>0</v>
      </c>
      <c r="C26" s="193"/>
      <c r="D26" s="182">
        <f t="shared" si="2"/>
        <v>0</v>
      </c>
      <c r="E26" s="193"/>
      <c r="F26" s="233"/>
      <c r="G26" s="229"/>
      <c r="H26" s="190"/>
      <c r="I26" s="191"/>
      <c r="K26" s="208"/>
      <c r="L26" s="286" t="s">
        <v>258</v>
      </c>
      <c r="M26" s="287"/>
      <c r="N26" s="287"/>
      <c r="O26" s="287"/>
      <c r="P26" s="288"/>
      <c r="Q26" s="234"/>
      <c r="R26" s="23"/>
      <c r="S26" s="186" t="s">
        <v>265</v>
      </c>
      <c r="T26" s="296" t="str">
        <f ca="1">IF(T25&lt;0,"Votre projet est additionnel","Votre projet n'est pas additionnel")</f>
        <v>Votre projet est additionnel</v>
      </c>
      <c r="U26" s="296"/>
      <c r="V26" s="296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5">
      <c r="A27" s="180">
        <f>'Données projet'!A40</f>
        <v>6</v>
      </c>
      <c r="B27" s="181">
        <f>'Données projet'!D40</f>
        <v>0</v>
      </c>
      <c r="C27" s="193"/>
      <c r="D27" s="182">
        <f t="shared" si="2"/>
        <v>0</v>
      </c>
      <c r="E27" s="193"/>
      <c r="F27" s="233"/>
      <c r="G27" s="229"/>
      <c r="H27" s="190"/>
      <c r="I27" s="191"/>
      <c r="K27" s="208"/>
      <c r="L27" s="289"/>
      <c r="M27" s="290"/>
      <c r="N27" s="290"/>
      <c r="O27" s="290"/>
      <c r="P27" s="291"/>
      <c r="Q27" s="234"/>
      <c r="R27" s="23"/>
      <c r="S27" s="295" t="s">
        <v>267</v>
      </c>
      <c r="T27" s="295"/>
      <c r="U27" s="295"/>
      <c r="V27" s="295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5">
      <c r="A28" s="180">
        <f>'Données projet'!A41</f>
        <v>7</v>
      </c>
      <c r="B28" s="181">
        <f>'Données projet'!D41</f>
        <v>0</v>
      </c>
      <c r="C28" s="193"/>
      <c r="D28" s="182">
        <f t="shared" si="2"/>
        <v>0</v>
      </c>
      <c r="E28" s="193"/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5">
      <c r="A29" s="180">
        <f>'Données projet'!A42</f>
        <v>8</v>
      </c>
      <c r="B29" s="181">
        <f>'Données projet'!D42</f>
        <v>0</v>
      </c>
      <c r="C29" s="193"/>
      <c r="D29" s="182">
        <f t="shared" si="2"/>
        <v>0</v>
      </c>
      <c r="E29" s="193"/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5">
      <c r="A30" s="180">
        <f>'Données projet'!A43</f>
        <v>9</v>
      </c>
      <c r="B30" s="181">
        <f>'Données projet'!D43</f>
        <v>0</v>
      </c>
      <c r="C30" s="193"/>
      <c r="D30" s="182">
        <f t="shared" si="2"/>
        <v>0</v>
      </c>
      <c r="E30" s="193"/>
      <c r="F30" s="233"/>
      <c r="G30" s="203"/>
      <c r="H30" s="190"/>
      <c r="I30" s="191"/>
      <c r="K30" s="183"/>
      <c r="L30" s="36" t="s">
        <v>259</v>
      </c>
      <c r="M30" s="184">
        <f ca="1">SUM(OFFSET($P$33,0,0,MIN('Données projet'!$E$9:$E$18)+1,1))</f>
        <v>14007.936451453714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5">
      <c r="A31" s="180">
        <f>'Données projet'!A44</f>
        <v>10</v>
      </c>
      <c r="B31" s="181">
        <f>'Données projet'!D44</f>
        <v>0</v>
      </c>
      <c r="C31" s="193"/>
      <c r="D31" s="182">
        <f t="shared" si="2"/>
        <v>0</v>
      </c>
      <c r="E31" s="193"/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5">
      <c r="A32" s="180">
        <f>'Données projet'!A45</f>
        <v>11</v>
      </c>
      <c r="B32" s="181">
        <f>'Données projet'!D45</f>
        <v>0</v>
      </c>
      <c r="C32" s="193"/>
      <c r="D32" s="182">
        <f t="shared" si="2"/>
        <v>0</v>
      </c>
      <c r="E32" s="193"/>
      <c r="F32" s="233"/>
      <c r="G32" s="203"/>
      <c r="H32" s="190"/>
      <c r="I32" s="191"/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5">
      <c r="A33" s="180">
        <f>'Données projet'!A46</f>
        <v>12</v>
      </c>
      <c r="B33" s="181">
        <f>'Données projet'!D46</f>
        <v>0</v>
      </c>
      <c r="C33" s="193"/>
      <c r="D33" s="182">
        <f t="shared" si="2"/>
        <v>0</v>
      </c>
      <c r="E33" s="193"/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1000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5">
      <c r="A34" s="180">
        <f>'Données projet'!A47</f>
        <v>13</v>
      </c>
      <c r="B34" s="181">
        <f>'Données projet'!D47</f>
        <v>0</v>
      </c>
      <c r="C34" s="193"/>
      <c r="D34" s="182">
        <f t="shared" si="2"/>
        <v>0</v>
      </c>
      <c r="E34" s="193"/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956.93779904306223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5">
      <c r="A35" s="180">
        <f>'Données projet'!A48</f>
        <v>14</v>
      </c>
      <c r="B35" s="181">
        <f>'Données projet'!D48</f>
        <v>0</v>
      </c>
      <c r="C35" s="193"/>
      <c r="D35" s="182">
        <f t="shared" si="2"/>
        <v>0</v>
      </c>
      <c r="E35" s="193"/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915.72995123738031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5">
      <c r="A36" s="180">
        <f>'Données projet'!A49</f>
        <v>15</v>
      </c>
      <c r="B36" s="181">
        <f>'Données projet'!D49</f>
        <v>0</v>
      </c>
      <c r="C36" s="193"/>
      <c r="D36" s="182">
        <f t="shared" si="2"/>
        <v>0</v>
      </c>
      <c r="E36" s="193"/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876.29660405490938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5">
      <c r="A37" s="180">
        <f>'Données projet'!A50</f>
        <v>16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838.56134359321493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5">
      <c r="A38" s="180">
        <f>'Données projet'!A51</f>
        <v>17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802.45104650068413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5">
      <c r="A39" s="180">
        <f>'Données projet'!A52</f>
        <v>18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767.89573827816685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5">
      <c r="A40" s="180">
        <f>'Données projet'!A53</f>
        <v>19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734.82845768245625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5">
      <c r="A41" s="180">
        <f>'Données projet'!A54</f>
        <v>20</v>
      </c>
      <c r="B41" s="181">
        <f>'Données projet'!D54</f>
        <v>254.68589743589729</v>
      </c>
      <c r="C41" s="193">
        <v>60</v>
      </c>
      <c r="D41" s="182">
        <f t="shared" si="2"/>
        <v>15281.153846153837</v>
      </c>
      <c r="E41" s="193">
        <v>1500</v>
      </c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703.18512696885784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5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672.90442772139511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5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643.92768203004323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5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616.19873878473038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5">
      <c r="A45" s="46" t="s">
        <v>166</v>
      </c>
      <c r="B45" s="174" t="str">
        <f>IF('Données projet'!$B$10="","",'Données projet'!$B$10)</f>
        <v>Peuplier Koster</v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589.66386486577085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5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564.27164101987637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5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539.97286221997751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5">
      <c r="A48" s="49">
        <v>0</v>
      </c>
      <c r="B48" s="199" t="s">
        <v>132</v>
      </c>
      <c r="C48" s="198" t="s">
        <v>132</v>
      </c>
      <c r="D48" s="197" t="s">
        <v>132</v>
      </c>
      <c r="E48" s="193"/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516.72044231576797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35">
      <c r="A49" s="49">
        <v>1</v>
      </c>
      <c r="B49" s="199" t="s">
        <v>132</v>
      </c>
      <c r="C49" s="198" t="s">
        <v>132</v>
      </c>
      <c r="D49" s="197" t="s">
        <v>132</v>
      </c>
      <c r="E49" s="193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494.46932279020876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35">
      <c r="A50" s="49">
        <v>2</v>
      </c>
      <c r="B50" s="199" t="s">
        <v>132</v>
      </c>
      <c r="C50" s="198" t="s">
        <v>132</v>
      </c>
      <c r="D50" s="197" t="s">
        <v>132</v>
      </c>
      <c r="E50" s="193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473.17638544517581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5">
      <c r="A51" s="49">
        <v>3</v>
      </c>
      <c r="B51" s="199" t="s">
        <v>132</v>
      </c>
      <c r="C51" s="198" t="s">
        <v>132</v>
      </c>
      <c r="D51" s="197" t="s">
        <v>132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452.80036884705828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5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433.30178837039074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5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414.64285968458455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5">
      <c r="A54" s="180">
        <f>'Données projet'!A62</f>
        <v>2</v>
      </c>
      <c r="B54" s="181">
        <f>'Données projet'!D62</f>
        <v>0</v>
      </c>
      <c r="C54" s="191"/>
      <c r="D54" s="179">
        <f>B54*C54</f>
        <v>0</v>
      </c>
      <c r="E54" s="193"/>
      <c r="F54" s="232"/>
      <c r="G54" s="205"/>
      <c r="H54" s="190"/>
      <c r="I54" s="191"/>
      <c r="J54" s="23"/>
      <c r="K54" s="173"/>
      <c r="L54" s="4"/>
      <c r="M54" s="4"/>
      <c r="N54" s="4"/>
      <c r="O54" s="194" t="str">
        <f>IF(O53+1&lt;=MIN('Données projet'!$E$9:$E$18),O53+1,"STOP")</f>
        <v>STOP</v>
      </c>
      <c r="P54" s="185" t="e">
        <f t="shared" si="3"/>
        <v>#VALUE!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5">
      <c r="A55" s="180">
        <f>'Données projet'!A63</f>
        <v>3</v>
      </c>
      <c r="B55" s="181">
        <f>'Données projet'!D63</f>
        <v>0</v>
      </c>
      <c r="C55" s="191"/>
      <c r="D55" s="179">
        <f t="shared" ref="D55:D73" si="4">B55*C55</f>
        <v>0</v>
      </c>
      <c r="E55" s="193"/>
      <c r="F55" s="232"/>
      <c r="G55" s="205"/>
      <c r="H55" s="190"/>
      <c r="I55" s="191"/>
      <c r="J55" s="23"/>
      <c r="K55" s="173"/>
      <c r="L55" s="4"/>
      <c r="M55" s="4"/>
      <c r="N55" s="4"/>
      <c r="O55" s="194" t="e">
        <f>IF(O54+1&lt;=MIN('Données projet'!$E$9:$E$18),O54+1,"STOP")</f>
        <v>#VALUE!</v>
      </c>
      <c r="P55" s="185" t="e">
        <f t="shared" si="3"/>
        <v>#VALUE!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5">
      <c r="A56" s="180">
        <f>'Données projet'!A64</f>
        <v>4</v>
      </c>
      <c r="B56" s="181">
        <f>'Données projet'!D64</f>
        <v>0</v>
      </c>
      <c r="C56" s="191"/>
      <c r="D56" s="179">
        <f t="shared" si="4"/>
        <v>0</v>
      </c>
      <c r="E56" s="193"/>
      <c r="F56" s="232"/>
      <c r="G56" s="205"/>
      <c r="H56" s="190"/>
      <c r="I56" s="191"/>
      <c r="J56" s="23"/>
      <c r="K56" s="173"/>
      <c r="L56" s="4"/>
      <c r="M56" s="4"/>
      <c r="N56" s="4"/>
      <c r="O56" s="194" t="e">
        <f>IF(O55+1&lt;=MIN('Données projet'!$E$9:$E$18),O55+1,"STOP")</f>
        <v>#VALUE!</v>
      </c>
      <c r="P56" s="185" t="e">
        <f t="shared" si="3"/>
        <v>#VALUE!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5">
      <c r="A57" s="180">
        <f>'Données projet'!A65</f>
        <v>5</v>
      </c>
      <c r="B57" s="181">
        <f>'Données projet'!D65</f>
        <v>0</v>
      </c>
      <c r="C57" s="191"/>
      <c r="D57" s="179">
        <f t="shared" si="4"/>
        <v>0</v>
      </c>
      <c r="E57" s="193"/>
      <c r="F57" s="232"/>
      <c r="G57" s="205"/>
      <c r="H57" s="190"/>
      <c r="I57" s="191"/>
      <c r="J57" s="23"/>
      <c r="K57" s="173"/>
      <c r="L57" s="4"/>
      <c r="M57" s="4"/>
      <c r="N57" s="4"/>
      <c r="O57" s="194" t="e">
        <f>IF(O56+1&lt;=MIN('Données projet'!$E$9:$E$18),O56+1,"STOP")</f>
        <v>#VALUE!</v>
      </c>
      <c r="P57" s="185" t="e">
        <f t="shared" si="3"/>
        <v>#VALUE!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5">
      <c r="A58" s="180">
        <f>'Données projet'!A66</f>
        <v>6</v>
      </c>
      <c r="B58" s="181">
        <f>'Données projet'!D66</f>
        <v>0</v>
      </c>
      <c r="C58" s="191"/>
      <c r="D58" s="179">
        <f t="shared" si="4"/>
        <v>0</v>
      </c>
      <c r="E58" s="193"/>
      <c r="F58" s="232"/>
      <c r="G58" s="205"/>
      <c r="H58" s="190"/>
      <c r="I58" s="191"/>
      <c r="J58" s="23"/>
      <c r="K58" s="173"/>
      <c r="L58" s="4"/>
      <c r="M58" s="4"/>
      <c r="N58" s="4"/>
      <c r="O58" s="194" t="e">
        <f>IF(O57+1&lt;=MIN('Données projet'!$E$9:$E$18),O57+1,"STOP")</f>
        <v>#VALUE!</v>
      </c>
      <c r="P58" s="185" t="e">
        <f t="shared" si="3"/>
        <v>#VALUE!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5">
      <c r="A59" s="180">
        <f>'Données projet'!A67</f>
        <v>7</v>
      </c>
      <c r="B59" s="181">
        <f>'Données projet'!D67</f>
        <v>0</v>
      </c>
      <c r="C59" s="191"/>
      <c r="D59" s="179">
        <f t="shared" si="4"/>
        <v>0</v>
      </c>
      <c r="E59" s="193"/>
      <c r="F59" s="232"/>
      <c r="G59" s="205"/>
      <c r="H59" s="190"/>
      <c r="I59" s="191"/>
      <c r="J59" s="23"/>
      <c r="K59" s="173"/>
      <c r="L59" s="4"/>
      <c r="M59" s="4"/>
      <c r="N59" s="4"/>
      <c r="O59" s="194" t="e">
        <f>IF(O58+1&lt;=MIN('Données projet'!$E$9:$E$18),O58+1,"STOP")</f>
        <v>#VALUE!</v>
      </c>
      <c r="P59" s="185" t="e">
        <f t="shared" si="3"/>
        <v>#VALUE!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5">
      <c r="A60" s="180">
        <f>'Données projet'!A68</f>
        <v>8</v>
      </c>
      <c r="B60" s="181">
        <f>'Données projet'!D68</f>
        <v>0</v>
      </c>
      <c r="C60" s="191"/>
      <c r="D60" s="179">
        <f t="shared" si="4"/>
        <v>0</v>
      </c>
      <c r="E60" s="193"/>
      <c r="F60" s="232"/>
      <c r="G60" s="206"/>
      <c r="H60" s="190"/>
      <c r="I60" s="191"/>
      <c r="J60" s="23"/>
      <c r="K60" s="173"/>
      <c r="L60" s="4"/>
      <c r="M60" s="4"/>
      <c r="N60" s="4"/>
      <c r="O60" s="194" t="e">
        <f>IF(O59+1&lt;=MIN('Données projet'!$E$9:$E$18),O59+1,"STOP")</f>
        <v>#VALUE!</v>
      </c>
      <c r="P60" s="185" t="e">
        <f t="shared" si="3"/>
        <v>#VALUE!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5">
      <c r="A61" s="180">
        <f>'Données projet'!A69</f>
        <v>9</v>
      </c>
      <c r="B61" s="181">
        <f>'Données projet'!D69</f>
        <v>0</v>
      </c>
      <c r="C61" s="191"/>
      <c r="D61" s="179">
        <f t="shared" si="4"/>
        <v>0</v>
      </c>
      <c r="E61" s="193"/>
      <c r="F61" s="232"/>
      <c r="G61" s="206"/>
      <c r="H61" s="190"/>
      <c r="I61" s="191"/>
      <c r="J61" s="23"/>
      <c r="K61" s="173"/>
      <c r="L61" s="4"/>
      <c r="M61" s="4"/>
      <c r="N61" s="4"/>
      <c r="O61" s="194" t="e">
        <f>IF(O60+1&lt;=MIN('Données projet'!$E$9:$E$18),O60+1,"STOP")</f>
        <v>#VALUE!</v>
      </c>
      <c r="P61" s="185" t="e">
        <f t="shared" si="3"/>
        <v>#VALUE!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5">
      <c r="A62" s="180">
        <f>'Données projet'!A70</f>
        <v>10</v>
      </c>
      <c r="B62" s="181">
        <f>'Données projet'!D70</f>
        <v>0</v>
      </c>
      <c r="C62" s="191"/>
      <c r="D62" s="179">
        <f t="shared" si="4"/>
        <v>0</v>
      </c>
      <c r="E62" s="193"/>
      <c r="F62" s="232"/>
      <c r="G62" s="206"/>
      <c r="H62" s="190"/>
      <c r="I62" s="191"/>
      <c r="J62" s="23"/>
      <c r="K62" s="173"/>
      <c r="L62" s="4"/>
      <c r="M62" s="4"/>
      <c r="N62" s="4"/>
      <c r="O62" s="194" t="e">
        <f>IF(O61+1&lt;=MIN('Données projet'!$E$9:$E$18),O61+1,"STOP")</f>
        <v>#VALUE!</v>
      </c>
      <c r="P62" s="185" t="e">
        <f t="shared" si="3"/>
        <v>#VALUE!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5">
      <c r="A63" s="180">
        <f>'Données projet'!A71</f>
        <v>11</v>
      </c>
      <c r="B63" s="181">
        <f>'Données projet'!D71</f>
        <v>0</v>
      </c>
      <c r="C63" s="191"/>
      <c r="D63" s="179">
        <f t="shared" si="4"/>
        <v>0</v>
      </c>
      <c r="E63" s="193"/>
      <c r="F63" s="232"/>
      <c r="G63" s="206"/>
      <c r="H63" s="190"/>
      <c r="I63" s="191"/>
      <c r="J63" s="23"/>
      <c r="K63" s="173"/>
      <c r="L63" s="4"/>
      <c r="M63" s="4"/>
      <c r="N63" s="4"/>
      <c r="O63" s="194" t="e">
        <f>IF(O62+1&lt;=MIN('Données projet'!$E$9:$E$18),O62+1,"STOP")</f>
        <v>#VALUE!</v>
      </c>
      <c r="P63" s="185" t="e">
        <f t="shared" si="3"/>
        <v>#VALUE!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5">
      <c r="A64" s="180">
        <f>'Données projet'!A72</f>
        <v>12</v>
      </c>
      <c r="B64" s="181">
        <f>'Données projet'!D72</f>
        <v>0</v>
      </c>
      <c r="C64" s="191"/>
      <c r="D64" s="179">
        <f t="shared" si="4"/>
        <v>0</v>
      </c>
      <c r="E64" s="193"/>
      <c r="F64" s="232"/>
      <c r="G64" s="206"/>
      <c r="H64" s="190"/>
      <c r="I64" s="191"/>
      <c r="J64" s="207"/>
      <c r="K64" s="173"/>
      <c r="L64" s="4"/>
      <c r="M64" s="4"/>
      <c r="N64" s="4"/>
      <c r="O64" s="194" t="e">
        <f>IF(O63+1&lt;=MIN('Données projet'!$E$9:$E$18),O63+1,"STOP")</f>
        <v>#VALUE!</v>
      </c>
      <c r="P64" s="185" t="e">
        <f t="shared" si="3"/>
        <v>#VALUE!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5">
      <c r="A65" s="180">
        <f>'Données projet'!A73</f>
        <v>13</v>
      </c>
      <c r="B65" s="181">
        <f>'Données projet'!D73</f>
        <v>0</v>
      </c>
      <c r="C65" s="191"/>
      <c r="D65" s="179">
        <f t="shared" si="4"/>
        <v>0</v>
      </c>
      <c r="E65" s="193"/>
      <c r="F65" s="232"/>
      <c r="G65" s="206"/>
      <c r="H65" s="190"/>
      <c r="I65" s="191"/>
      <c r="J65" s="189"/>
      <c r="K65" s="173"/>
      <c r="L65" s="4"/>
      <c r="M65" s="4"/>
      <c r="N65" s="4"/>
      <c r="O65" s="194" t="e">
        <f>IF(O64+1&lt;=MIN('Données projet'!$E$9:$E$18),O64+1,"STOP")</f>
        <v>#VALUE!</v>
      </c>
      <c r="P65" s="185" t="e">
        <f t="shared" ref="P65:P96" si="5">$P$25/(1+$M$4)^O65</f>
        <v>#VALUE!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5">
      <c r="A66" s="180">
        <f>'Données projet'!A74</f>
        <v>14</v>
      </c>
      <c r="B66" s="181">
        <f>'Données projet'!D74</f>
        <v>0</v>
      </c>
      <c r="C66" s="191"/>
      <c r="D66" s="179">
        <f t="shared" si="4"/>
        <v>0</v>
      </c>
      <c r="E66" s="193"/>
      <c r="F66" s="232"/>
      <c r="G66" s="206"/>
      <c r="H66" s="190"/>
      <c r="I66" s="191"/>
      <c r="J66" s="189"/>
      <c r="K66" s="173"/>
      <c r="L66" s="4"/>
      <c r="M66" s="4"/>
      <c r="N66" s="4"/>
      <c r="O66" s="194" t="e">
        <f>IF(O65+1&lt;=MIN('Données projet'!$E$9:$E$18),O65+1,"STOP")</f>
        <v>#VALUE!</v>
      </c>
      <c r="P66" s="185" t="e">
        <f t="shared" si="5"/>
        <v>#VALUE!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5">
      <c r="A67" s="180">
        <f>'Données projet'!A75</f>
        <v>15</v>
      </c>
      <c r="B67" s="181">
        <f>'Données projet'!D75</f>
        <v>0</v>
      </c>
      <c r="C67" s="191"/>
      <c r="D67" s="179">
        <f t="shared" si="4"/>
        <v>0</v>
      </c>
      <c r="E67" s="193"/>
      <c r="F67" s="232"/>
      <c r="G67" s="206"/>
      <c r="H67" s="190"/>
      <c r="I67" s="191"/>
      <c r="J67" s="189"/>
      <c r="K67" s="173"/>
      <c r="L67" s="4"/>
      <c r="M67" s="4"/>
      <c r="N67" s="4"/>
      <c r="O67" s="194" t="e">
        <f>IF(O66+1&lt;=MIN('Données projet'!$E$9:$E$18),O66+1,"STOP")</f>
        <v>#VALUE!</v>
      </c>
      <c r="P67" s="185" t="e">
        <f t="shared" si="5"/>
        <v>#VALUE!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5">
      <c r="A68" s="180">
        <f>'Données projet'!A76</f>
        <v>16</v>
      </c>
      <c r="B68" s="181">
        <f>'Données projet'!D76</f>
        <v>0</v>
      </c>
      <c r="C68" s="191"/>
      <c r="D68" s="179">
        <f t="shared" si="4"/>
        <v>0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 t="e">
        <f>IF(O67+1&lt;=MIN('Données projet'!$E$9:$E$18),O67+1,"STOP")</f>
        <v>#VALUE!</v>
      </c>
      <c r="P68" s="185" t="e">
        <f t="shared" si="5"/>
        <v>#VALUE!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5">
      <c r="A69" s="180">
        <f>'Données projet'!A77</f>
        <v>17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 t="e">
        <f>IF(O68+1&lt;=MIN('Données projet'!$E$9:$E$18),O68+1,"STOP")</f>
        <v>#VALUE!</v>
      </c>
      <c r="P69" s="185" t="e">
        <f t="shared" si="5"/>
        <v>#VALUE!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5">
      <c r="A70" s="180">
        <f>'Données projet'!A78</f>
        <v>18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 t="e">
        <f>IF(O69+1&lt;=MIN('Données projet'!$E$9:$E$18),O69+1,"STOP")</f>
        <v>#VALUE!</v>
      </c>
      <c r="P70" s="185" t="e">
        <f t="shared" si="5"/>
        <v>#VALUE!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5">
      <c r="A71" s="180">
        <f>'Données projet'!A79</f>
        <v>19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 t="e">
        <f>IF(O70+1&lt;=MIN('Données projet'!$E$9:$E$18),O70+1,"STOP")</f>
        <v>#VALUE!</v>
      </c>
      <c r="P71" s="185" t="e">
        <f t="shared" si="5"/>
        <v>#VALUE!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5">
      <c r="A72" s="180">
        <f>'Données projet'!A80</f>
        <v>20</v>
      </c>
      <c r="B72" s="181">
        <f>'Données projet'!D80</f>
        <v>254.68589743589729</v>
      </c>
      <c r="C72" s="191">
        <v>60</v>
      </c>
      <c r="D72" s="179">
        <f t="shared" si="4"/>
        <v>15281.153846153837</v>
      </c>
      <c r="E72" s="193">
        <v>1500</v>
      </c>
      <c r="F72" s="232"/>
      <c r="G72" s="206"/>
      <c r="H72" s="190"/>
      <c r="I72" s="191"/>
      <c r="J72" s="4"/>
      <c r="K72" s="173"/>
      <c r="L72" s="4"/>
      <c r="M72" s="4"/>
      <c r="N72" s="4"/>
      <c r="O72" s="194" t="e">
        <f>IF(O71+1&lt;=MIN('Données projet'!$E$9:$E$18),O71+1,"STOP")</f>
        <v>#VALUE!</v>
      </c>
      <c r="P72" s="185" t="e">
        <f t="shared" si="5"/>
        <v>#VALUE!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5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 t="e">
        <f>IF(O72+1&lt;=MIN('Données projet'!$E$9:$E$18),O72+1,"STOP")</f>
        <v>#VALUE!</v>
      </c>
      <c r="P73" s="185" t="e">
        <f t="shared" si="5"/>
        <v>#VALUE!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5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 t="e">
        <f>IF(O73+1&lt;=MIN('Données projet'!$E$9:$E$18),O73+1,"STOP")</f>
        <v>#VALUE!</v>
      </c>
      <c r="P74" s="185" t="e">
        <f t="shared" si="5"/>
        <v>#VALUE!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5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 t="e">
        <f>IF(O74+1&lt;=MIN('Données projet'!$E$9:$E$18),O74+1,"STOP")</f>
        <v>#VALUE!</v>
      </c>
      <c r="P75" s="185" t="e">
        <f t="shared" si="5"/>
        <v>#VALUE!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5">
      <c r="A76" s="46" t="s">
        <v>167</v>
      </c>
      <c r="B76" s="174" t="str">
        <f>IF('Données projet'!B11="","",'Données projet'!B11)</f>
        <v>Peuplier Koster</v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 t="e">
        <f>IF(O75+1&lt;=MIN('Données projet'!$E$9:$E$18),O75+1,"STOP")</f>
        <v>#VALUE!</v>
      </c>
      <c r="P76" s="185" t="e">
        <f t="shared" si="5"/>
        <v>#VALUE!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5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 t="e">
        <f>IF(O76+1&lt;=MIN('Données projet'!$E$9:$E$18),O76+1,"STOP")</f>
        <v>#VALUE!</v>
      </c>
      <c r="P77" s="185" t="e">
        <f t="shared" si="5"/>
        <v>#VALUE!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5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/>
      <c r="I78" s="191"/>
      <c r="J78" s="4"/>
      <c r="K78" s="173"/>
      <c r="L78" s="4"/>
      <c r="M78" s="4"/>
      <c r="N78" s="4"/>
      <c r="O78" s="194" t="e">
        <f>IF(O77+1&lt;=MIN('Données projet'!$E$9:$E$18),O77+1,"STOP")</f>
        <v>#VALUE!</v>
      </c>
      <c r="P78" s="185" t="e">
        <f t="shared" si="5"/>
        <v>#VALUE!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5">
      <c r="A79" s="49">
        <v>0</v>
      </c>
      <c r="B79" s="199" t="s">
        <v>132</v>
      </c>
      <c r="C79" s="198" t="s">
        <v>132</v>
      </c>
      <c r="D79" s="197" t="s">
        <v>132</v>
      </c>
      <c r="E79" s="193"/>
      <c r="F79" s="231"/>
      <c r="G79" s="206"/>
      <c r="H79" s="190"/>
      <c r="I79" s="191"/>
      <c r="J79" s="4"/>
      <c r="K79" s="173"/>
      <c r="L79" s="4"/>
      <c r="M79" s="4"/>
      <c r="N79" s="4"/>
      <c r="O79" s="194" t="e">
        <f>IF(O78+1&lt;=MIN('Données projet'!$E$9:$E$18),O78+1,"STOP")</f>
        <v>#VALUE!</v>
      </c>
      <c r="P79" s="185" t="e">
        <f t="shared" si="5"/>
        <v>#VALUE!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5">
      <c r="A80" s="49">
        <v>1</v>
      </c>
      <c r="B80" s="199" t="s">
        <v>132</v>
      </c>
      <c r="C80" s="198" t="s">
        <v>132</v>
      </c>
      <c r="D80" s="197" t="s">
        <v>132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 t="e">
        <f>IF(O79+1&lt;=MIN('Données projet'!$E$9:$E$18),O79+1,"STOP")</f>
        <v>#VALUE!</v>
      </c>
      <c r="P80" s="185" t="e">
        <f t="shared" si="5"/>
        <v>#VALUE!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5">
      <c r="A81" s="49">
        <v>2</v>
      </c>
      <c r="B81" s="199" t="s">
        <v>132</v>
      </c>
      <c r="C81" s="198" t="s">
        <v>132</v>
      </c>
      <c r="D81" s="197" t="s">
        <v>132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 t="e">
        <f>IF(O80+1&lt;=MIN('Données projet'!$E$9:$E$18),O80+1,"STOP")</f>
        <v>#VALUE!</v>
      </c>
      <c r="P81" s="185" t="e">
        <f t="shared" si="5"/>
        <v>#VALUE!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5">
      <c r="A82" s="49">
        <v>3</v>
      </c>
      <c r="B82" s="199" t="s">
        <v>132</v>
      </c>
      <c r="C82" s="198" t="s">
        <v>132</v>
      </c>
      <c r="D82" s="197" t="s">
        <v>132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 t="e">
        <f>IF(O81+1&lt;=MIN('Données projet'!$E$9:$E$18),O81+1,"STOP")</f>
        <v>#VALUE!</v>
      </c>
      <c r="P82" s="185" t="e">
        <f t="shared" si="5"/>
        <v>#VALUE!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5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 t="e">
        <f>IF(O82+1&lt;=MIN('Données projet'!$E$9:$E$18),O82+1,"STOP")</f>
        <v>#VALUE!</v>
      </c>
      <c r="P83" s="185" t="e">
        <f t="shared" si="5"/>
        <v>#VALUE!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5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 t="e">
        <f>IF(O83+1&lt;=MIN('Données projet'!$E$9:$E$18),O83+1,"STOP")</f>
        <v>#VALUE!</v>
      </c>
      <c r="P84" s="185" t="e">
        <f t="shared" si="5"/>
        <v>#VALUE!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5">
      <c r="A85" s="180">
        <f>'Données projet'!A88</f>
        <v>2</v>
      </c>
      <c r="B85" s="181">
        <f>'Données projet'!D88</f>
        <v>0</v>
      </c>
      <c r="C85" s="191"/>
      <c r="D85" s="179">
        <f>B85*C85</f>
        <v>0</v>
      </c>
      <c r="E85" s="193"/>
      <c r="F85" s="232"/>
      <c r="G85" s="205"/>
      <c r="H85" s="190"/>
      <c r="I85" s="191"/>
      <c r="J85" s="4"/>
      <c r="K85" s="173"/>
      <c r="L85" s="4"/>
      <c r="M85" s="4"/>
      <c r="N85" s="4"/>
      <c r="O85" s="194" t="e">
        <f>IF(O84+1&lt;=MIN('Données projet'!$E$9:$E$18),O84+1,"STOP")</f>
        <v>#VALUE!</v>
      </c>
      <c r="P85" s="185" t="e">
        <f t="shared" si="5"/>
        <v>#VALUE!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5">
      <c r="A86" s="180">
        <f>'Données projet'!A89</f>
        <v>3</v>
      </c>
      <c r="B86" s="181">
        <f>'Données projet'!D89</f>
        <v>0</v>
      </c>
      <c r="C86" s="191"/>
      <c r="D86" s="179">
        <f t="shared" ref="D86:D104" si="6">B86*C86</f>
        <v>0</v>
      </c>
      <c r="E86" s="193"/>
      <c r="F86" s="232"/>
      <c r="G86" s="205"/>
      <c r="H86" s="190"/>
      <c r="I86" s="191"/>
      <c r="J86" s="4"/>
      <c r="K86" s="173"/>
      <c r="L86" s="4"/>
      <c r="M86" s="4"/>
      <c r="N86" s="4"/>
      <c r="O86" s="194" t="e">
        <f>IF(O85+1&lt;=MIN('Données projet'!$E$9:$E$18),O85+1,"STOP")</f>
        <v>#VALUE!</v>
      </c>
      <c r="P86" s="185" t="e">
        <f t="shared" si="5"/>
        <v>#VALUE!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5">
      <c r="A87" s="180">
        <f>'Données projet'!A90</f>
        <v>4</v>
      </c>
      <c r="B87" s="181">
        <f>'Données projet'!D90</f>
        <v>0</v>
      </c>
      <c r="C87" s="191"/>
      <c r="D87" s="179">
        <f t="shared" si="6"/>
        <v>0</v>
      </c>
      <c r="E87" s="193"/>
      <c r="F87" s="232"/>
      <c r="G87" s="205"/>
      <c r="H87" s="190"/>
      <c r="I87" s="191"/>
      <c r="J87" s="4"/>
      <c r="K87" s="173"/>
      <c r="L87" s="4"/>
      <c r="M87" s="4"/>
      <c r="N87" s="4"/>
      <c r="O87" s="194" t="e">
        <f>IF(O86+1&lt;=MIN('Données projet'!$E$9:$E$18),O86+1,"STOP")</f>
        <v>#VALUE!</v>
      </c>
      <c r="P87" s="185" t="e">
        <f t="shared" si="5"/>
        <v>#VALUE!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5">
      <c r="A88" s="180">
        <f>'Données projet'!A91</f>
        <v>5</v>
      </c>
      <c r="B88" s="181">
        <f>'Données projet'!D91</f>
        <v>0</v>
      </c>
      <c r="C88" s="191"/>
      <c r="D88" s="179">
        <f t="shared" si="6"/>
        <v>0</v>
      </c>
      <c r="E88" s="193"/>
      <c r="F88" s="232"/>
      <c r="G88" s="205"/>
      <c r="H88" s="190"/>
      <c r="I88" s="191"/>
      <c r="J88" s="4"/>
      <c r="K88" s="173"/>
      <c r="L88" s="4"/>
      <c r="M88" s="4"/>
      <c r="N88" s="4"/>
      <c r="O88" s="194" t="e">
        <f>IF(O87+1&lt;=MIN('Données projet'!$E$9:$E$18),O87+1,"STOP")</f>
        <v>#VALUE!</v>
      </c>
      <c r="P88" s="185" t="e">
        <f t="shared" si="5"/>
        <v>#VALUE!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5">
      <c r="A89" s="180">
        <f>'Données projet'!A92</f>
        <v>6</v>
      </c>
      <c r="B89" s="181">
        <f>'Données projet'!D92</f>
        <v>0</v>
      </c>
      <c r="C89" s="191"/>
      <c r="D89" s="179">
        <f t="shared" si="6"/>
        <v>0</v>
      </c>
      <c r="E89" s="193"/>
      <c r="F89" s="232"/>
      <c r="G89" s="205"/>
      <c r="H89" s="190"/>
      <c r="I89" s="191"/>
      <c r="J89" s="4"/>
      <c r="K89" s="173"/>
      <c r="L89" s="4"/>
      <c r="M89" s="4"/>
      <c r="N89" s="4"/>
      <c r="O89" s="194" t="e">
        <f>IF(O88+1&lt;=MIN('Données projet'!$E$9:$E$18),O88+1,"STOP")</f>
        <v>#VALUE!</v>
      </c>
      <c r="P89" s="185" t="e">
        <f t="shared" si="5"/>
        <v>#VALUE!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5">
      <c r="A90" s="180">
        <f>'Données projet'!A93</f>
        <v>7</v>
      </c>
      <c r="B90" s="181">
        <f>'Données projet'!D93</f>
        <v>0</v>
      </c>
      <c r="C90" s="191"/>
      <c r="D90" s="179">
        <f t="shared" si="6"/>
        <v>0</v>
      </c>
      <c r="E90" s="193"/>
      <c r="F90" s="232"/>
      <c r="G90" s="205"/>
      <c r="H90" s="190"/>
      <c r="I90" s="191"/>
      <c r="J90" s="4"/>
      <c r="K90" s="173"/>
      <c r="L90" s="4"/>
      <c r="M90" s="4"/>
      <c r="N90" s="4"/>
      <c r="O90" s="194" t="e">
        <f>IF(O89+1&lt;=MIN('Données projet'!$E$9:$E$18),O89+1,"STOP")</f>
        <v>#VALUE!</v>
      </c>
      <c r="P90" s="185" t="e">
        <f t="shared" si="5"/>
        <v>#VALUE!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5">
      <c r="A91" s="180">
        <f>'Données projet'!A94</f>
        <v>8</v>
      </c>
      <c r="B91" s="181">
        <f>'Données projet'!D94</f>
        <v>0</v>
      </c>
      <c r="C91" s="191"/>
      <c r="D91" s="179">
        <f t="shared" si="6"/>
        <v>0</v>
      </c>
      <c r="E91" s="193"/>
      <c r="F91" s="232"/>
      <c r="G91" s="206"/>
      <c r="H91" s="190"/>
      <c r="I91" s="191"/>
      <c r="J91" s="4"/>
      <c r="K91" s="173"/>
      <c r="L91" s="4"/>
      <c r="M91" s="4"/>
      <c r="N91" s="4"/>
      <c r="O91" s="194" t="e">
        <f>IF(O90+1&lt;=MIN('Données projet'!$E$9:$E$18),O90+1,"STOP")</f>
        <v>#VALUE!</v>
      </c>
      <c r="P91" s="185" t="e">
        <f t="shared" si="5"/>
        <v>#VALUE!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5">
      <c r="A92" s="180">
        <f>'Données projet'!A95</f>
        <v>9</v>
      </c>
      <c r="B92" s="181">
        <f>'Données projet'!D95</f>
        <v>0</v>
      </c>
      <c r="C92" s="191"/>
      <c r="D92" s="179">
        <f t="shared" si="6"/>
        <v>0</v>
      </c>
      <c r="E92" s="193"/>
      <c r="F92" s="232"/>
      <c r="G92" s="206"/>
      <c r="H92" s="190"/>
      <c r="I92" s="191"/>
      <c r="J92" s="4"/>
      <c r="K92" s="173"/>
      <c r="L92" s="4"/>
      <c r="M92" s="4"/>
      <c r="N92" s="4"/>
      <c r="O92" s="194" t="e">
        <f>IF(O91+1&lt;=MIN('Données projet'!$E$9:$E$18),O91+1,"STOP")</f>
        <v>#VALUE!</v>
      </c>
      <c r="P92" s="185" t="e">
        <f t="shared" si="5"/>
        <v>#VALUE!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5">
      <c r="A93" s="180">
        <f>'Données projet'!A96</f>
        <v>10</v>
      </c>
      <c r="B93" s="181">
        <f>'Données projet'!D96</f>
        <v>0</v>
      </c>
      <c r="C93" s="191"/>
      <c r="D93" s="179">
        <f t="shared" si="6"/>
        <v>0</v>
      </c>
      <c r="E93" s="193"/>
      <c r="F93" s="232"/>
      <c r="G93" s="206"/>
      <c r="H93" s="190"/>
      <c r="I93" s="191"/>
      <c r="J93" s="4"/>
      <c r="K93" s="173"/>
      <c r="L93" s="4"/>
      <c r="M93" s="4"/>
      <c r="N93" s="4"/>
      <c r="O93" s="194" t="e">
        <f>IF(O92+1&lt;=MIN('Données projet'!$E$9:$E$18),O92+1,"STOP")</f>
        <v>#VALUE!</v>
      </c>
      <c r="P93" s="185" t="e">
        <f t="shared" si="5"/>
        <v>#VALUE!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5">
      <c r="A94" s="180">
        <f>'Données projet'!A97</f>
        <v>11</v>
      </c>
      <c r="B94" s="181">
        <f>'Données projet'!D97</f>
        <v>0</v>
      </c>
      <c r="C94" s="191"/>
      <c r="D94" s="179">
        <f t="shared" si="6"/>
        <v>0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 t="e">
        <f>IF(O93+1&lt;=MIN('Données projet'!$E$9:$E$18),O93+1,"STOP")</f>
        <v>#VALUE!</v>
      </c>
      <c r="P94" s="185" t="e">
        <f t="shared" si="5"/>
        <v>#VALUE!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5">
      <c r="A95" s="180">
        <f>'Données projet'!A98</f>
        <v>12</v>
      </c>
      <c r="B95" s="181">
        <f>'Données projet'!D98</f>
        <v>0</v>
      </c>
      <c r="C95" s="191"/>
      <c r="D95" s="179">
        <f t="shared" si="6"/>
        <v>0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 t="e">
        <f>IF(O94+1&lt;=MIN('Données projet'!$E$9:$E$18),O94+1,"STOP")</f>
        <v>#VALUE!</v>
      </c>
      <c r="P95" s="185" t="e">
        <f t="shared" si="5"/>
        <v>#VALUE!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5">
      <c r="A96" s="180">
        <f>'Données projet'!A99</f>
        <v>13</v>
      </c>
      <c r="B96" s="181">
        <f>'Données projet'!D99</f>
        <v>0</v>
      </c>
      <c r="C96" s="191"/>
      <c r="D96" s="179">
        <f t="shared" si="6"/>
        <v>0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 t="e">
        <f>IF(O95+1&lt;=MIN('Données projet'!$E$9:$E$18),O95+1,"STOP")</f>
        <v>#VALUE!</v>
      </c>
      <c r="P96" s="185" t="e">
        <f t="shared" si="5"/>
        <v>#VALUE!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5">
      <c r="A97" s="180">
        <f>'Données projet'!A100</f>
        <v>14</v>
      </c>
      <c r="B97" s="181">
        <f>'Données projet'!D100</f>
        <v>0</v>
      </c>
      <c r="C97" s="191"/>
      <c r="D97" s="179">
        <f t="shared" si="6"/>
        <v>0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7">$P$25/(1+$M$4)^O97</f>
        <v>#VALUE!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5">
      <c r="A98" s="180">
        <f>'Données projet'!A101</f>
        <v>15</v>
      </c>
      <c r="B98" s="181">
        <f>'Données projet'!D101</f>
        <v>0</v>
      </c>
      <c r="C98" s="191"/>
      <c r="D98" s="179">
        <f t="shared" si="6"/>
        <v>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7"/>
        <v>#VALUE!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5">
      <c r="A99" s="180">
        <f>'Données projet'!A102</f>
        <v>16</v>
      </c>
      <c r="B99" s="181">
        <f>'Données projet'!D102</f>
        <v>0</v>
      </c>
      <c r="C99" s="191"/>
      <c r="D99" s="179">
        <f t="shared" si="6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7"/>
        <v>#VALUE!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5">
      <c r="A100" s="180">
        <f>'Données projet'!A103</f>
        <v>17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7"/>
        <v>#VALUE!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5">
      <c r="A101" s="180">
        <f>'Données projet'!A104</f>
        <v>18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7"/>
        <v>#VALUE!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5">
      <c r="A102" s="180">
        <f>'Données projet'!A105</f>
        <v>19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7"/>
        <v>#VALUE!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5">
      <c r="A103" s="180">
        <f>'Données projet'!A106</f>
        <v>20</v>
      </c>
      <c r="B103" s="181">
        <f>'Données projet'!D106</f>
        <v>254.68589743589729</v>
      </c>
      <c r="C103" s="191">
        <v>60</v>
      </c>
      <c r="D103" s="179">
        <f t="shared" si="6"/>
        <v>15281.153846153837</v>
      </c>
      <c r="E103" s="193">
        <v>1500</v>
      </c>
      <c r="F103" s="232"/>
      <c r="G103" s="206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7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5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5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5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5">
      <c r="A107" s="46" t="s">
        <v>168</v>
      </c>
      <c r="B107" s="174" t="str">
        <f>IF('Données projet'!B12="","",'Données projet'!B12)</f>
        <v>Peuplier Koster</v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5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5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5">
      <c r="A110" s="49">
        <v>0</v>
      </c>
      <c r="B110" s="199" t="s">
        <v>132</v>
      </c>
      <c r="C110" s="198" t="s">
        <v>132</v>
      </c>
      <c r="D110" s="197" t="s">
        <v>132</v>
      </c>
      <c r="E110" s="193"/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5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5">
      <c r="A112" s="49">
        <v>2</v>
      </c>
      <c r="B112" s="199" t="s">
        <v>132</v>
      </c>
      <c r="C112" s="198" t="s">
        <v>132</v>
      </c>
      <c r="D112" s="197" t="s">
        <v>132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5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5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5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5">
      <c r="A116" s="180">
        <f>'Données projet'!A114</f>
        <v>2</v>
      </c>
      <c r="B116" s="181">
        <f>'Données projet'!D114</f>
        <v>0</v>
      </c>
      <c r="C116" s="191"/>
      <c r="D116" s="179">
        <f>B116*C116</f>
        <v>0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5">
      <c r="A117" s="180">
        <f>'Données projet'!A115</f>
        <v>3</v>
      </c>
      <c r="B117" s="181">
        <f>'Données projet'!D115</f>
        <v>0</v>
      </c>
      <c r="C117" s="191"/>
      <c r="D117" s="179">
        <f t="shared" ref="D117:D135" si="8">B117*C117</f>
        <v>0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5">
      <c r="A118" s="180">
        <f>'Données projet'!A116</f>
        <v>4</v>
      </c>
      <c r="B118" s="181">
        <f>'Données projet'!D116</f>
        <v>0</v>
      </c>
      <c r="C118" s="191"/>
      <c r="D118" s="179">
        <f t="shared" si="8"/>
        <v>0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5">
      <c r="A119" s="180">
        <f>'Données projet'!A117</f>
        <v>5</v>
      </c>
      <c r="B119" s="181">
        <f>'Données projet'!D117</f>
        <v>0</v>
      </c>
      <c r="C119" s="191"/>
      <c r="D119" s="179">
        <f t="shared" si="8"/>
        <v>0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5">
      <c r="A120" s="180">
        <f>'Données projet'!A118</f>
        <v>6</v>
      </c>
      <c r="B120" s="181">
        <f>'Données projet'!D118</f>
        <v>0</v>
      </c>
      <c r="C120" s="191"/>
      <c r="D120" s="179">
        <f t="shared" si="8"/>
        <v>0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5">
      <c r="A121" s="180">
        <f>'Données projet'!A119</f>
        <v>7</v>
      </c>
      <c r="B121" s="181">
        <f>'Données projet'!D119</f>
        <v>0</v>
      </c>
      <c r="C121" s="191"/>
      <c r="D121" s="179">
        <f t="shared" si="8"/>
        <v>0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5">
      <c r="A122" s="180">
        <f>'Données projet'!A120</f>
        <v>8</v>
      </c>
      <c r="B122" s="181">
        <f>'Données projet'!D120</f>
        <v>0</v>
      </c>
      <c r="C122" s="191"/>
      <c r="D122" s="179">
        <f t="shared" si="8"/>
        <v>0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5">
      <c r="A123" s="180">
        <f>'Données projet'!A121</f>
        <v>9</v>
      </c>
      <c r="B123" s="181">
        <f>'Données projet'!D121</f>
        <v>0</v>
      </c>
      <c r="C123" s="191"/>
      <c r="D123" s="179">
        <f t="shared" si="8"/>
        <v>0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5">
      <c r="A124" s="180">
        <f>'Données projet'!A122</f>
        <v>10</v>
      </c>
      <c r="B124" s="181">
        <f>'Données projet'!D122</f>
        <v>0</v>
      </c>
      <c r="C124" s="191"/>
      <c r="D124" s="179">
        <f t="shared" si="8"/>
        <v>0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5">
      <c r="A125" s="180">
        <f>'Données projet'!A123</f>
        <v>11</v>
      </c>
      <c r="B125" s="181">
        <f>'Données projet'!D123</f>
        <v>0</v>
      </c>
      <c r="C125" s="191"/>
      <c r="D125" s="179">
        <f t="shared" si="8"/>
        <v>0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5">
      <c r="A126" s="180">
        <f>'Données projet'!A124</f>
        <v>12</v>
      </c>
      <c r="B126" s="181">
        <f>'Données projet'!D124</f>
        <v>0</v>
      </c>
      <c r="C126" s="191"/>
      <c r="D126" s="179">
        <f t="shared" si="8"/>
        <v>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5">
      <c r="A127" s="180">
        <f>'Données projet'!A125</f>
        <v>13</v>
      </c>
      <c r="B127" s="181">
        <f>'Données projet'!D125</f>
        <v>0</v>
      </c>
      <c r="C127" s="191"/>
      <c r="D127" s="179">
        <f t="shared" si="8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5">
      <c r="A128" s="180">
        <f>'Données projet'!A126</f>
        <v>14</v>
      </c>
      <c r="B128" s="181">
        <f>'Données projet'!D126</f>
        <v>0</v>
      </c>
      <c r="C128" s="191"/>
      <c r="D128" s="179">
        <f t="shared" si="8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5">
      <c r="A129" s="180">
        <f>'Données projet'!A127</f>
        <v>15</v>
      </c>
      <c r="B129" s="181">
        <f>'Données projet'!D127</f>
        <v>0</v>
      </c>
      <c r="C129" s="191"/>
      <c r="D129" s="179">
        <f t="shared" si="8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5">
      <c r="A130" s="180">
        <f>'Données projet'!A128</f>
        <v>16</v>
      </c>
      <c r="B130" s="181">
        <f>'Données projet'!D128</f>
        <v>0</v>
      </c>
      <c r="C130" s="191"/>
      <c r="D130" s="179">
        <f t="shared" si="8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5">
      <c r="A131" s="180">
        <f>'Données projet'!A129</f>
        <v>17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5">
      <c r="A132" s="180">
        <f>'Données projet'!A130</f>
        <v>18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5">
      <c r="A133" s="180">
        <f>'Données projet'!A131</f>
        <v>19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5">
      <c r="A134" s="180">
        <f>'Données projet'!A132</f>
        <v>20</v>
      </c>
      <c r="B134" s="181">
        <f>'Données projet'!D132</f>
        <v>254.68589743589729</v>
      </c>
      <c r="C134" s="191">
        <v>60</v>
      </c>
      <c r="D134" s="179">
        <f t="shared" si="8"/>
        <v>15281.153846153837</v>
      </c>
      <c r="E134" s="193">
        <v>1500</v>
      </c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5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5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5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5">
      <c r="A138" s="46" t="s">
        <v>169</v>
      </c>
      <c r="B138" s="174" t="str">
        <f>IF('Données projet'!B13="","",'Données projet'!B13)</f>
        <v/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5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5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5">
      <c r="A141" s="49">
        <v>0</v>
      </c>
      <c r="B141" s="199" t="s">
        <v>132</v>
      </c>
      <c r="C141" s="198" t="s">
        <v>132</v>
      </c>
      <c r="D141" s="197" t="s">
        <v>132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5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5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5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5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5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5">
      <c r="A147" s="42">
        <f>'Données projet'!A140</f>
        <v>0</v>
      </c>
      <c r="B147" s="175">
        <f>'Données projet'!D140</f>
        <v>0</v>
      </c>
      <c r="C147" s="191"/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5">
      <c r="A148" s="42">
        <f>'Données projet'!A141</f>
        <v>0</v>
      </c>
      <c r="B148" s="175">
        <f>'Données projet'!D141</f>
        <v>0</v>
      </c>
      <c r="C148" s="191"/>
      <c r="D148" s="182">
        <f t="shared" ref="D148:D166" si="10">B148*C148</f>
        <v>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5">
      <c r="A149" s="42">
        <f>'Données projet'!A142</f>
        <v>0</v>
      </c>
      <c r="B149" s="175">
        <f>'Données projet'!D142</f>
        <v>0</v>
      </c>
      <c r="C149" s="191"/>
      <c r="D149" s="182">
        <f t="shared" si="10"/>
        <v>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5">
      <c r="A150" s="42">
        <f>'Données projet'!A143</f>
        <v>0</v>
      </c>
      <c r="B150" s="175">
        <f>'Données projet'!D143</f>
        <v>0</v>
      </c>
      <c r="C150" s="191"/>
      <c r="D150" s="182">
        <f t="shared" si="10"/>
        <v>0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5">
      <c r="A151" s="42">
        <f>'Données projet'!A144</f>
        <v>0</v>
      </c>
      <c r="B151" s="175">
        <f>'Données projet'!D144</f>
        <v>0</v>
      </c>
      <c r="C151" s="191"/>
      <c r="D151" s="182">
        <f t="shared" si="10"/>
        <v>0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5">
      <c r="A152" s="42">
        <f>'Données projet'!A145</f>
        <v>0</v>
      </c>
      <c r="B152" s="175">
        <f>'Données projet'!D145</f>
        <v>0</v>
      </c>
      <c r="C152" s="191"/>
      <c r="D152" s="182">
        <f t="shared" si="10"/>
        <v>0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5">
      <c r="A153" s="42">
        <f>'Données projet'!A146</f>
        <v>0</v>
      </c>
      <c r="B153" s="175">
        <f>'Données projet'!D146</f>
        <v>0</v>
      </c>
      <c r="C153" s="191"/>
      <c r="D153" s="182">
        <f t="shared" si="10"/>
        <v>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5">
      <c r="A154" s="42">
        <f>'Données projet'!A147</f>
        <v>0</v>
      </c>
      <c r="B154" s="175">
        <f>'Données projet'!D147</f>
        <v>0</v>
      </c>
      <c r="C154" s="191"/>
      <c r="D154" s="182">
        <f t="shared" si="10"/>
        <v>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5">
      <c r="A155" s="42">
        <f>'Données projet'!A148</f>
        <v>0</v>
      </c>
      <c r="B155" s="175">
        <f>'Données projet'!D148</f>
        <v>0</v>
      </c>
      <c r="C155" s="191"/>
      <c r="D155" s="182">
        <f t="shared" si="10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5">
      <c r="A156" s="42">
        <f>'Données projet'!A149</f>
        <v>0</v>
      </c>
      <c r="B156" s="175">
        <f>'Données projet'!D149</f>
        <v>0</v>
      </c>
      <c r="C156" s="191"/>
      <c r="D156" s="182">
        <f t="shared" si="10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5">
      <c r="A157" s="42">
        <f>'Données projet'!A150</f>
        <v>0</v>
      </c>
      <c r="B157" s="175">
        <f>'Données projet'!D150</f>
        <v>0</v>
      </c>
      <c r="C157" s="191"/>
      <c r="D157" s="182">
        <f t="shared" si="10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5">
      <c r="A158" s="42">
        <f>'Données projet'!A151</f>
        <v>0</v>
      </c>
      <c r="B158" s="175">
        <f>'Données projet'!D151</f>
        <v>0</v>
      </c>
      <c r="C158" s="191"/>
      <c r="D158" s="182">
        <f t="shared" si="10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5">
      <c r="A159" s="42">
        <f>'Données projet'!A152</f>
        <v>0</v>
      </c>
      <c r="B159" s="175">
        <f>'Données projet'!D152</f>
        <v>0</v>
      </c>
      <c r="C159" s="191"/>
      <c r="D159" s="182">
        <f t="shared" si="10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5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5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5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5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5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5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5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5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5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5">
      <c r="A169" s="46" t="s">
        <v>170</v>
      </c>
      <c r="B169" s="174" t="str">
        <f>IF('Données projet'!B14="","",'Données projet'!B14)</f>
        <v/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5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5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5">
      <c r="A172" s="49">
        <v>0</v>
      </c>
      <c r="B172" s="199" t="s">
        <v>132</v>
      </c>
      <c r="C172" s="198" t="s">
        <v>132</v>
      </c>
      <c r="D172" s="197" t="s">
        <v>132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5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5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5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5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5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5">
      <c r="A178" s="180">
        <f>'Données projet'!A166</f>
        <v>0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5">
      <c r="A179" s="180">
        <f>'Données projet'!A167</f>
        <v>0</v>
      </c>
      <c r="B179" s="181">
        <f>'Données projet'!D167</f>
        <v>0</v>
      </c>
      <c r="C179" s="193"/>
      <c r="D179" s="179">
        <f t="shared" ref="D179:D197" si="11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5">
      <c r="A180" s="180">
        <f>'Données projet'!A168</f>
        <v>0</v>
      </c>
      <c r="B180" s="181">
        <f>'Données projet'!D168</f>
        <v>0</v>
      </c>
      <c r="C180" s="193"/>
      <c r="D180" s="179">
        <f t="shared" si="11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5">
      <c r="A181" s="180">
        <f>'Données projet'!A169</f>
        <v>0</v>
      </c>
      <c r="B181" s="181">
        <f>'Données projet'!D169</f>
        <v>0</v>
      </c>
      <c r="C181" s="193"/>
      <c r="D181" s="179">
        <f t="shared" si="11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5">
      <c r="A182" s="180">
        <f>'Données projet'!A170</f>
        <v>0</v>
      </c>
      <c r="B182" s="181">
        <f>'Données projet'!D170</f>
        <v>0</v>
      </c>
      <c r="C182" s="193"/>
      <c r="D182" s="179">
        <f t="shared" si="11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5">
      <c r="A183" s="180">
        <f>'Données projet'!A171</f>
        <v>0</v>
      </c>
      <c r="B183" s="181">
        <f>'Données projet'!D171</f>
        <v>0</v>
      </c>
      <c r="C183" s="193"/>
      <c r="D183" s="179">
        <f t="shared" si="11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5">
      <c r="A184" s="180">
        <f>'Données projet'!A172</f>
        <v>0</v>
      </c>
      <c r="B184" s="181">
        <f>'Données projet'!D172</f>
        <v>0</v>
      </c>
      <c r="C184" s="193"/>
      <c r="D184" s="179">
        <f t="shared" si="11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5">
      <c r="A185" s="180">
        <f>'Données projet'!A173</f>
        <v>0</v>
      </c>
      <c r="B185" s="181">
        <f>'Données projet'!D173</f>
        <v>0</v>
      </c>
      <c r="C185" s="193"/>
      <c r="D185" s="179">
        <f t="shared" si="11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5">
      <c r="A186" s="180">
        <f>'Données projet'!A174</f>
        <v>0</v>
      </c>
      <c r="B186" s="181">
        <f>'Données projet'!D174</f>
        <v>0</v>
      </c>
      <c r="C186" s="193"/>
      <c r="D186" s="179">
        <f t="shared" si="11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5">
      <c r="A187" s="180">
        <f>'Données projet'!A175</f>
        <v>0</v>
      </c>
      <c r="B187" s="181">
        <f>'Données projet'!D175</f>
        <v>0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5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5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5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5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5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5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5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5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5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5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5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5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5">
      <c r="A200" s="46" t="s">
        <v>171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5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5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5">
      <c r="A203" s="49">
        <v>0</v>
      </c>
      <c r="B203" s="199" t="s">
        <v>132</v>
      </c>
      <c r="C203" s="198" t="s">
        <v>132</v>
      </c>
      <c r="D203" s="197" t="s">
        <v>132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5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5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5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5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5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5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5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2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5">
      <c r="A211" s="180">
        <f>'Données projet'!A194</f>
        <v>0</v>
      </c>
      <c r="B211" s="181">
        <f>'Données projet'!D194</f>
        <v>0</v>
      </c>
      <c r="C211" s="193"/>
      <c r="D211" s="179">
        <f t="shared" si="12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5">
      <c r="A212" s="180">
        <f>'Données projet'!A195</f>
        <v>0</v>
      </c>
      <c r="B212" s="181">
        <f>'Données projet'!D195</f>
        <v>0</v>
      </c>
      <c r="C212" s="193"/>
      <c r="D212" s="179">
        <f t="shared" si="12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5">
      <c r="A213" s="180">
        <f>'Données projet'!A196</f>
        <v>0</v>
      </c>
      <c r="B213" s="181">
        <f>'Données projet'!D196</f>
        <v>0</v>
      </c>
      <c r="C213" s="193"/>
      <c r="D213" s="179">
        <f t="shared" si="12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5">
      <c r="A214" s="180">
        <f>'Données projet'!A197</f>
        <v>0</v>
      </c>
      <c r="B214" s="181">
        <f>'Données projet'!D197</f>
        <v>0</v>
      </c>
      <c r="C214" s="193"/>
      <c r="D214" s="179">
        <f t="shared" si="12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5">
      <c r="A215" s="180">
        <f>'Données projet'!A198</f>
        <v>0</v>
      </c>
      <c r="B215" s="181">
        <f>'Données projet'!D198</f>
        <v>0</v>
      </c>
      <c r="C215" s="193"/>
      <c r="D215" s="179">
        <f t="shared" si="12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5">
      <c r="A216" s="180">
        <f>'Données projet'!A199</f>
        <v>0</v>
      </c>
      <c r="B216" s="181">
        <f>'Données projet'!D199</f>
        <v>0</v>
      </c>
      <c r="C216" s="193"/>
      <c r="D216" s="179">
        <f t="shared" si="12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5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5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5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5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5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5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5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5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5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5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5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5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5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5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5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5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5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5">
      <c r="A234" s="49">
        <v>0</v>
      </c>
      <c r="B234" s="199" t="s">
        <v>132</v>
      </c>
      <c r="C234" s="198" t="s">
        <v>132</v>
      </c>
      <c r="D234" s="197" t="s">
        <v>132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5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5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5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5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5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5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5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5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5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5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5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5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5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5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5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5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5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5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5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5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5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5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5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5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5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5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5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5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5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5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5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5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5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5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5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5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5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5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5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5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5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5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5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5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5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5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5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5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5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5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5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5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5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5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5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5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5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5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5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5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5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5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5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5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5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5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5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5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5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5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5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5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5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5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5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5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5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5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5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5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5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5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5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5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5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5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5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5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5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5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5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5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5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5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5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5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5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5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5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5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5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5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5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5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5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5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5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5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5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5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5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5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5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5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5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5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5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5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5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5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5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5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5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5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5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5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5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5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5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5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5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5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5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5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5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5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5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5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5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5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5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5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5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5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5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5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5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5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5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5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5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5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5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5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5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5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5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5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5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5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5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5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5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5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5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5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5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5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5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5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5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5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5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5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5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5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5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5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5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5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5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5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5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5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5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5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5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5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5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5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5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5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5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5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5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5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5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5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5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5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5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5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5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5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5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5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5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5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5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5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5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5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5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5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5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5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5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5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5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5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5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5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5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5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5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5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5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5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5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5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5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5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5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5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5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5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5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5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5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5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5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5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5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5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5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5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5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5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5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5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5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5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5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5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5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5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5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5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5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5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5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5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5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5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5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5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5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5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5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5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5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5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Alexia LINK</cp:lastModifiedBy>
  <dcterms:created xsi:type="dcterms:W3CDTF">2021-02-01T08:22:39Z</dcterms:created>
  <dcterms:modified xsi:type="dcterms:W3CDTF">2024-12-26T14:05:22Z</dcterms:modified>
</cp:coreProperties>
</file>