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casFontaine\Downloads\"/>
    </mc:Choice>
  </mc:AlternateContent>
  <xr:revisionPtr revIDLastSave="0" documentId="8_{EA3F5E4A-90A8-4806-B18B-8ED6F0A7D8FB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4" i="6" l="1"/>
  <c r="E112" i="6"/>
  <c r="E111" i="6"/>
  <c r="E110" i="6"/>
  <c r="E48" i="6"/>
  <c r="E52" i="6"/>
  <c r="E50" i="6"/>
  <c r="E49" i="6"/>
  <c r="E21" i="6"/>
  <c r="E19" i="6"/>
  <c r="E18" i="6"/>
  <c r="E17" i="6"/>
  <c r="E83" i="6"/>
  <c r="E81" i="6"/>
  <c r="E80" i="6"/>
  <c r="E79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32" i="2" a="1"/>
  <c r="BC32" i="2" s="1"/>
  <c r="BC31" i="2" a="1"/>
  <c r="BC31" i="2" s="1"/>
  <c r="BC7" i="2" a="1"/>
  <c r="BC7" i="2" s="1"/>
  <c r="BC151" i="2" a="1"/>
  <c r="BC151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65" i="2" l="1" a="1"/>
  <c r="BC65" i="2" s="1"/>
  <c r="BC114" i="2" a="1"/>
  <c r="BC114" i="2" s="1"/>
  <c r="BC84" i="2" a="1"/>
  <c r="BC84" i="2" s="1"/>
  <c r="BC164" i="2" a="1"/>
  <c r="BC164" i="2" s="1"/>
  <c r="BC126" i="2" a="1"/>
  <c r="BC126" i="2" s="1"/>
  <c r="BC82" i="2" a="1"/>
  <c r="BC82" i="2" s="1"/>
  <c r="BC55" i="2" a="1"/>
  <c r="BC55" i="2" s="1"/>
  <c r="BC192" i="2" a="1"/>
  <c r="BC192" i="2" s="1"/>
  <c r="BC130" i="2" a="1"/>
  <c r="BC130" i="2" s="1"/>
  <c r="BC47" i="2" a="1"/>
  <c r="BC47" i="2" s="1"/>
  <c r="BC18" i="2" a="1"/>
  <c r="BC18" i="2" s="1"/>
  <c r="BC68" i="2" a="1"/>
  <c r="BC68" i="2" s="1"/>
  <c r="BC38" i="2" a="1"/>
  <c r="BC38" i="2" s="1"/>
  <c r="BC83" i="2" a="1"/>
  <c r="BC83" i="2" s="1"/>
  <c r="BC58" i="2" a="1"/>
  <c r="BC58" i="2" s="1"/>
  <c r="BC34" i="2" a="1"/>
  <c r="BC34" i="2" s="1"/>
  <c r="BC185" i="2" a="1"/>
  <c r="BC185" i="2" s="1"/>
  <c r="BC143" i="2" a="1"/>
  <c r="BC143" i="2" s="1"/>
  <c r="AH90" i="2" a="1"/>
  <c r="AH90" i="2" s="1"/>
  <c r="AH151" i="2" a="1"/>
  <c r="AH151" i="2" s="1"/>
  <c r="FY126" i="2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I148" i="2" l="1"/>
  <c r="BI174" i="2"/>
  <c r="BI53" i="2"/>
  <c r="BI3" i="2"/>
  <c r="C8" i="4" s="1"/>
  <c r="E8" i="4" s="1"/>
  <c r="F8" i="4" s="1"/>
  <c r="G8" i="4" s="1"/>
  <c r="L8" i="4" s="1"/>
  <c r="BI33" i="2"/>
  <c r="BI84" i="2"/>
  <c r="BI125" i="2"/>
  <c r="BI147" i="2"/>
  <c r="BI18" i="2"/>
  <c r="BI47" i="2"/>
  <c r="BI88" i="2"/>
  <c r="BI65" i="2"/>
  <c r="BI107" i="2"/>
  <c r="BI19" i="2"/>
  <c r="BI12" i="2"/>
  <c r="BI39" i="2"/>
  <c r="BI44" i="2"/>
  <c r="BI111" i="2"/>
  <c r="BI58" i="2"/>
  <c r="BI72" i="2"/>
  <c r="BI177" i="2"/>
  <c r="BI166" i="2"/>
  <c r="BI6" i="2"/>
  <c r="BI151" i="2"/>
  <c r="BI167" i="2"/>
  <c r="BI164" i="2"/>
  <c r="BI102" i="2"/>
  <c r="BI193" i="2"/>
  <c r="BI89" i="2"/>
  <c r="BI97" i="2"/>
  <c r="BI25" i="2"/>
  <c r="BI46" i="2"/>
  <c r="BI120" i="2"/>
  <c r="BI129" i="2"/>
  <c r="BI61" i="2"/>
  <c r="BI144" i="2"/>
  <c r="BI36" i="2"/>
  <c r="BI136" i="2"/>
  <c r="BI115" i="2"/>
  <c r="BI141" i="2"/>
  <c r="BI59" i="2"/>
  <c r="BI42" i="2"/>
  <c r="BI145" i="2"/>
  <c r="BI22" i="2"/>
  <c r="BI168" i="2"/>
  <c r="BI62" i="2"/>
  <c r="BI113" i="2"/>
  <c r="BI119" i="2"/>
  <c r="BI99" i="2"/>
  <c r="BI43" i="2"/>
  <c r="BI21" i="2"/>
  <c r="BI34" i="2"/>
  <c r="BI182" i="2"/>
  <c r="BI149" i="2"/>
  <c r="BI157" i="2"/>
  <c r="BI173" i="2"/>
  <c r="BI30" i="2"/>
  <c r="BI192" i="2"/>
  <c r="BI142" i="2"/>
  <c r="BI70" i="2"/>
  <c r="BI158" i="2"/>
  <c r="BI48" i="2"/>
  <c r="BI37" i="2"/>
  <c r="BI35" i="2"/>
  <c r="BI135" i="2"/>
  <c r="BI57" i="2"/>
  <c r="BI101" i="2"/>
  <c r="BI103" i="2"/>
  <c r="BI96" i="2"/>
  <c r="BI63" i="2"/>
  <c r="BI49" i="2"/>
  <c r="BI60" i="2"/>
  <c r="BI171" i="2"/>
  <c r="BI11" i="2"/>
  <c r="BI40" i="2"/>
  <c r="BI73" i="2"/>
  <c r="BI196" i="2"/>
  <c r="BI90" i="2"/>
  <c r="BI55" i="2"/>
  <c r="BI17" i="2"/>
  <c r="BI186" i="2"/>
  <c r="BI176" i="2"/>
  <c r="BI41" i="2"/>
  <c r="BI131" i="2"/>
  <c r="BI82" i="2"/>
  <c r="BI14" i="2"/>
  <c r="BI162" i="2"/>
  <c r="BI26" i="2"/>
  <c r="BI139" i="2"/>
  <c r="BI7" i="2"/>
  <c r="BI95" i="2"/>
  <c r="BI74" i="2"/>
  <c r="BI71" i="2"/>
  <c r="BI114" i="2"/>
  <c r="BI178" i="2"/>
  <c r="BI160" i="2"/>
  <c r="BI68" i="2"/>
  <c r="BI197" i="2"/>
  <c r="BI179" i="2"/>
  <c r="BI10" i="2"/>
  <c r="BI198" i="2"/>
  <c r="BI201" i="2"/>
  <c r="BI91" i="2"/>
  <c r="BI86" i="2"/>
  <c r="BI109" i="2"/>
  <c r="BI183" i="2"/>
  <c r="BI94" i="2"/>
  <c r="BI188" i="2"/>
  <c r="BI87" i="2"/>
  <c r="BI56" i="2"/>
  <c r="BI180" i="2"/>
  <c r="BI154" i="2"/>
  <c r="BI137" i="2"/>
  <c r="BI150" i="2"/>
  <c r="BI98" i="2"/>
  <c r="BI76" i="2"/>
  <c r="BI29" i="2"/>
  <c r="BI104" i="2"/>
  <c r="BI187" i="2"/>
  <c r="BI85" i="2"/>
  <c r="BI190" i="2"/>
  <c r="BI130" i="2"/>
  <c r="BI4" i="2"/>
  <c r="BI169" i="2"/>
  <c r="BI80" i="2"/>
  <c r="BI170" i="2"/>
  <c r="BI45" i="2"/>
  <c r="BI23" i="2"/>
  <c r="BI51" i="2"/>
  <c r="BI54" i="2"/>
  <c r="BI20" i="2"/>
  <c r="BI118" i="2"/>
  <c r="BI32" i="2"/>
  <c r="BI155" i="2"/>
  <c r="BI64" i="2"/>
  <c r="BI146" i="2"/>
  <c r="BI132" i="2"/>
  <c r="BI93" i="2"/>
  <c r="BI189" i="2"/>
  <c r="BI122" i="2"/>
  <c r="BI121" i="2"/>
  <c r="BI5" i="2"/>
  <c r="BI66" i="2"/>
  <c r="BI9" i="2"/>
  <c r="BI79" i="2"/>
  <c r="BI69" i="2"/>
  <c r="BI16" i="2"/>
  <c r="BI112" i="2"/>
  <c r="BI8" i="2"/>
  <c r="BI106" i="2"/>
  <c r="BI123" i="2"/>
  <c r="BI13" i="2"/>
  <c r="BI152" i="2"/>
  <c r="BI75" i="2"/>
  <c r="BI184" i="2"/>
  <c r="BI124" i="2"/>
  <c r="BI50" i="2"/>
  <c r="BI67" i="2"/>
  <c r="BI100" i="2"/>
  <c r="BI127" i="2"/>
  <c r="BI15" i="2"/>
  <c r="BI199" i="2"/>
  <c r="BI138" i="2"/>
  <c r="BI191" i="2"/>
  <c r="BI52" i="2"/>
  <c r="BI200" i="2"/>
  <c r="BI78" i="2"/>
  <c r="BI185" i="2"/>
  <c r="BI116" i="2"/>
  <c r="BI38" i="2"/>
  <c r="BI156" i="2"/>
  <c r="BI143" i="2"/>
  <c r="BI83" i="2"/>
  <c r="BI105" i="2"/>
  <c r="BI110" i="2"/>
  <c r="BI92" i="2"/>
  <c r="BI172" i="2"/>
  <c r="BI161" i="2"/>
  <c r="BI108" i="2"/>
  <c r="BI133" i="2"/>
  <c r="BI126" i="2"/>
  <c r="BI203" i="2"/>
  <c r="BI81" i="2"/>
  <c r="BI117" i="2"/>
  <c r="BI181" i="2"/>
  <c r="BI77" i="2"/>
  <c r="BI31" i="2"/>
  <c r="BI163" i="2"/>
  <c r="BI153" i="2"/>
  <c r="BI165" i="2"/>
  <c r="BI128" i="2"/>
  <c r="BI195" i="2"/>
  <c r="BI175" i="2"/>
  <c r="BI159" i="2"/>
  <c r="BI134" i="2"/>
  <c r="BI27" i="2"/>
  <c r="BI140" i="2"/>
  <c r="BI28" i="2"/>
  <c r="BI24" i="2"/>
  <c r="BI202" i="2"/>
  <c r="BI194" i="2"/>
  <c r="BF148" i="2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<sst xmlns="http://schemas.openxmlformats.org/spreadsheetml/2006/main" count="1176" uniqueCount="325">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</sst>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1.4414793496856533</c:v>
                </c:pt>
                <c:pt idx="2">
                  <c:v>1.6957472082081553</c:v>
                </c:pt>
                <c:pt idx="3">
                  <c:v>1.9950357923280386</c:v>
                </c:pt>
                <c:pt idx="4">
                  <c:v>2.347344939891443</c:v>
                </c:pt>
                <c:pt idx="5">
                  <c:v>2.7621007590314162</c:v>
                </c:pt>
                <c:pt idx="6">
                  <c:v>3.2504107076792792</c:v>
                </c:pt>
                <c:pt idx="7">
                  <c:v>3.825364424271148</c:v>
                </c:pt>
                <c:pt idx="8">
                  <c:v>4.5023885374392192</c:v>
                </c:pt>
                <c:pt idx="9">
                  <c:v>5.2996651657492606</c:v>
                </c:pt>
                <c:pt idx="10">
                  <c:v>6.2386255698093906</c:v>
                </c:pt>
                <c:pt idx="11">
                  <c:v>7.3445324868481237</c:v>
                </c:pt>
                <c:pt idx="12">
                  <c:v>8.6471671194582758</c:v>
                </c:pt>
                <c:pt idx="13">
                  <c:v>10.181639633343407</c:v>
                </c:pt>
                <c:pt idx="14">
                  <c:v>11.989345423586537</c:v>
                </c:pt>
                <c:pt idx="15">
                  <c:v>14.119093429711674</c:v>
                </c:pt>
                <c:pt idx="16">
                  <c:v>16.628437528309927</c:v>
                </c:pt>
                <c:pt idx="17">
                  <c:v>19.585247640219709</c:v>
                </c:pt>
                <c:pt idx="18">
                  <c:v>23.06956381311781</c:v>
                </c:pt>
                <c:pt idx="19">
                  <c:v>27.175784364159011</c:v>
                </c:pt>
                <c:pt idx="20">
                  <c:v>32.01524840874319</c:v>
                </c:pt>
                <c:pt idx="21">
                  <c:v>37.719284017914553</c:v>
                </c:pt>
                <c:pt idx="22">
                  <c:v>44.442806142411648</c:v>
                </c:pt>
                <c:pt idx="23">
                  <c:v>52.36856367539125</c:v>
                </c:pt>
                <c:pt idx="24">
                  <c:v>61.712153023110119</c:v>
                </c:pt>
                <c:pt idx="25">
                  <c:v>72.727936815402572</c:v>
                </c:pt>
                <c:pt idx="26">
                  <c:v>85.716031509021889</c:v>
                </c:pt>
                <c:pt idx="27">
                  <c:v>101.03055731818506</c:v>
                </c:pt>
                <c:pt idx="28">
                  <c:v>119.08937897700982</c:v>
                </c:pt>
                <c:pt idx="29">
                  <c:v>140.38560727791869</c:v>
                </c:pt>
                <c:pt idx="30">
                  <c:v>165.50118029691697</c:v>
                </c:pt>
                <c:pt idx="31">
                  <c:v>180.41301367579672</c:v>
                </c:pt>
                <c:pt idx="32">
                  <c:v>195.29598805327001</c:v>
                </c:pt>
                <c:pt idx="33">
                  <c:v>210.1526132781556</c:v>
                </c:pt>
                <c:pt idx="34">
                  <c:v>224.98501498915437</c:v>
                </c:pt>
                <c:pt idx="35">
                  <c:v>239.79501543626409</c:v>
                </c:pt>
                <c:pt idx="36">
                  <c:v>254.5841932521862</c:v>
                </c:pt>
                <c:pt idx="37">
                  <c:v>269.35392858613005</c:v>
                </c:pt>
                <c:pt idx="38">
                  <c:v>284.10543780737447</c:v>
                </c:pt>
                <c:pt idx="39">
                  <c:v>298.83980061653057</c:v>
                </c:pt>
                <c:pt idx="40">
                  <c:v>313.55798152562414</c:v>
                </c:pt>
                <c:pt idx="41">
                  <c:v>328.26084709143441</c:v>
                </c:pt>
                <c:pt idx="42">
                  <c:v>342.94917989816844</c:v>
                </c:pt>
                <c:pt idx="43">
                  <c:v>252.71994626026705</c:v>
                </c:pt>
                <c:pt idx="44">
                  <c:v>267.79257121881375</c:v>
                </c:pt>
                <c:pt idx="45">
                  <c:v>282.84609321014727</c:v>
                </c:pt>
                <c:pt idx="46">
                  <c:v>297.88167215147729</c:v>
                </c:pt>
                <c:pt idx="47">
                  <c:v>312.90034127889936</c:v>
                </c:pt>
                <c:pt idx="48">
                  <c:v>327.90302652784436</c:v>
                </c:pt>
                <c:pt idx="49">
                  <c:v>342.8905621791684</c:v>
                </c:pt>
                <c:pt idx="50">
                  <c:v>357.86370362552151</c:v>
                </c:pt>
                <c:pt idx="51">
                  <c:v>271.33141993969394</c:v>
                </c:pt>
                <c:pt idx="52">
                  <c:v>285.64350217632511</c:v>
                </c:pt>
                <c:pt idx="53">
                  <c:v>299.93953975338138</c:v>
                </c:pt>
                <c:pt idx="54">
                  <c:v>314.22040519191495</c:v>
                </c:pt>
                <c:pt idx="55">
                  <c:v>328.48688521232657</c:v>
                </c:pt>
                <c:pt idx="56">
                  <c:v>342.73969261037996</c:v>
                </c:pt>
                <c:pt idx="57">
                  <c:v>356.9794760536858</c:v>
                </c:pt>
                <c:pt idx="58">
                  <c:v>371.2068282328928</c:v>
                </c:pt>
                <c:pt idx="59">
                  <c:v>304.63146188182708</c:v>
                </c:pt>
                <c:pt idx="60">
                  <c:v>318.37525477311118</c:v>
                </c:pt>
                <c:pt idx="61">
                  <c:v>332.1059147923591</c:v>
                </c:pt>
                <c:pt idx="62">
                  <c:v>345.82406144357356</c:v>
                </c:pt>
                <c:pt idx="63">
                  <c:v>359.53026106340167</c:v>
                </c:pt>
                <c:pt idx="64">
                  <c:v>373.22503327978126</c:v>
                </c:pt>
                <c:pt idx="65">
                  <c:v>386.90885647290816</c:v>
                </c:pt>
                <c:pt idx="66">
                  <c:v>400.58217242318597</c:v>
                </c:pt>
                <c:pt idx="67">
                  <c:v>334.57943775385905</c:v>
                </c:pt>
                <c:pt idx="68">
                  <c:v>347.60031495364598</c:v>
                </c:pt>
                <c:pt idx="69">
                  <c:v>360.61048905039701</c:v>
                </c:pt>
                <c:pt idx="70">
                  <c:v>373.61040064115809</c:v>
                </c:pt>
                <c:pt idx="71">
                  <c:v>386.60045715553883</c:v>
                </c:pt>
                <c:pt idx="72">
                  <c:v>399.58103640661653</c:v>
                </c:pt>
                <c:pt idx="73">
                  <c:v>412.5524896562884</c:v>
                </c:pt>
                <c:pt idx="74">
                  <c:v>425.51514427495431</c:v>
                </c:pt>
                <c:pt idx="75">
                  <c:v>438.46930606018981</c:v>
                </c:pt>
                <c:pt idx="76">
                  <c:v>372.70132047572787</c:v>
                </c:pt>
                <c:pt idx="77">
                  <c:v>384.92674377589583</c:v>
                </c:pt>
                <c:pt idx="78">
                  <c:v>397.14373241198672</c:v>
                </c:pt>
                <c:pt idx="79">
                  <c:v>409.35258244760695</c:v>
                </c:pt>
                <c:pt idx="80">
                  <c:v>421.55357084347224</c:v>
                </c:pt>
                <c:pt idx="81">
                  <c:v>433.746957218918</c:v>
                </c:pt>
                <c:pt idx="82">
                  <c:v>445.93298540499927</c:v>
                </c:pt>
                <c:pt idx="83">
                  <c:v>458.11188481896812</c:v>
                </c:pt>
                <c:pt idx="84">
                  <c:v>390.08859442874746</c:v>
                </c:pt>
                <c:pt idx="85">
                  <c:v>401.37512564200051</c:v>
                </c:pt>
                <c:pt idx="86">
                  <c:v>412.65479104239301</c:v>
                </c:pt>
                <c:pt idx="87">
                  <c:v>423.92780479021536</c:v>
                </c:pt>
                <c:pt idx="88">
                  <c:v>435.19436872474421</c:v>
                </c:pt>
                <c:pt idx="89">
                  <c:v>446.45467338051259</c:v>
                </c:pt>
                <c:pt idx="90">
                  <c:v>457.70889889569997</c:v>
                </c:pt>
                <c:pt idx="91">
                  <c:v>468.95721582652214</c:v>
                </c:pt>
                <c:pt idx="92">
                  <c:v>247.05717652444915</c:v>
                </c:pt>
                <c:pt idx="93">
                  <c:v>254.68402378773919</c:v>
                </c:pt>
                <c:pt idx="94">
                  <c:v>262.30570177112975</c:v>
                </c:pt>
                <c:pt idx="95">
                  <c:v>269.92238203666665</c:v>
                </c:pt>
                <c:pt idx="96">
                  <c:v>277.53422566245791</c:v>
                </c:pt>
                <c:pt idx="97">
                  <c:v>285.14138415968461</c:v>
                </c:pt>
                <c:pt idx="98">
                  <c:v>292.74400028654537</c:v>
                </c:pt>
                <c:pt idx="99">
                  <c:v>300.34220877315158</c:v>
                </c:pt>
                <c:pt idx="100">
                  <c:v>307.93613696916861</c:v>
                </c:pt>
                <c:pt idx="101">
                  <c:v>315.52590542418221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1.3950211523524969</c:v>
                </c:pt>
                <c:pt idx="2">
                  <c:v>1.5881532335812458</c:v>
                </c:pt>
                <c:pt idx="3">
                  <c:v>1.8081214140775144</c:v>
                </c:pt>
                <c:pt idx="4">
                  <c:v>2.0586675737991951</c:v>
                </c:pt>
                <c:pt idx="5">
                  <c:v>2.3440570421622735</c:v>
                </c:pt>
                <c:pt idx="6">
                  <c:v>2.6691520460340121</c:v>
                </c:pt>
                <c:pt idx="7">
                  <c:v>3.0394954927152416</c:v>
                </c:pt>
                <c:pt idx="8">
                  <c:v>3.4614065459541714</c:v>
                </c:pt>
                <c:pt idx="9">
                  <c:v>3.9420896592240098</c:v>
                </c:pt>
                <c:pt idx="10">
                  <c:v>4.4897589659087105</c:v>
                </c:pt>
                <c:pt idx="11">
                  <c:v>5.1137801948250576</c:v>
                </c:pt>
                <c:pt idx="12">
                  <c:v>5.8248325864050381</c:v>
                </c:pt>
                <c:pt idx="13">
                  <c:v>6.6350936352846661</c:v>
                </c:pt>
                <c:pt idx="14">
                  <c:v>7.5584498851790762</c:v>
                </c:pt>
                <c:pt idx="15">
                  <c:v>8.6107374588344445</c:v>
                </c:pt>
                <c:pt idx="16">
                  <c:v>9.8100165276065425</c:v>
                </c:pt>
                <c:pt idx="17">
                  <c:v>11.176884521044329</c:v>
                </c:pt>
                <c:pt idx="18">
                  <c:v>12.734833557289173</c:v>
                </c:pt>
                <c:pt idx="19">
                  <c:v>14.510658352170763</c:v>
                </c:pt>
                <c:pt idx="20">
                  <c:v>16.53492175233939</c:v>
                </c:pt>
                <c:pt idx="21">
                  <c:v>18.84248605132959</c:v>
                </c:pt>
                <c:pt idx="22">
                  <c:v>21.473119405050614</c:v>
                </c:pt>
                <c:pt idx="23">
                  <c:v>24.472187985351329</c:v>
                </c:pt>
                <c:pt idx="24">
                  <c:v>27.891446020441389</c:v>
                </c:pt>
                <c:pt idx="25">
                  <c:v>31.789937595839632</c:v>
                </c:pt>
                <c:pt idx="26">
                  <c:v>36.235026059753928</c:v>
                </c:pt>
                <c:pt idx="27">
                  <c:v>41.303569127330512</c:v>
                </c:pt>
                <c:pt idx="28">
                  <c:v>47.083260348985512</c:v>
                </c:pt>
                <c:pt idx="29">
                  <c:v>53.67416054468967</c:v>
                </c:pt>
                <c:pt idx="30">
                  <c:v>61.190446160775572</c:v>
                </c:pt>
                <c:pt idx="31">
                  <c:v>67.394853490071668</c:v>
                </c:pt>
                <c:pt idx="32">
                  <c:v>73.584541308140913</c:v>
                </c:pt>
                <c:pt idx="33">
                  <c:v>79.760925789035213</c:v>
                </c:pt>
                <c:pt idx="34">
                  <c:v>85.925185069227894</c:v>
                </c:pt>
                <c:pt idx="35">
                  <c:v>92.078313874665966</c:v>
                </c:pt>
                <c:pt idx="36">
                  <c:v>98.221162713218405</c:v>
                </c:pt>
                <c:pt idx="37">
                  <c:v>104.35446670801777</c:v>
                </c:pt>
                <c:pt idx="38">
                  <c:v>110.47886727139083</c:v>
                </c:pt>
                <c:pt idx="39">
                  <c:v>116.59492870429568</c:v>
                </c:pt>
                <c:pt idx="40">
                  <c:v>122.70315111913563</c:v>
                </c:pt>
                <c:pt idx="41">
                  <c:v>128.80398064682694</c:v>
                </c:pt>
                <c:pt idx="42">
                  <c:v>134.89781760327631</c:v>
                </c:pt>
                <c:pt idx="43">
                  <c:v>140.98502309900297</c:v>
                </c:pt>
                <c:pt idx="44">
                  <c:v>147.06592444458582</c:v>
                </c:pt>
                <c:pt idx="45">
                  <c:v>153.14081961312857</c:v>
                </c:pt>
                <c:pt idx="46">
                  <c:v>159.20998095594879</c:v>
                </c:pt>
                <c:pt idx="47">
                  <c:v>165.27365832078661</c:v>
                </c:pt>
                <c:pt idx="48">
                  <c:v>171.33208168748357</c:v>
                </c:pt>
                <c:pt idx="49">
                  <c:v>177.38546341059646</c:v>
                </c:pt>
                <c:pt idx="50">
                  <c:v>183.43400013927115</c:v>
                </c:pt>
                <c:pt idx="51">
                  <c:v>189.47787447016603</c:v>
                </c:pt>
                <c:pt idx="52">
                  <c:v>195.51725637806041</c:v>
                </c:pt>
                <c:pt idx="53">
                  <c:v>201.55230446014284</c:v>
                </c:pt>
                <c:pt idx="54">
                  <c:v>207.58316702321846</c:v>
                </c:pt>
                <c:pt idx="55">
                  <c:v>213.60998303775503</c:v>
                </c:pt>
                <c:pt idx="56">
                  <c:v>219.6328829784533</c:v>
                </c:pt>
                <c:pt idx="57">
                  <c:v>225.65198956765155</c:v>
                </c:pt>
                <c:pt idx="58">
                  <c:v>231.66741843514191</c:v>
                </c:pt>
                <c:pt idx="59">
                  <c:v>237.67927870577375</c:v>
                </c:pt>
                <c:pt idx="60">
                  <c:v>243.68767352441202</c:v>
                </c:pt>
                <c:pt idx="61">
                  <c:v>249.69270052634377</c:v>
                </c:pt>
                <c:pt idx="62">
                  <c:v>255.69445226000585</c:v>
                </c:pt>
                <c:pt idx="63">
                  <c:v>261.69301656789645</c:v>
                </c:pt>
                <c:pt idx="64">
                  <c:v>267.68847693069137</c:v>
                </c:pt>
                <c:pt idx="65">
                  <c:v>273.68091277888283</c:v>
                </c:pt>
                <c:pt idx="66">
                  <c:v>279.6703997756635</c:v>
                </c:pt>
                <c:pt idx="67">
                  <c:v>285.65701007428447</c:v>
                </c:pt>
                <c:pt idx="68">
                  <c:v>216.9162600780729</c:v>
                </c:pt>
                <c:pt idx="69">
                  <c:v>222.79212416245525</c:v>
                </c:pt>
                <c:pt idx="70">
                  <c:v>228.66443401169647</c:v>
                </c:pt>
                <c:pt idx="71">
                  <c:v>234.53329393424232</c:v>
                </c:pt>
                <c:pt idx="72">
                  <c:v>240.39880258335998</c:v>
                </c:pt>
                <c:pt idx="73">
                  <c:v>246.26105339737492</c:v>
                </c:pt>
                <c:pt idx="74">
                  <c:v>252.12013499573814</c:v>
                </c:pt>
                <c:pt idx="75">
                  <c:v>257.97613153630255</c:v>
                </c:pt>
                <c:pt idx="76">
                  <c:v>263.82912303842073</c:v>
                </c:pt>
                <c:pt idx="77">
                  <c:v>269.67918567583575</c:v>
                </c:pt>
                <c:pt idx="78">
                  <c:v>275.52639204279916</c:v>
                </c:pt>
                <c:pt idx="79">
                  <c:v>281.37081139638917</c:v>
                </c:pt>
                <c:pt idx="80">
                  <c:v>287.21250987762193</c:v>
                </c:pt>
                <c:pt idx="81">
                  <c:v>293.05155071361156</c:v>
                </c:pt>
                <c:pt idx="82">
                  <c:v>298.88799440275972</c:v>
                </c:pt>
                <c:pt idx="83">
                  <c:v>227.60366140266788</c:v>
                </c:pt>
                <c:pt idx="84">
                  <c:v>232.65688820742579</c:v>
                </c:pt>
                <c:pt idx="85">
                  <c:v>237.70760836771649</c:v>
                </c:pt>
                <c:pt idx="86">
                  <c:v>242.75588275748123</c:v>
                </c:pt>
                <c:pt idx="87">
                  <c:v>247.80176950761555</c:v>
                </c:pt>
                <c:pt idx="88">
                  <c:v>252.84532418419505</c:v>
                </c:pt>
                <c:pt idx="89">
                  <c:v>257.88659995171651</c:v>
                </c:pt>
                <c:pt idx="90">
                  <c:v>262.92564772288972</c:v>
                </c:pt>
                <c:pt idx="91">
                  <c:v>267.96251629632917</c:v>
                </c:pt>
                <c:pt idx="92">
                  <c:v>272.99725248333834</c:v>
                </c:pt>
                <c:pt idx="93">
                  <c:v>278.0299012248401</c:v>
                </c:pt>
                <c:pt idx="94">
                  <c:v>283.06050569938662</c:v>
                </c:pt>
                <c:pt idx="95">
                  <c:v>288.0891074230808</c:v>
                </c:pt>
                <c:pt idx="96">
                  <c:v>293.11574634214742</c:v>
                </c:pt>
                <c:pt idx="97">
                  <c:v>298.14046091881505</c:v>
                </c:pt>
                <c:pt idx="98">
                  <c:v>303.16328821109795</c:v>
                </c:pt>
                <c:pt idx="99">
                  <c:v>308.18426394701032</c:v>
                </c:pt>
                <c:pt idx="100">
                  <c:v>249.26634596648864</c:v>
                </c:pt>
                <c:pt idx="101">
                  <c:v>253.56649024630022</c:v>
                </c:pt>
                <c:pt idx="102">
                  <c:v>257.86498302020419</c:v>
                </c:pt>
                <c:pt idx="103">
                  <c:v>262.16185575585581</c:v>
                </c:pt>
                <c:pt idx="104">
                  <c:v>266.45713880328555</c:v>
                </c:pt>
                <c:pt idx="105">
                  <c:v>270.75086145238669</c:v>
                </c:pt>
                <c:pt idx="106">
                  <c:v>275.04305198655976</c:v>
                </c:pt>
                <c:pt idx="107">
                  <c:v>279.33373773283</c:v>
                </c:pt>
                <c:pt idx="108">
                  <c:v>283.62294510871874</c:v>
                </c:pt>
                <c:pt idx="109">
                  <c:v>287.91069966612781</c:v>
                </c:pt>
                <c:pt idx="110">
                  <c:v>292.19702613247063</c:v>
                </c:pt>
                <c:pt idx="111">
                  <c:v>296.48194844925848</c:v>
                </c:pt>
                <c:pt idx="112">
                  <c:v>300.76548980833871</c:v>
                </c:pt>
                <c:pt idx="113">
                  <c:v>305.04767268595623</c:v>
                </c:pt>
                <c:pt idx="114">
                  <c:v>309.32851887480166</c:v>
                </c:pt>
                <c:pt idx="115">
                  <c:v>313.60804951418856</c:v>
                </c:pt>
                <c:pt idx="116">
                  <c:v>317.88628511849771</c:v>
                </c:pt>
                <c:pt idx="117">
                  <c:v>322.16324560400574</c:v>
                </c:pt>
                <c:pt idx="118">
                  <c:v>326.43895031421579</c:v>
                </c:pt>
                <c:pt idx="119">
                  <c:v>330.71341804378739</c:v>
                </c:pt>
                <c:pt idx="120">
                  <c:v>275.0294038550893</c:v>
                </c:pt>
                <c:pt idx="121">
                  <c:v>278.69634384657735</c:v>
                </c:pt>
                <c:pt idx="122">
                  <c:v>282.36220129796249</c:v>
                </c:pt>
                <c:pt idx="123">
                  <c:v>286.0269922741619</c:v>
                </c:pt>
                <c:pt idx="124">
                  <c:v>289.69073239405918</c:v>
                </c:pt>
                <c:pt idx="125">
                  <c:v>293.35343684850363</c:v>
                </c:pt>
                <c:pt idx="126">
                  <c:v>297.01512041736265</c:v>
                </c:pt>
                <c:pt idx="127">
                  <c:v>300.67579748568892</c:v>
                </c:pt>
                <c:pt idx="128">
                  <c:v>304.33548205905601</c:v>
                </c:pt>
                <c:pt idx="129">
                  <c:v>307.99418777811889</c:v>
                </c:pt>
                <c:pt idx="130">
                  <c:v>311.65192793244444</c:v>
                </c:pt>
                <c:pt idx="131">
                  <c:v>315.30871547365751</c:v>
                </c:pt>
                <c:pt idx="132">
                  <c:v>318.96456302794576</c:v>
                </c:pt>
                <c:pt idx="133">
                  <c:v>322.61948290795908</c:v>
                </c:pt>
                <c:pt idx="134">
                  <c:v>326.27348712414181</c:v>
                </c:pt>
                <c:pt idx="135">
                  <c:v>168.75983290953181</c:v>
                </c:pt>
                <c:pt idx="136">
                  <c:v>171.27509002122505</c:v>
                </c:pt>
                <c:pt idx="137">
                  <c:v>173.78947757475586</c:v>
                </c:pt>
                <c:pt idx="138">
                  <c:v>176.30300996578777</c:v>
                </c:pt>
                <c:pt idx="139">
                  <c:v>178.81570114477483</c:v>
                </c:pt>
                <c:pt idx="140">
                  <c:v>181.32756463694497</c:v>
                </c:pt>
                <c:pt idx="141">
                  <c:v>183.83861356111524</c:v>
                </c:pt>
                <c:pt idx="142">
                  <c:v>186.34886064742281</c:v>
                </c:pt>
                <c:pt idx="143">
                  <c:v>188.85831825404807</c:v>
                </c:pt>
                <c:pt idx="144">
                  <c:v>191.36699838300055</c:v>
                </c:pt>
                <c:pt idx="145">
                  <c:v>5.7742528562540137E-12</c:v>
                </c:pt>
                <c:pt idx="146">
                  <c:v>5.7742528562540137E-12</c:v>
                </c:pt>
                <c:pt idx="147">
                  <c:v>5.7742528562540137E-12</c:v>
                </c:pt>
                <c:pt idx="148">
                  <c:v>5.7742528562540137E-12</c:v>
                </c:pt>
                <c:pt idx="149">
                  <c:v>5.7742528562540137E-12</c:v>
                </c:pt>
                <c:pt idx="150">
                  <c:v>5.7742528562540137E-12</c:v>
                </c:pt>
                <c:pt idx="151">
                  <c:v>5.7742528562540137E-12</c:v>
                </c:pt>
                <c:pt idx="152">
                  <c:v>5.7742528562540137E-12</c:v>
                </c:pt>
                <c:pt idx="153">
                  <c:v>5.7742528562540137E-12</c:v>
                </c:pt>
                <c:pt idx="154">
                  <c:v>5.7742528562540137E-12</c:v>
                </c:pt>
                <c:pt idx="155">
                  <c:v>5.7742528562540137E-12</c:v>
                </c:pt>
                <c:pt idx="156">
                  <c:v>5.7742528562540137E-12</c:v>
                </c:pt>
                <c:pt idx="157">
                  <c:v>5.7742528562540137E-12</c:v>
                </c:pt>
                <c:pt idx="158">
                  <c:v>5.7742528562540137E-12</c:v>
                </c:pt>
                <c:pt idx="159">
                  <c:v>5.7742528562540137E-12</c:v>
                </c:pt>
                <c:pt idx="160">
                  <c:v>5.7742528562540137E-12</c:v>
                </c:pt>
                <c:pt idx="161">
                  <c:v>5.7742528562540137E-12</c:v>
                </c:pt>
                <c:pt idx="162">
                  <c:v>5.7742528562540137E-12</c:v>
                </c:pt>
                <c:pt idx="163">
                  <c:v>5.7742528562540137E-12</c:v>
                </c:pt>
                <c:pt idx="164">
                  <c:v>5.7742528562540137E-12</c:v>
                </c:pt>
                <c:pt idx="165">
                  <c:v>5.7742528562540137E-12</c:v>
                </c:pt>
                <c:pt idx="166">
                  <c:v>5.7742528562540137E-12</c:v>
                </c:pt>
                <c:pt idx="167">
                  <c:v>5.7742528562540137E-12</c:v>
                </c:pt>
                <c:pt idx="168">
                  <c:v>5.7742528562540137E-12</c:v>
                </c:pt>
                <c:pt idx="169">
                  <c:v>5.7742528562540137E-12</c:v>
                </c:pt>
                <c:pt idx="170">
                  <c:v>5.7742528562540137E-12</c:v>
                </c:pt>
                <c:pt idx="171">
                  <c:v>5.7742528562540137E-12</c:v>
                </c:pt>
                <c:pt idx="172">
                  <c:v>5.7742528562540137E-12</c:v>
                </c:pt>
                <c:pt idx="173">
                  <c:v>5.7742528562540137E-12</c:v>
                </c:pt>
                <c:pt idx="174">
                  <c:v>5.7742528562540137E-12</c:v>
                </c:pt>
                <c:pt idx="175">
                  <c:v>5.7742528562540137E-12</c:v>
                </c:pt>
                <c:pt idx="176">
                  <c:v>5.7742528562540137E-12</c:v>
                </c:pt>
                <c:pt idx="177">
                  <c:v>5.7742528562540137E-12</c:v>
                </c:pt>
                <c:pt idx="178">
                  <c:v>5.7742528562540137E-12</c:v>
                </c:pt>
                <c:pt idx="179">
                  <c:v>5.7742528562540137E-12</c:v>
                </c:pt>
                <c:pt idx="180">
                  <c:v>5.7742528562540137E-12</c:v>
                </c:pt>
                <c:pt idx="181">
                  <c:v>5.7742528562540137E-12</c:v>
                </c:pt>
                <c:pt idx="182">
                  <c:v>5.7742528562540137E-12</c:v>
                </c:pt>
                <c:pt idx="183">
                  <c:v>5.7742528562540137E-12</c:v>
                </c:pt>
                <c:pt idx="184">
                  <c:v>5.7742528562540137E-12</c:v>
                </c:pt>
                <c:pt idx="185">
                  <c:v>5.7742528562540137E-12</c:v>
                </c:pt>
                <c:pt idx="186">
                  <c:v>5.7742528562540137E-12</c:v>
                </c:pt>
                <c:pt idx="187">
                  <c:v>5.7742528562540137E-12</c:v>
                </c:pt>
                <c:pt idx="188">
                  <c:v>5.7742528562540137E-12</c:v>
                </c:pt>
                <c:pt idx="189">
                  <c:v>5.7742528562540137E-12</c:v>
                </c:pt>
                <c:pt idx="190">
                  <c:v>5.7742528562540137E-12</c:v>
                </c:pt>
                <c:pt idx="191">
                  <c:v>5.7742528562540137E-12</c:v>
                </c:pt>
                <c:pt idx="192">
                  <c:v>5.7742528562540137E-12</c:v>
                </c:pt>
                <c:pt idx="193">
                  <c:v>5.7742528562540137E-12</c:v>
                </c:pt>
                <c:pt idx="194">
                  <c:v>5.7742528562540137E-12</c:v>
                </c:pt>
                <c:pt idx="195">
                  <c:v>5.7742528562540137E-12</c:v>
                </c:pt>
                <c:pt idx="196">
                  <c:v>5.7742528562540137E-12</c:v>
                </c:pt>
                <c:pt idx="197">
                  <c:v>5.7742528562540137E-12</c:v>
                </c:pt>
                <c:pt idx="198">
                  <c:v>5.7742528562540137E-12</c:v>
                </c:pt>
                <c:pt idx="199">
                  <c:v>5.7742528562540137E-12</c:v>
                </c:pt>
                <c:pt idx="200">
                  <c:v>5.7742528562540137E-12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222.53665149290282</c:v>
                </c:pt>
                <c:pt idx="22">
                  <c:v>168.75667061619112</c:v>
                </c:pt>
                <c:pt idx="23">
                  <c:v>188.97408626306841</c:v>
                </c:pt>
                <c:pt idx="24">
                  <c:v>209.14106954499564</c:v>
                </c:pt>
                <c:pt idx="25">
                  <c:v>229.26316865848699</c:v>
                </c:pt>
                <c:pt idx="26">
                  <c:v>249.34487716008638</c:v>
                </c:pt>
                <c:pt idx="27">
                  <c:v>269.38990512338603</c:v>
                </c:pt>
                <c:pt idx="28">
                  <c:v>289.40136514946477</c:v>
                </c:pt>
                <c:pt idx="29">
                  <c:v>242.80327727023788</c:v>
                </c:pt>
                <c:pt idx="30">
                  <c:v>264.55540625187342</c:v>
                </c:pt>
                <c:pt idx="31">
                  <c:v>286.26720910143626</c:v>
                </c:pt>
                <c:pt idx="32">
                  <c:v>307.94217323717993</c:v>
                </c:pt>
                <c:pt idx="33">
                  <c:v>329.58325501039627</c:v>
                </c:pt>
                <c:pt idx="34">
                  <c:v>351.19299087374617</c:v>
                </c:pt>
                <c:pt idx="35">
                  <c:v>372.77357972834852</c:v>
                </c:pt>
                <c:pt idx="36">
                  <c:v>310.3705645962005</c:v>
                </c:pt>
                <c:pt idx="37">
                  <c:v>332.16291001549854</c:v>
                </c:pt>
                <c:pt idx="38">
                  <c:v>353.92374107920108</c:v>
                </c:pt>
                <c:pt idx="39">
                  <c:v>375.65526675033772</c:v>
                </c:pt>
                <c:pt idx="40">
                  <c:v>397.35941965516275</c:v>
                </c:pt>
                <c:pt idx="41">
                  <c:v>419.03790416885477</c:v>
                </c:pt>
                <c:pt idx="42">
                  <c:v>440.69223402870369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407.29156713376284</c:v>
                </c:pt>
                <c:pt idx="46">
                  <c:v>428.11550550227395</c:v>
                </c:pt>
                <c:pt idx="47">
                  <c:v>448.91767507952301</c:v>
                </c:pt>
                <c:pt idx="48">
                  <c:v>469.69922578809798</c:v>
                </c:pt>
                <c:pt idx="49">
                  <c:v>490.46119756343541</c:v>
                </c:pt>
                <c:pt idx="50">
                  <c:v>402.35883668560945</c:v>
                </c:pt>
                <c:pt idx="51">
                  <c:v>421.65245364552817</c:v>
                </c:pt>
                <c:pt idx="52">
                  <c:v>440.92706835035824</c:v>
                </c:pt>
                <c:pt idx="53">
                  <c:v>460.18362785912086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445.53319473983169</c:v>
                </c:pt>
                <c:pt idx="58">
                  <c:v>463.13961636412455</c:v>
                </c:pt>
                <c:pt idx="59">
                  <c:v>480.73176524290034</c:v>
                </c:pt>
                <c:pt idx="60">
                  <c:v>498.31023693169203</c:v>
                </c:pt>
                <c:pt idx="61">
                  <c:v>515.87558156393754</c:v>
                </c:pt>
                <c:pt idx="62">
                  <c:v>533.42830877562312</c:v>
                </c:pt>
                <c:pt idx="63">
                  <c:v>550.96889194826019</c:v>
                </c:pt>
                <c:pt idx="64">
                  <c:v>472.35430760583853</c:v>
                </c:pt>
                <c:pt idx="65">
                  <c:v>488.11156591254894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551.03641277035774</c:v>
                </c:pt>
                <c:pt idx="70">
                  <c:v>566.74332225455589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C47" sqref="C47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5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124</v>
      </c>
      <c r="C9" s="32">
        <v>0.28000000000000003</v>
      </c>
      <c r="D9" s="33">
        <f t="shared" ref="D9:D18" si="0">C9*$C$5</f>
        <v>1.4000000000000001</v>
      </c>
      <c r="E9" s="34">
        <v>101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16</v>
      </c>
      <c r="C10" s="32">
        <v>0.56999999999999995</v>
      </c>
      <c r="D10" s="33">
        <f t="shared" si="0"/>
        <v>2.8499999999999996</v>
      </c>
      <c r="E10" s="34">
        <v>54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19</v>
      </c>
      <c r="B11" s="31" t="s">
        <v>124</v>
      </c>
      <c r="C11" s="32">
        <v>0.05</v>
      </c>
      <c r="D11" s="33">
        <f t="shared" si="0"/>
        <v>0.25</v>
      </c>
      <c r="E11" s="34">
        <v>144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20</v>
      </c>
      <c r="B12" s="31" t="s">
        <v>16</v>
      </c>
      <c r="C12" s="32">
        <v>0.1</v>
      </c>
      <c r="D12" s="33">
        <f t="shared" si="0"/>
        <v>0.5</v>
      </c>
      <c r="E12" s="34">
        <v>70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21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22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23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24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25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26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27</v>
      </c>
      <c r="C19" s="37">
        <f>SUM(C9:C18)</f>
        <v>1</v>
      </c>
      <c r="D19" s="38">
        <f>SUM(D9:D18)</f>
        <v>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28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34</v>
      </c>
      <c r="B26" s="42" t="s">
        <v>35</v>
      </c>
      <c r="C26" s="43">
        <v>0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40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Cèdre de l'Atlas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42</v>
      </c>
      <c r="C34" s="258" t="s">
        <v>43</v>
      </c>
      <c r="D34" s="258"/>
      <c r="E34" s="259" t="s">
        <v>44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158.73846153846154</v>
      </c>
      <c r="C36" s="60" t="s">
        <v>54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5.2912820512820513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42</v>
      </c>
      <c r="B37" s="60">
        <v>335.02307692307687</v>
      </c>
      <c r="C37" s="60">
        <v>1</v>
      </c>
      <c r="D37" s="60">
        <v>104.98461538461537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14.690384615384611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50</v>
      </c>
      <c r="B38" s="60">
        <v>349.95384615384614</v>
      </c>
      <c r="C38" s="60">
        <v>2</v>
      </c>
      <c r="D38" s="60">
        <v>100.66923076923077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14.989423076923082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58</v>
      </c>
      <c r="B39" s="60">
        <v>363.32307692307694</v>
      </c>
      <c r="C39" s="60">
        <v>3</v>
      </c>
      <c r="D39" s="60">
        <v>80.315384615384616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14.254807692307693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66</v>
      </c>
      <c r="B40" s="60">
        <v>392.7923076923077</v>
      </c>
      <c r="C40" s="60">
        <v>4</v>
      </c>
      <c r="D40" s="60">
        <v>79.169230769230765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13.723076923076924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75</v>
      </c>
      <c r="B41" s="60">
        <v>430.86923076923074</v>
      </c>
      <c r="C41" s="60">
        <v>5</v>
      </c>
      <c r="D41" s="60">
        <v>78.307692307692307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13.02735042735042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83</v>
      </c>
      <c r="B42" s="60">
        <v>450.63846153846146</v>
      </c>
      <c r="C42" s="60">
        <v>6</v>
      </c>
      <c r="D42" s="60">
        <v>79.707692307692312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12.25961538461538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91</v>
      </c>
      <c r="B43" s="60">
        <v>461.56153846153842</v>
      </c>
      <c r="C43" s="60">
        <v>7</v>
      </c>
      <c r="D43" s="60">
        <v>229.73846153846154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11.328846153846158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101</v>
      </c>
      <c r="B44" s="60">
        <v>307.60769230769228</v>
      </c>
      <c r="C44" s="60">
        <v>8</v>
      </c>
      <c r="D44" s="60">
        <v>307.60769230769228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7.5784615384615392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Douglas</v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42</v>
      </c>
      <c r="C60" s="258" t="s">
        <v>43</v>
      </c>
      <c r="D60" s="258"/>
      <c r="E60" s="259" t="s">
        <v>44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18</v>
      </c>
      <c r="B62" s="60">
        <v>182.89230769230767</v>
      </c>
      <c r="C62" s="60">
        <v>1</v>
      </c>
      <c r="D62" s="60">
        <v>69.284615384615378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10.16068376068376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24</v>
      </c>
      <c r="B63" s="60">
        <v>237.56153846153845</v>
      </c>
      <c r="C63" s="60">
        <v>2</v>
      </c>
      <c r="D63" s="60">
        <v>42.661538461538463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20.658974358974358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331.86923076923074</v>
      </c>
      <c r="C64" s="60">
        <v>3</v>
      </c>
      <c r="D64" s="60">
        <v>65.669230769230765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22.828205128205127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36</v>
      </c>
      <c r="B65" s="60">
        <v>403.50769230769237</v>
      </c>
      <c r="C65" s="60">
        <v>4</v>
      </c>
      <c r="D65" s="60">
        <v>69.3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22.884615384615397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42</v>
      </c>
      <c r="B66" s="60">
        <v>468.72307692307686</v>
      </c>
      <c r="C66" s="60">
        <v>5</v>
      </c>
      <c r="D66" s="60">
        <v>73.392307692307682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22.419230769230751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48</v>
      </c>
      <c r="B67" s="60">
        <v>525.0846153846154</v>
      </c>
      <c r="C67" s="60">
        <v>6</v>
      </c>
      <c r="D67" s="60">
        <v>81.330769230769235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21.625641025641034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54</v>
      </c>
      <c r="B68" s="60">
        <v>566.79999999999995</v>
      </c>
      <c r="C68" s="60">
        <v>7</v>
      </c>
      <c r="D68" s="60">
        <v>566.79999999999995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20.507692307692299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19</v>
      </c>
      <c r="B84" s="52" t="str">
        <f>IF(B11="","",B11)</f>
        <v>Cèdre de l'Atlas</v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42</v>
      </c>
      <c r="C86" s="258" t="s">
        <v>43</v>
      </c>
      <c r="D86" s="258"/>
      <c r="E86" s="259" t="s">
        <v>44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57.115384615384613</v>
      </c>
      <c r="C88" s="60" t="s">
        <v>54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1.9038461538461537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67</v>
      </c>
      <c r="B89" s="60">
        <v>277.80769230769232</v>
      </c>
      <c r="C89" s="60">
        <v>1</v>
      </c>
      <c r="D89" s="60">
        <v>74.123076923076923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5.9646569646569647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82</v>
      </c>
      <c r="B90" s="60">
        <v>291</v>
      </c>
      <c r="C90" s="60">
        <v>2</v>
      </c>
      <c r="D90" s="60">
        <v>75.91538461538461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5.8210256410256402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99</v>
      </c>
      <c r="B91" s="60">
        <v>300.27692307692308</v>
      </c>
      <c r="C91" s="60">
        <v>3</v>
      </c>
      <c r="D91" s="60">
        <v>62.953846153846158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5.0113122171945692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119</v>
      </c>
      <c r="B92" s="60">
        <v>322.78461538461539</v>
      </c>
      <c r="C92" s="60">
        <v>4</v>
      </c>
      <c r="D92" s="60">
        <v>59.215384615384615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4.273076923076923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134</v>
      </c>
      <c r="B93" s="60">
        <v>318.34615384615387</v>
      </c>
      <c r="C93" s="60">
        <v>5</v>
      </c>
      <c r="D93" s="60">
        <v>158.87692307692308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3.6517948717948721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144</v>
      </c>
      <c r="B94" s="60">
        <v>184.23846153846154</v>
      </c>
      <c r="C94" s="60">
        <v>6</v>
      </c>
      <c r="D94" s="60">
        <v>184.23846153846154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2.4769230769230743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20</v>
      </c>
      <c r="B110" s="52" t="str">
        <f>IF(B12="","",B12)</f>
        <v>Douglas</v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42</v>
      </c>
      <c r="C112" s="258" t="s">
        <v>43</v>
      </c>
      <c r="D112" s="258"/>
      <c r="E112" s="259" t="s">
        <v>44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21</v>
      </c>
      <c r="B114" s="60">
        <v>180.06153846153845</v>
      </c>
      <c r="C114" s="50">
        <v>1</v>
      </c>
      <c r="D114" s="60">
        <v>61.169230769230765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8.5743589743589741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28</v>
      </c>
      <c r="B115" s="60">
        <v>235.7076923076923</v>
      </c>
      <c r="C115" s="50">
        <v>2</v>
      </c>
      <c r="D115" s="60">
        <v>56.91538461538461</v>
      </c>
      <c r="E115" s="51">
        <v>0</v>
      </c>
      <c r="F115" s="51">
        <v>0.56000000000000005</v>
      </c>
      <c r="G115" s="51">
        <v>0.44</v>
      </c>
      <c r="H115" s="51">
        <v>0</v>
      </c>
      <c r="I115" s="53">
        <f t="shared" ref="I115:I133" si="4">IF(A115&lt;&gt;0,(B115-(B114-D114))/(A115-A114),"")</f>
        <v>16.687912087912089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30</v>
      </c>
      <c r="B116" s="60">
        <v>214.99230769230769</v>
      </c>
      <c r="C116" s="50" t="s">
        <v>54</v>
      </c>
      <c r="D116" s="60">
        <v>0</v>
      </c>
      <c r="E116" s="51">
        <v>0</v>
      </c>
      <c r="F116" s="51">
        <v>0</v>
      </c>
      <c r="G116" s="51">
        <v>0</v>
      </c>
      <c r="H116" s="51">
        <v>0</v>
      </c>
      <c r="I116" s="53">
        <f t="shared" si="4"/>
        <v>18.099999999999994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35</v>
      </c>
      <c r="B117" s="60">
        <v>305.49230769230769</v>
      </c>
      <c r="C117" s="50">
        <v>3</v>
      </c>
      <c r="D117" s="60">
        <v>70.5</v>
      </c>
      <c r="E117" s="51">
        <v>0.7</v>
      </c>
      <c r="F117" s="51">
        <v>0.16800000000000001</v>
      </c>
      <c r="G117" s="51">
        <v>0.13200000000000001</v>
      </c>
      <c r="H117" s="51">
        <v>0</v>
      </c>
      <c r="I117" s="53">
        <f t="shared" si="4"/>
        <v>18.100000000000001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42</v>
      </c>
      <c r="B118" s="60">
        <v>362.59999999999997</v>
      </c>
      <c r="C118" s="50">
        <v>4</v>
      </c>
      <c r="D118" s="60">
        <v>80.669230769230765</v>
      </c>
      <c r="E118" s="51">
        <v>0.7</v>
      </c>
      <c r="F118" s="51">
        <v>0.16800000000000001</v>
      </c>
      <c r="G118" s="51">
        <v>0.13200000000000001</v>
      </c>
      <c r="H118" s="51">
        <v>0</v>
      </c>
      <c r="I118" s="53">
        <f t="shared" si="4"/>
        <v>18.229670329670324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49</v>
      </c>
      <c r="B119" s="60">
        <v>404.56923076923078</v>
      </c>
      <c r="C119" s="50">
        <v>5</v>
      </c>
      <c r="D119" s="60">
        <v>90.453846153846158</v>
      </c>
      <c r="E119" s="51">
        <v>0.7</v>
      </c>
      <c r="F119" s="51">
        <v>0.16800000000000001</v>
      </c>
      <c r="G119" s="51">
        <v>0.13200000000000001</v>
      </c>
      <c r="H119" s="51">
        <v>0</v>
      </c>
      <c r="I119" s="53">
        <f t="shared" si="4"/>
        <v>17.519780219780223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56</v>
      </c>
      <c r="B120" s="60">
        <v>427.7076923076923</v>
      </c>
      <c r="C120" s="60">
        <v>6</v>
      </c>
      <c r="D120" s="60">
        <v>75.869230769230768</v>
      </c>
      <c r="E120" s="87">
        <v>0.7</v>
      </c>
      <c r="F120" s="87">
        <v>0.16800000000000001</v>
      </c>
      <c r="G120" s="87">
        <v>0.13200000000000001</v>
      </c>
      <c r="H120" s="87">
        <v>0</v>
      </c>
      <c r="I120" s="53">
        <f t="shared" si="4"/>
        <v>16.227472527472521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63</v>
      </c>
      <c r="B121" s="60">
        <v>455.71538461538466</v>
      </c>
      <c r="C121" s="60">
        <v>7</v>
      </c>
      <c r="D121" s="60">
        <v>79.723076923076917</v>
      </c>
      <c r="E121" s="87">
        <v>0.7</v>
      </c>
      <c r="F121" s="87">
        <v>0.16800000000000001</v>
      </c>
      <c r="G121" s="87">
        <v>0.13200000000000001</v>
      </c>
      <c r="H121" s="87">
        <v>0</v>
      </c>
      <c r="I121" s="53">
        <f t="shared" si="4"/>
        <v>14.839560439560453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70</v>
      </c>
      <c r="B122" s="60">
        <v>469.06923076923073</v>
      </c>
      <c r="C122" s="60">
        <v>8</v>
      </c>
      <c r="D122" s="60">
        <v>469.06923076923073</v>
      </c>
      <c r="E122" s="87">
        <v>0.7</v>
      </c>
      <c r="F122" s="87">
        <v>0.16800000000000001</v>
      </c>
      <c r="G122" s="87">
        <v>0.13200000000000001</v>
      </c>
      <c r="H122" s="87">
        <v>0</v>
      </c>
      <c r="I122" s="53">
        <f t="shared" si="4"/>
        <v>13.296703296703283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21</v>
      </c>
      <c r="B136" s="52" t="str">
        <f>IF(B13="","",B13)</f>
        <v/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42</v>
      </c>
      <c r="C138" s="258" t="s">
        <v>43</v>
      </c>
      <c r="D138" s="258"/>
      <c r="E138" s="259" t="s">
        <v>44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22</v>
      </c>
      <c r="B162" s="52" t="str">
        <f>IF(B14="","",B14)</f>
        <v/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42</v>
      </c>
      <c r="C164" s="258" t="s">
        <v>43</v>
      </c>
      <c r="D164" s="258"/>
      <c r="E164" s="259" t="s">
        <v>44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23</v>
      </c>
      <c r="B188" s="52" t="str">
        <f>IF(B15="","",B15)</f>
        <v/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42</v>
      </c>
      <c r="C190" s="258" t="s">
        <v>43</v>
      </c>
      <c r="D190" s="258"/>
      <c r="E190" s="259" t="s">
        <v>44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24</v>
      </c>
      <c r="B214" s="52" t="str">
        <f>IF(B16="","",B16)</f>
        <v/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42</v>
      </c>
      <c r="C216" s="258" t="s">
        <v>43</v>
      </c>
      <c r="D216" s="258"/>
      <c r="E216" s="259" t="s">
        <v>44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25</v>
      </c>
      <c r="B240" s="52" t="str">
        <f>IF(B17="","",B17)</f>
        <v/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42</v>
      </c>
      <c r="C242" s="258" t="s">
        <v>43</v>
      </c>
      <c r="D242" s="258"/>
      <c r="E242" s="259" t="s">
        <v>44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26</v>
      </c>
      <c r="B266" s="52" t="str">
        <f>IF(B18="","",B18)</f>
        <v/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42</v>
      </c>
      <c r="C268" s="258" t="s">
        <v>43</v>
      </c>
      <c r="D268" s="258"/>
      <c r="E268" s="259" t="s">
        <v>44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E14" sqref="E14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1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Douglas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49</v>
      </c>
      <c r="X2" s="7" t="s">
        <v>50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49</v>
      </c>
      <c r="AS2" s="7" t="s">
        <v>50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49</v>
      </c>
      <c r="BN2" s="7" t="s">
        <v>50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49</v>
      </c>
      <c r="CI2" s="7" t="s">
        <v>50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49</v>
      </c>
      <c r="DD2" s="7" t="s">
        <v>50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49</v>
      </c>
      <c r="DY2" s="7" t="s">
        <v>50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49</v>
      </c>
      <c r="ET2" s="7" t="s">
        <v>50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49</v>
      </c>
      <c r="FO2" s="7" t="s">
        <v>50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49</v>
      </c>
      <c r="GJ2" s="7" t="s">
        <v>50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49</v>
      </c>
      <c r="HE2" s="7" t="s">
        <v>50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190.74210845597287</v>
      </c>
      <c r="T3" s="59">
        <f>IF('Données projet'!E9&gt;30,$R$33-$H$33,LOOKUP('Données projet'!$E$9,$A$3:$A$203,R3:R203)-LOOKUP('Données projet'!$E$9,$A$3:$A$203,$H$3:$H$203))</f>
        <v>131.88015896015884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278.5296012747549</v>
      </c>
      <c r="AO3" s="59">
        <f>IF('Données projet'!E10&gt;30,$AM$33-$H$33,LOOKUP('Données projet'!$E$10,$A$3:$A$203,AM3:AM203)-LOOKUP('Données projet'!$E$10,$A$3:$A$203,$H$3:$H$203))</f>
        <v>370.55343097937077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111.85541298746966</v>
      </c>
      <c r="BJ3" s="59">
        <f>IF('Données projet'!E11&gt;30,$BH$33-$H$33,LOOKUP('Données projet'!$E$11,$A$3:$A$203,BH3:BH203)-LOOKUP('Données projet'!$E$11,$A$3:$A$203,$H$3:$H$203))</f>
        <v>27.56942482401746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253.62423410951334</v>
      </c>
      <c r="CE3" s="59">
        <f>IF('Données projet'!E12&gt;30,$CC$33-$H$33,LOOKUP('Données projet'!$E$12,$A$3:$A$203,CC3:CC203)-LOOKUP('Données projet'!$E$12,$A$3:$A$203,$H$3:$H$203))</f>
        <v>230.93438491511529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5.2912820512820513</v>
      </c>
      <c r="N4" s="13">
        <f>IF('Données projet'!$A$36&gt;35,N3+M4-V3,IF(A4&lt;'Données projet'!$A$36,$K$205^A4,IF(A4='Données projet'!$A$36,'Données projet'!$B$36,N3+M4-V3)))</f>
        <v>1.1840119133911551</v>
      </c>
      <c r="O4" s="13">
        <f>N4*VLOOKUP('Données projet'!$B$9,Paramètres!$A$1:$I$89,3,0)*VLOOKUP('Données projet'!$B$9,Paramètres!$A$1:$I$89,5,0)</f>
        <v>0.55411757546706064</v>
      </c>
      <c r="P4" s="13">
        <f>EXP(-1.0587+0.8836*LN(O4)+0.284)</f>
        <v>0.27352607028546766</v>
      </c>
      <c r="Q4" s="20">
        <f t="shared" ref="Q4:Q34" si="2">(O4+P4)*0.475*44/12</f>
        <v>1.4414793496856533</v>
      </c>
      <c r="R4" s="59">
        <f t="shared" si="0"/>
        <v>294.77481268301898</v>
      </c>
      <c r="S4" s="59">
        <f ca="1">AVERAGE(OFFSET($R$3,0,0,'Données projet'!$E$9+1,1))-AVERAGE(OFFSET($H$3,0,0,'Données projet'!$E$9+1,1))</f>
        <v>190.74210845597287</v>
      </c>
      <c r="T4" s="59">
        <f>$T$3</f>
        <v>131.88015896015884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10.16068376068376</v>
      </c>
      <c r="AI4" s="13">
        <f>IF('Données projet'!$A$62&gt;35,AI3+AH4-AQ3,IF(A4&lt;'Données projet'!$A$62,$AF$205^A4,IF(A4='Données projet'!$A$62,'Données projet'!$B$62,AI3+AH4-AQ3)))</f>
        <v>1.3356034260773062</v>
      </c>
      <c r="AJ4" s="13">
        <f>AI4*VLOOKUP('Données projet'!$B$10,Paramètres!$A$1:$I$89,3,0)*VLOOKUP('Données projet'!$B$10,Paramètres!$A$1:$I$89,5,0)</f>
        <v>0.7466023151772142</v>
      </c>
      <c r="AK4" s="13">
        <f>EXP(-1.0587+0.8836*LN(AJ4)+0.284)</f>
        <v>0.35597032812689977</v>
      </c>
      <c r="AL4" s="20">
        <f t="shared" ref="AL4:AL67" si="4">(AJ4+AK4)*0.475*44/12</f>
        <v>1.9203140204213316</v>
      </c>
      <c r="AM4" s="59">
        <f t="shared" ref="AM4:AM67" si="5">AL4+(AD4+AE4)*44/12</f>
        <v>295.25364735375467</v>
      </c>
      <c r="AN4" s="59">
        <f ca="1">AVERAGE(OFFSET($AM$3,0,0,'Données projet'!$E$10+1,1))-AVERAGE(OFFSET($H$3,0,0,'Données projet'!$E$10+1,1))</f>
        <v>278.5296012747549</v>
      </c>
      <c r="AO4" s="59">
        <f>$AO$3</f>
        <v>370.55343097937077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1.9038461538461537</v>
      </c>
      <c r="BD4" s="12">
        <f>IF('Données projet'!$A$88&gt;35,BD3+BC4-BL3,IF(A4&lt;'Données projet'!$A$88,$BA$205^A4,IF(A4='Données projet'!$A$88,'Données projet'!$B$88,BD3+BC4-BL3)))</f>
        <v>1.1443488482713908</v>
      </c>
      <c r="BE4" s="13">
        <f>BD4*VLOOKUP('Données projet'!$B$11,Paramètres!$A$1:$I$89,3,0)*VLOOKUP('Données projet'!$B$11,Paramètres!$A$1:$I$89,5,0)</f>
        <v>0.53555526099101092</v>
      </c>
      <c r="BF4" s="13">
        <f>EXP(-1.0587+0.8836*LN(BE4)+0.284)</f>
        <v>0.26541382169941813</v>
      </c>
      <c r="BG4" s="20">
        <f t="shared" ref="BG4:BG67" si="7">(BE4+BF4)*0.475*44/12</f>
        <v>1.3950211523524969</v>
      </c>
      <c r="BH4" s="59">
        <f t="shared" ref="BH4:BH67" si="8">BG4+(AY4+AZ4)*44/12</f>
        <v>294.72835448568583</v>
      </c>
      <c r="BI4" s="59">
        <f ca="1">AVERAGE(OFFSET($BH$3,0,0,'Données projet'!$E$11+1,1))-AVERAGE(OFFSET($H$3,0,0,'Données projet'!$E$11+1,1))</f>
        <v>111.85541298746966</v>
      </c>
      <c r="BJ4" s="59">
        <f>$BJ$3</f>
        <v>27.56942482401746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8.5743589743589741</v>
      </c>
      <c r="BY4" s="12">
        <f>IF('Données projet'!$A$114&gt;35,BY3+BX4-CG3,IF(A4&lt;'Données projet'!$A$114,$BV$205^A4,IF(A4='Données projet'!$A$114,'Données projet'!$B$114,BY3+BX4-CG3)))</f>
        <v>1.2805631431945952</v>
      </c>
      <c r="BZ4" s="13">
        <f>BY4*VLOOKUP('Données projet'!$B$12,Paramètres!$A$1:$I$89,3,0)*VLOOKUP('Données projet'!$B$12,Paramètres!$A$1:$I$89,5,0)</f>
        <v>0.71583479704577868</v>
      </c>
      <c r="CA4" s="13">
        <f>EXP(-1.0587+0.8836*LN(BZ4)+0.284)</f>
        <v>0.34297673370795467</v>
      </c>
      <c r="CB4" s="20">
        <f t="shared" ref="CB4:CB67" si="10">(BZ4+CA4)*0.475*44/12</f>
        <v>1.8440967493960854</v>
      </c>
      <c r="CC4" s="59">
        <f t="shared" ref="CC4:CC67" si="11">CB4+(BT4+BU4)*44/12</f>
        <v>295.17743008272942</v>
      </c>
      <c r="CD4" s="59">
        <f ca="1">AVERAGE(OFFSET($CC$3,0,0,'Données projet'!$E$12+1,1))-AVERAGE(OFFSET($H$3,0,0,'Données projet'!$E$12+1,1))</f>
        <v>253.62423410951334</v>
      </c>
      <c r="CE4" s="59">
        <f>$CE$3</f>
        <v>230.93438491511529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5.2912820512820513</v>
      </c>
      <c r="N5" s="13">
        <f>IF('Données projet'!$A$36&gt;35,N4+M5-V4,IF(A5&lt;'Données projet'!$A$36,$K$205^A5,IF(A5='Données projet'!$A$36,'Données projet'!$B$36,N4+M5-V4)))</f>
        <v>1.4018842110521841</v>
      </c>
      <c r="O5" s="13">
        <f>N5*VLOOKUP('Données projet'!$B$9,Paramètres!$A$1:$I$89,3,0)*VLOOKUP('Données projet'!$B$9,Paramètres!$A$1:$I$89,5,0)</f>
        <v>0.65608181077242211</v>
      </c>
      <c r="P5" s="13">
        <f t="shared" ref="P5:P68" si="33">EXP(-1.0587+0.8836*LN(O5)+0.284)</f>
        <v>0.31755294992125549</v>
      </c>
      <c r="Q5" s="20">
        <f t="shared" si="2"/>
        <v>1.6957472082081553</v>
      </c>
      <c r="R5" s="59">
        <f t="shared" si="0"/>
        <v>295.02908054154148</v>
      </c>
      <c r="S5" s="59">
        <f ca="1">AVERAGE(OFFSET($R$3,0,0,'Données projet'!$E$9+1,1))-AVERAGE(OFFSET($H$3,0,0,'Données projet'!$E$9+1,1))</f>
        <v>190.74210845597287</v>
      </c>
      <c r="T5" s="59">
        <f t="shared" ref="T5:T68" si="34">$T$3</f>
        <v>131.88015896015884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10.16068376068376</v>
      </c>
      <c r="AI5" s="13">
        <f>IF('Données projet'!$A$62&gt;35,AI4+AH5-AQ4,IF(A5&lt;'Données projet'!$A$62,$AF$205^A5,IF(A5='Données projet'!$A$62,'Données projet'!$B$62,AI4+AH5-AQ4)))</f>
        <v>1.7838365117494384</v>
      </c>
      <c r="AJ5" s="13">
        <f>AI5*VLOOKUP('Données projet'!$B$10,Paramètres!$A$1:$I$89,3,0)*VLOOKUP('Données projet'!$B$10,Paramètres!$A$1:$I$89,5,0)</f>
        <v>0.99716461006793611</v>
      </c>
      <c r="AK5" s="13">
        <f t="shared" ref="AK5:AK68" si="35">EXP(-1.0587+0.8836*LN(AJ5)+0.284)</f>
        <v>0.4596872513511342</v>
      </c>
      <c r="AL5" s="20">
        <f t="shared" si="4"/>
        <v>2.5373503253048804</v>
      </c>
      <c r="AM5" s="59">
        <f t="shared" si="5"/>
        <v>295.8706836586382</v>
      </c>
      <c r="AN5" s="59">
        <f ca="1">AVERAGE(OFFSET($AM$3,0,0,'Données projet'!$E$10+1,1))-AVERAGE(OFFSET($H$3,0,0,'Données projet'!$E$10+1,1))</f>
        <v>278.5296012747549</v>
      </c>
      <c r="AO5" s="59">
        <f t="shared" ref="AO5:AO68" si="36">$AO$3</f>
        <v>370.55343097937077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1.9038461538461537</v>
      </c>
      <c r="BD5" s="12">
        <f>IF('Données projet'!$A$88&gt;35,BD4+BC5-BL4,IF(A5&lt;'Données projet'!$A$88,$BA$205^A5,IF(A5='Données projet'!$A$88,'Données projet'!$B$88,BD4+BC5-BL4)))</f>
        <v>1.3095342865400588</v>
      </c>
      <c r="BE5" s="13">
        <f>BD5*VLOOKUP('Données projet'!$B$11,Paramètres!$A$1:$I$89,3,0)*VLOOKUP('Données projet'!$B$11,Paramètres!$A$1:$I$89,5,0)</f>
        <v>0.61286204610074746</v>
      </c>
      <c r="BF5" s="13">
        <f t="shared" ref="BF5:BF68" si="37">EXP(-1.0587+0.8836*LN(BE5)+0.284)</f>
        <v>0.29899626983106842</v>
      </c>
      <c r="BG5" s="20">
        <f t="shared" si="7"/>
        <v>1.5881532335812458</v>
      </c>
      <c r="BH5" s="59">
        <f t="shared" si="8"/>
        <v>294.92148656691455</v>
      </c>
      <c r="BI5" s="59">
        <f ca="1">AVERAGE(OFFSET($BH$3,0,0,'Données projet'!$E$11+1,1))-AVERAGE(OFFSET($H$3,0,0,'Données projet'!$E$11+1,1))</f>
        <v>111.85541298746966</v>
      </c>
      <c r="BJ5" s="59">
        <f t="shared" ref="BJ5:BJ68" si="38">$BJ$3</f>
        <v>27.56942482401746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8.5743589743589741</v>
      </c>
      <c r="BY5" s="12">
        <f>IF('Données projet'!$A$114&gt;35,BY4+BX5-CG4,IF(A5&lt;'Données projet'!$A$114,$BV$205^A5,IF(A5='Données projet'!$A$114,'Données projet'!$B$114,BY4+BX5-CG4)))</f>
        <v>1.6398419637084214</v>
      </c>
      <c r="BZ5" s="13">
        <f>BY5*VLOOKUP('Données projet'!$B$12,Paramètres!$A$1:$I$89,3,0)*VLOOKUP('Données projet'!$B$12,Paramètres!$A$1:$I$89,5,0)</f>
        <v>0.91667165771300751</v>
      </c>
      <c r="CA5" s="13">
        <f t="shared" ref="CA5:CA68" si="39">EXP(-1.0587+0.8836*LN(BZ5)+0.284)</f>
        <v>0.42674081455780177</v>
      </c>
      <c r="CB5" s="20">
        <f t="shared" si="10"/>
        <v>2.3397767225383261</v>
      </c>
      <c r="CC5" s="59">
        <f t="shared" si="11"/>
        <v>295.67311005587163</v>
      </c>
      <c r="CD5" s="59">
        <f ca="1">AVERAGE(OFFSET($CC$3,0,0,'Données projet'!$E$12+1,1))-AVERAGE(OFFSET($H$3,0,0,'Données projet'!$E$12+1,1))</f>
        <v>253.62423410951334</v>
      </c>
      <c r="CE5" s="59">
        <f t="shared" ref="CE5:CE68" si="40">$CE$3</f>
        <v>230.93438491511529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5.2912820512820513</v>
      </c>
      <c r="N6" s="13">
        <f>IF('Données projet'!$A$36&gt;35,N5+M6-V5,IF(A6&lt;'Données projet'!$A$36,$K$205^A6,IF(A6='Données projet'!$A$36,'Données projet'!$B$36,N5+M6-V5)))</f>
        <v>1.6598476070807464</v>
      </c>
      <c r="O6" s="13">
        <f>N6*VLOOKUP('Données projet'!$B$9,Paramètres!$A$1:$I$89,3,0)*VLOOKUP('Données projet'!$B$9,Paramètres!$A$1:$I$89,5,0)</f>
        <v>0.77680868011378923</v>
      </c>
      <c r="P6" s="13">
        <f t="shared" si="33"/>
        <v>0.36866641595972582</v>
      </c>
      <c r="Q6" s="20">
        <f t="shared" si="2"/>
        <v>1.9950357923280386</v>
      </c>
      <c r="R6" s="59">
        <f t="shared" si="0"/>
        <v>295.32836912566137</v>
      </c>
      <c r="S6" s="59">
        <f ca="1">AVERAGE(OFFSET($R$3,0,0,'Données projet'!$E$9+1,1))-AVERAGE(OFFSET($H$3,0,0,'Données projet'!$E$9+1,1))</f>
        <v>190.74210845597287</v>
      </c>
      <c r="T6" s="59">
        <f t="shared" si="34"/>
        <v>131.88015896015884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10.16068376068376</v>
      </c>
      <c r="AI6" s="13">
        <f>IF('Données projet'!$A$62&gt;35,AI5+AH6-AQ5,IF(A6&lt;'Données projet'!$A$62,$AF$205^A6,IF(A6='Données projet'!$A$62,'Données projet'!$B$62,AI5+AH6-AQ5)))</f>
        <v>2.3824981566543406</v>
      </c>
      <c r="AJ6" s="13">
        <f>AI6*VLOOKUP('Données projet'!$B$10,Paramètres!$A$1:$I$89,3,0)*VLOOKUP('Données projet'!$B$10,Paramètres!$A$1:$I$89,5,0)</f>
        <v>1.3318164695697763</v>
      </c>
      <c r="AK6" s="13">
        <f t="shared" si="35"/>
        <v>0.59362354768914927</v>
      </c>
      <c r="AL6" s="20">
        <f t="shared" si="4"/>
        <v>3.3534746967259621</v>
      </c>
      <c r="AM6" s="59">
        <f t="shared" si="5"/>
        <v>296.6868080300593</v>
      </c>
      <c r="AN6" s="59">
        <f ca="1">AVERAGE(OFFSET($AM$3,0,0,'Données projet'!$E$10+1,1))-AVERAGE(OFFSET($H$3,0,0,'Données projet'!$E$10+1,1))</f>
        <v>278.5296012747549</v>
      </c>
      <c r="AO6" s="59">
        <f t="shared" si="36"/>
        <v>370.55343097937077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1.9038461538461537</v>
      </c>
      <c r="BD6" s="12">
        <f>IF('Données projet'!$A$88&gt;35,BD5+BC6-BL5,IF(A6&lt;'Données projet'!$A$88,$BA$205^A6,IF(A6='Données projet'!$A$88,'Données projet'!$B$88,BD5+BC6-BL5)))</f>
        <v>1.4985640525740138</v>
      </c>
      <c r="BE6" s="13">
        <f>BD6*VLOOKUP('Données projet'!$B$11,Paramètres!$A$1:$I$89,3,0)*VLOOKUP('Données projet'!$B$11,Paramètres!$A$1:$I$89,5,0)</f>
        <v>0.70132797660463841</v>
      </c>
      <c r="BF6" s="13">
        <f t="shared" si="37"/>
        <v>0.33682785922934122</v>
      </c>
      <c r="BG6" s="20">
        <f t="shared" si="7"/>
        <v>1.8081214140775144</v>
      </c>
      <c r="BH6" s="59">
        <f t="shared" si="8"/>
        <v>295.14145474741082</v>
      </c>
      <c r="BI6" s="59">
        <f ca="1">AVERAGE(OFFSET($BH$3,0,0,'Données projet'!$E$11+1,1))-AVERAGE(OFFSET($H$3,0,0,'Données projet'!$E$11+1,1))</f>
        <v>111.85541298746966</v>
      </c>
      <c r="BJ6" s="59">
        <f t="shared" si="38"/>
        <v>27.56942482401746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8.5743589743589741</v>
      </c>
      <c r="BY6" s="12">
        <f>IF('Données projet'!$A$114&gt;35,BY5+BX6-CG5,IF(A6&lt;'Données projet'!$A$114,$BV$205^A6,IF(A6='Données projet'!$A$114,'Données projet'!$B$114,BY5+BX6-CG5)))</f>
        <v>2.0999211793888533</v>
      </c>
      <c r="BZ6" s="13">
        <f>BY6*VLOOKUP('Données projet'!$B$12,Paramètres!$A$1:$I$89,3,0)*VLOOKUP('Données projet'!$B$12,Paramètres!$A$1:$I$89,5,0)</f>
        <v>1.173855939278369</v>
      </c>
      <c r="CA6" s="13">
        <f t="shared" si="39"/>
        <v>0.53096232167316981</v>
      </c>
      <c r="CB6" s="20">
        <f t="shared" si="10"/>
        <v>2.9692251378239298</v>
      </c>
      <c r="CC6" s="59">
        <f t="shared" si="11"/>
        <v>296.30255847115723</v>
      </c>
      <c r="CD6" s="59">
        <f ca="1">AVERAGE(OFFSET($CC$3,0,0,'Données projet'!$E$12+1,1))-AVERAGE(OFFSET($H$3,0,0,'Données projet'!$E$12+1,1))</f>
        <v>253.62423410951334</v>
      </c>
      <c r="CE6" s="59">
        <f t="shared" si="40"/>
        <v>230.93438491511529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5.2912820512820513</v>
      </c>
      <c r="N7" s="13">
        <f>IF('Données projet'!$A$36&gt;35,N6+M7-V6,IF(A7&lt;'Données projet'!$A$36,$K$205^A7,IF(A7='Données projet'!$A$36,'Données projet'!$B$36,N6+M7-V6)))</f>
        <v>1.9652793411974046</v>
      </c>
      <c r="O7" s="13">
        <f>N7*VLOOKUP('Données projet'!$B$9,Paramètres!$A$1:$I$89,3,0)*VLOOKUP('Données projet'!$B$9,Paramètres!$A$1:$I$89,5,0)</f>
        <v>0.91975073168038535</v>
      </c>
      <c r="P7" s="13">
        <f t="shared" si="33"/>
        <v>0.42800712854436657</v>
      </c>
      <c r="Q7" s="20">
        <f t="shared" si="2"/>
        <v>2.347344939891443</v>
      </c>
      <c r="R7" s="59">
        <f t="shared" si="0"/>
        <v>295.68067827322477</v>
      </c>
      <c r="S7" s="59">
        <f ca="1">AVERAGE(OFFSET($R$3,0,0,'Données projet'!$E$9+1,1))-AVERAGE(OFFSET($H$3,0,0,'Données projet'!$E$9+1,1))</f>
        <v>190.74210845597287</v>
      </c>
      <c r="T7" s="59">
        <f t="shared" si="34"/>
        <v>131.88015896015884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10.16068376068376</v>
      </c>
      <c r="AI7" s="13">
        <f>IF('Données projet'!$A$62&gt;35,AI6+AH7-AQ6,IF(A7&lt;'Données projet'!$A$62,$AF$205^A7,IF(A7='Données projet'!$A$62,'Données projet'!$B$62,AI6+AH7-AQ6)))</f>
        <v>3.1820727006504042</v>
      </c>
      <c r="AJ7" s="13">
        <f>AI7*VLOOKUP('Données projet'!$B$10,Paramètres!$A$1:$I$89,3,0)*VLOOKUP('Données projet'!$B$10,Paramètres!$A$1:$I$89,5,0)</f>
        <v>1.7787786396635761</v>
      </c>
      <c r="AK7" s="13">
        <f t="shared" si="35"/>
        <v>0.76658405325641277</v>
      </c>
      <c r="AL7" s="20">
        <f t="shared" si="4"/>
        <v>4.4331733568356464</v>
      </c>
      <c r="AM7" s="59">
        <f t="shared" si="5"/>
        <v>297.76650669016897</v>
      </c>
      <c r="AN7" s="59">
        <f ca="1">AVERAGE(OFFSET($AM$3,0,0,'Données projet'!$E$10+1,1))-AVERAGE(OFFSET($H$3,0,0,'Données projet'!$E$10+1,1))</f>
        <v>278.5296012747549</v>
      </c>
      <c r="AO7" s="59">
        <f t="shared" si="36"/>
        <v>370.55343097937077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1.9038461538461537</v>
      </c>
      <c r="BD7" s="12">
        <f>IF('Données projet'!$A$88&gt;35,BD6+BC7-BL6,IF(A7&lt;'Données projet'!$A$88,$BA$205^A7,IF(A7='Données projet'!$A$88,'Données projet'!$B$88,BD6+BC7-BL6)))</f>
        <v>1.7148800476239807</v>
      </c>
      <c r="BE7" s="13">
        <f>BD7*VLOOKUP('Données projet'!$B$11,Paramètres!$A$1:$I$89,3,0)*VLOOKUP('Données projet'!$B$11,Paramètres!$A$1:$I$89,5,0)</f>
        <v>0.80256386228802301</v>
      </c>
      <c r="BF7" s="13">
        <f t="shared" si="37"/>
        <v>0.37944622793161059</v>
      </c>
      <c r="BG7" s="20">
        <f t="shared" si="7"/>
        <v>2.0586675737991951</v>
      </c>
      <c r="BH7" s="59">
        <f t="shared" si="8"/>
        <v>295.39200090713251</v>
      </c>
      <c r="BI7" s="59">
        <f ca="1">AVERAGE(OFFSET($BH$3,0,0,'Données projet'!$E$11+1,1))-AVERAGE(OFFSET($H$3,0,0,'Données projet'!$E$11+1,1))</f>
        <v>111.85541298746966</v>
      </c>
      <c r="BJ7" s="59">
        <f t="shared" si="38"/>
        <v>27.56942482401746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8.5743589743589741</v>
      </c>
      <c r="BY7" s="12">
        <f>IF('Données projet'!$A$114&gt;35,BY6+BX7-CG6,IF(A7&lt;'Données projet'!$A$114,$BV$205^A7,IF(A7='Données projet'!$A$114,'Données projet'!$B$114,BY6+BX7-CG6)))</f>
        <v>2.6890816659390917</v>
      </c>
      <c r="BZ7" s="13">
        <f>BY7*VLOOKUP('Données projet'!$B$12,Paramètres!$A$1:$I$89,3,0)*VLOOKUP('Données projet'!$B$12,Paramètres!$A$1:$I$89,5,0)</f>
        <v>1.5031966512599522</v>
      </c>
      <c r="CA7" s="13">
        <f t="shared" si="39"/>
        <v>0.66063750505958863</v>
      </c>
      <c r="CB7" s="20">
        <f t="shared" si="10"/>
        <v>3.7686778222565338</v>
      </c>
      <c r="CC7" s="59">
        <f t="shared" si="11"/>
        <v>297.10201115558982</v>
      </c>
      <c r="CD7" s="59">
        <f ca="1">AVERAGE(OFFSET($CC$3,0,0,'Données projet'!$E$12+1,1))-AVERAGE(OFFSET($H$3,0,0,'Données projet'!$E$12+1,1))</f>
        <v>253.62423410951334</v>
      </c>
      <c r="CE7" s="59">
        <f t="shared" si="40"/>
        <v>230.93438491511529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5.2912820512820513</v>
      </c>
      <c r="N8" s="13">
        <f>IF('Données projet'!$A$36&gt;35,N7+M8-V7,IF(A8&lt;'Données projet'!$A$36,$K$205^A8,IF(A8='Données projet'!$A$36,'Données projet'!$B$36,N7+M8-V7)))</f>
        <v>2.3269141531192479</v>
      </c>
      <c r="O8" s="13">
        <f>N8*VLOOKUP('Données projet'!$B$9,Paramètres!$A$1:$I$89,3,0)*VLOOKUP('Données projet'!$B$9,Paramètres!$A$1:$I$89,5,0)</f>
        <v>1.0889958236598081</v>
      </c>
      <c r="P8" s="13">
        <f t="shared" si="33"/>
        <v>0.49689934898980909</v>
      </c>
      <c r="Q8" s="20">
        <f t="shared" si="2"/>
        <v>2.7621007590314162</v>
      </c>
      <c r="R8" s="59">
        <f t="shared" si="0"/>
        <v>296.09543409236471</v>
      </c>
      <c r="S8" s="59">
        <f ca="1">AVERAGE(OFFSET($R$3,0,0,'Données projet'!$E$9+1,1))-AVERAGE(OFFSET($H$3,0,0,'Données projet'!$E$9+1,1))</f>
        <v>190.74210845597287</v>
      </c>
      <c r="T8" s="59">
        <f t="shared" si="34"/>
        <v>131.88015896015884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10.16068376068376</v>
      </c>
      <c r="AI8" s="13">
        <f>IF('Données projet'!$A$62&gt;35,AI7+AH8-AQ7,IF(A8&lt;'Données projet'!$A$62,$AF$205^A8,IF(A8='Données projet'!$A$62,'Données projet'!$B$62,AI7+AH8-AQ7)))</f>
        <v>4.2499872010157462</v>
      </c>
      <c r="AJ8" s="13">
        <f>AI8*VLOOKUP('Données projet'!$B$10,Paramètres!$A$1:$I$89,3,0)*VLOOKUP('Données projet'!$B$10,Paramètres!$A$1:$I$89,5,0)</f>
        <v>2.3757428453678022</v>
      </c>
      <c r="AK8" s="13">
        <f t="shared" si="35"/>
        <v>0.98993901605593615</v>
      </c>
      <c r="AL8" s="20">
        <f t="shared" si="4"/>
        <v>5.8618959086463436</v>
      </c>
      <c r="AM8" s="59">
        <f t="shared" si="5"/>
        <v>299.19522924197963</v>
      </c>
      <c r="AN8" s="59">
        <f ca="1">AVERAGE(OFFSET($AM$3,0,0,'Données projet'!$E$10+1,1))-AVERAGE(OFFSET($H$3,0,0,'Données projet'!$E$10+1,1))</f>
        <v>278.5296012747549</v>
      </c>
      <c r="AO8" s="59">
        <f t="shared" si="36"/>
        <v>370.55343097937077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1.9038461538461537</v>
      </c>
      <c r="BD8" s="12">
        <f>IF('Données projet'!$A$88&gt;35,BD7+BC8-BL7,IF(A8&lt;'Données projet'!$A$88,$BA$205^A8,IF(A8='Données projet'!$A$88,'Données projet'!$B$88,BD7+BC8-BL7)))</f>
        <v>1.9624210074220902</v>
      </c>
      <c r="BE8" s="13">
        <f>BD8*VLOOKUP('Données projet'!$B$11,Paramètres!$A$1:$I$89,3,0)*VLOOKUP('Données projet'!$B$11,Paramètres!$A$1:$I$89,5,0)</f>
        <v>0.91841303147353814</v>
      </c>
      <c r="BF8" s="13">
        <f t="shared" si="37"/>
        <v>0.42745704058135581</v>
      </c>
      <c r="BG8" s="20">
        <f t="shared" si="7"/>
        <v>2.3440570421622735</v>
      </c>
      <c r="BH8" s="59">
        <f t="shared" si="8"/>
        <v>295.67739037549558</v>
      </c>
      <c r="BI8" s="59">
        <f ca="1">AVERAGE(OFFSET($BH$3,0,0,'Données projet'!$E$11+1,1))-AVERAGE(OFFSET($H$3,0,0,'Données projet'!$E$11+1,1))</f>
        <v>111.85541298746966</v>
      </c>
      <c r="BJ8" s="59">
        <f t="shared" si="38"/>
        <v>27.56942482401746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8.5743589743589741</v>
      </c>
      <c r="BY8" s="12">
        <f>IF('Données projet'!$A$114&gt;35,BY7+BX8-CG7,IF(A8&lt;'Données projet'!$A$114,$BV$205^A8,IF(A8='Données projet'!$A$114,'Données projet'!$B$114,BY7+BX8-CG7)))</f>
        <v>3.4435388704419219</v>
      </c>
      <c r="BZ8" s="13">
        <f>BY8*VLOOKUP('Données projet'!$B$12,Paramètres!$A$1:$I$89,3,0)*VLOOKUP('Données projet'!$B$12,Paramètres!$A$1:$I$89,5,0)</f>
        <v>1.9249382285770344</v>
      </c>
      <c r="CA8" s="13">
        <f t="shared" si="39"/>
        <v>0.8219828324466435</v>
      </c>
      <c r="CB8" s="20">
        <f t="shared" si="10"/>
        <v>4.7842208479495723</v>
      </c>
      <c r="CC8" s="59">
        <f t="shared" si="11"/>
        <v>298.11755418128291</v>
      </c>
      <c r="CD8" s="59">
        <f ca="1">AVERAGE(OFFSET($CC$3,0,0,'Données projet'!$E$12+1,1))-AVERAGE(OFFSET($H$3,0,0,'Données projet'!$E$12+1,1))</f>
        <v>253.62423410951334</v>
      </c>
      <c r="CE8" s="59">
        <f t="shared" si="40"/>
        <v>230.93438491511529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5.2912820512820513</v>
      </c>
      <c r="N9" s="13">
        <f>IF('Données projet'!$A$36&gt;35,N8+M9-V8,IF(A9&lt;'Données projet'!$A$36,$K$205^A9,IF(A9='Données projet'!$A$36,'Données projet'!$B$36,N8+M9-V8)))</f>
        <v>2.7550940787316796</v>
      </c>
      <c r="O9" s="13">
        <f>N9*VLOOKUP('Données projet'!$B$9,Paramètres!$A$1:$I$89,3,0)*VLOOKUP('Données projet'!$B$9,Paramètres!$A$1:$I$89,5,0)</f>
        <v>1.289384028846426</v>
      </c>
      <c r="P9" s="13">
        <f t="shared" si="33"/>
        <v>0.57688049230914107</v>
      </c>
      <c r="Q9" s="20">
        <f t="shared" si="2"/>
        <v>3.2504107076792792</v>
      </c>
      <c r="R9" s="59">
        <f t="shared" si="0"/>
        <v>296.58374404101261</v>
      </c>
      <c r="S9" s="59">
        <f ca="1">AVERAGE(OFFSET($R$3,0,0,'Données projet'!$E$9+1,1))-AVERAGE(OFFSET($H$3,0,0,'Données projet'!$E$9+1,1))</f>
        <v>190.74210845597287</v>
      </c>
      <c r="T9" s="59">
        <f t="shared" si="34"/>
        <v>131.88015896015884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10.16068376068376</v>
      </c>
      <c r="AI9" s="13">
        <f>IF('Données projet'!$A$62&gt;35,AI8+AH9-AQ8,IF(A9&lt;'Données projet'!$A$62,$AF$205^A9,IF(A9='Données projet'!$A$62,'Données projet'!$B$62,AI8+AH9-AQ8)))</f>
        <v>5.6762974664613317</v>
      </c>
      <c r="AJ9" s="13">
        <f>AI9*VLOOKUP('Données projet'!$B$10,Paramètres!$A$1:$I$89,3,0)*VLOOKUP('Données projet'!$B$10,Paramètres!$A$1:$I$89,5,0)</f>
        <v>3.1730502837518846</v>
      </c>
      <c r="AK9" s="13">
        <f t="shared" si="35"/>
        <v>1.27837156453606</v>
      </c>
      <c r="AL9" s="20">
        <f t="shared" si="4"/>
        <v>7.7528930524348363</v>
      </c>
      <c r="AM9" s="59">
        <f t="shared" si="5"/>
        <v>301.08622638576816</v>
      </c>
      <c r="AN9" s="59">
        <f ca="1">AVERAGE(OFFSET($AM$3,0,0,'Données projet'!$E$10+1,1))-AVERAGE(OFFSET($H$3,0,0,'Données projet'!$E$10+1,1))</f>
        <v>278.5296012747549</v>
      </c>
      <c r="AO9" s="59">
        <f t="shared" si="36"/>
        <v>370.55343097937077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1.9038461538461537</v>
      </c>
      <c r="BD9" s="12">
        <f>IF('Données projet'!$A$88&gt;35,BD8+BC9-BL8,IF(A9&lt;'Données projet'!$A$88,$BA$205^A9,IF(A9='Données projet'!$A$88,'Données projet'!$B$88,BD8+BC9-BL8)))</f>
        <v>2.2456942196670515</v>
      </c>
      <c r="BE9" s="13">
        <f>BD9*VLOOKUP('Données projet'!$B$11,Paramètres!$A$1:$I$89,3,0)*VLOOKUP('Données projet'!$B$11,Paramètres!$A$1:$I$89,5,0)</f>
        <v>1.0509848948041802</v>
      </c>
      <c r="BF9" s="13">
        <f t="shared" si="37"/>
        <v>0.48154259574166425</v>
      </c>
      <c r="BG9" s="20">
        <f t="shared" si="7"/>
        <v>2.6691520460340121</v>
      </c>
      <c r="BH9" s="59">
        <f t="shared" si="8"/>
        <v>296.00248537936733</v>
      </c>
      <c r="BI9" s="59">
        <f ca="1">AVERAGE(OFFSET($BH$3,0,0,'Données projet'!$E$11+1,1))-AVERAGE(OFFSET($H$3,0,0,'Données projet'!$E$11+1,1))</f>
        <v>111.85541298746966</v>
      </c>
      <c r="BJ9" s="59">
        <f t="shared" si="38"/>
        <v>27.56942482401746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8.5743589743589741</v>
      </c>
      <c r="BY9" s="12">
        <f>IF('Données projet'!$A$114&gt;35,BY8+BX9-CG8,IF(A9&lt;'Données projet'!$A$114,$BV$205^A9,IF(A9='Données projet'!$A$114,'Données projet'!$B$114,BY8+BX9-CG8)))</f>
        <v>4.4096689596458729</v>
      </c>
      <c r="BZ9" s="13">
        <f>BY9*VLOOKUP('Données projet'!$B$12,Paramètres!$A$1:$I$89,3,0)*VLOOKUP('Données projet'!$B$12,Paramètres!$A$1:$I$89,5,0)</f>
        <v>2.4650049484420431</v>
      </c>
      <c r="CA9" s="13">
        <f t="shared" si="39"/>
        <v>1.0227329990537903</v>
      </c>
      <c r="CB9" s="20">
        <f t="shared" si="10"/>
        <v>6.0744769252219095</v>
      </c>
      <c r="CC9" s="59">
        <f t="shared" si="11"/>
        <v>299.40781025855523</v>
      </c>
      <c r="CD9" s="59">
        <f ca="1">AVERAGE(OFFSET($CC$3,0,0,'Données projet'!$E$12+1,1))-AVERAGE(OFFSET($H$3,0,0,'Données projet'!$E$12+1,1))</f>
        <v>253.62423410951334</v>
      </c>
      <c r="CE9" s="59">
        <f t="shared" si="40"/>
        <v>230.93438491511529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5.2912820512820513</v>
      </c>
      <c r="N10" s="13">
        <f>IF('Données projet'!$A$36&gt;35,N9+M10-V9,IF(A10&lt;'Données projet'!$A$36,$K$205^A10,IF(A10='Données projet'!$A$36,'Données projet'!$B$36,N9+M10-V9)))</f>
        <v>3.2620642117317376</v>
      </c>
      <c r="O10" s="13">
        <f>N10*VLOOKUP('Données projet'!$B$9,Paramètres!$A$1:$I$89,3,0)*VLOOKUP('Données projet'!$B$9,Paramètres!$A$1:$I$89,5,0)</f>
        <v>1.5266460510904531</v>
      </c>
      <c r="P10" s="13">
        <f t="shared" si="33"/>
        <v>0.66973543652934475</v>
      </c>
      <c r="Q10" s="20">
        <f t="shared" si="2"/>
        <v>3.825364424271148</v>
      </c>
      <c r="R10" s="59">
        <f t="shared" si="0"/>
        <v>297.15869775760444</v>
      </c>
      <c r="S10" s="59">
        <f ca="1">AVERAGE(OFFSET($R$3,0,0,'Données projet'!$E$9+1,1))-AVERAGE(OFFSET($H$3,0,0,'Données projet'!$E$9+1,1))</f>
        <v>190.74210845597287</v>
      </c>
      <c r="T10" s="59">
        <f t="shared" si="34"/>
        <v>131.88015896015884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10.16068376068376</v>
      </c>
      <c r="AI10" s="13">
        <f>IF('Données projet'!$A$62&gt;35,AI9+AH10-AQ9,IF(A10&lt;'Données projet'!$A$62,$AF$205^A10,IF(A10='Données projet'!$A$62,'Données projet'!$B$62,AI9+AH10-AQ9)))</f>
        <v>7.5812823436396872</v>
      </c>
      <c r="AJ10" s="13">
        <f>AI10*VLOOKUP('Données projet'!$B$10,Paramètres!$A$1:$I$89,3,0)*VLOOKUP('Données projet'!$B$10,Paramètres!$A$1:$I$89,5,0)</f>
        <v>4.2379368300945854</v>
      </c>
      <c r="AK10" s="13">
        <f t="shared" si="35"/>
        <v>1.6508429615446465</v>
      </c>
      <c r="AL10" s="20">
        <f t="shared" si="4"/>
        <v>10.256291470438329</v>
      </c>
      <c r="AM10" s="59">
        <f t="shared" si="5"/>
        <v>303.58962480377164</v>
      </c>
      <c r="AN10" s="59">
        <f ca="1">AVERAGE(OFFSET($AM$3,0,0,'Données projet'!$E$10+1,1))-AVERAGE(OFFSET($H$3,0,0,'Données projet'!$E$10+1,1))</f>
        <v>278.5296012747549</v>
      </c>
      <c r="AO10" s="59">
        <f t="shared" si="36"/>
        <v>370.55343097937077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1.9038461538461537</v>
      </c>
      <c r="BD10" s="12">
        <f>IF('Données projet'!$A$88&gt;35,BD9+BC10-BL9,IF(A10&lt;'Données projet'!$A$88,$BA$205^A10,IF(A10='Données projet'!$A$88,'Données projet'!$B$88,BD9+BC10-BL9)))</f>
        <v>2.5698575938457102</v>
      </c>
      <c r="BE10" s="13">
        <f>BD10*VLOOKUP('Données projet'!$B$11,Paramètres!$A$1:$I$89,3,0)*VLOOKUP('Données projet'!$B$11,Paramètres!$A$1:$I$89,5,0)</f>
        <v>1.2026933539197924</v>
      </c>
      <c r="BF10" s="13">
        <f t="shared" si="37"/>
        <v>0.54247152228034612</v>
      </c>
      <c r="BG10" s="20">
        <f t="shared" si="7"/>
        <v>3.0394954927152416</v>
      </c>
      <c r="BH10" s="59">
        <f t="shared" si="8"/>
        <v>296.37282882604853</v>
      </c>
      <c r="BI10" s="59">
        <f ca="1">AVERAGE(OFFSET($BH$3,0,0,'Données projet'!$E$11+1,1))-AVERAGE(OFFSET($H$3,0,0,'Données projet'!$E$11+1,1))</f>
        <v>111.85541298746966</v>
      </c>
      <c r="BJ10" s="59">
        <f t="shared" si="38"/>
        <v>27.56942482401746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8.5743589743589741</v>
      </c>
      <c r="BY10" s="12">
        <f>IF('Données projet'!$A$114&gt;35,BY9+BX10-CG9,IF(A10&lt;'Données projet'!$A$114,$BV$205^A10,IF(A10='Données projet'!$A$114,'Données projet'!$B$114,BY9+BX10-CG9)))</f>
        <v>5.6468595434117601</v>
      </c>
      <c r="BZ10" s="13">
        <f>BY10*VLOOKUP('Données projet'!$B$12,Paramètres!$A$1:$I$89,3,0)*VLOOKUP('Données projet'!$B$12,Paramètres!$A$1:$I$89,5,0)</f>
        <v>3.1565944847671736</v>
      </c>
      <c r="CA10" s="13">
        <f t="shared" si="39"/>
        <v>1.2725117193021875</v>
      </c>
      <c r="CB10" s="20">
        <f t="shared" si="10"/>
        <v>7.7140266387541381</v>
      </c>
      <c r="CC10" s="59">
        <f t="shared" si="11"/>
        <v>301.04735997208746</v>
      </c>
      <c r="CD10" s="59">
        <f ca="1">AVERAGE(OFFSET($CC$3,0,0,'Données projet'!$E$12+1,1))-AVERAGE(OFFSET($H$3,0,0,'Données projet'!$E$12+1,1))</f>
        <v>253.62423410951334</v>
      </c>
      <c r="CE10" s="59">
        <f t="shared" si="40"/>
        <v>230.93438491511529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5.2912820512820513</v>
      </c>
      <c r="N11" s="13">
        <f>IF('Données projet'!$A$36&gt;35,N10+M11-V10,IF(A11&lt;'Données projet'!$A$36,$K$205^A11,IF(A11='Données projet'!$A$36,'Données projet'!$B$36,N10+M11-V10)))</f>
        <v>3.8623228889373045</v>
      </c>
      <c r="O11" s="13">
        <f>N11*VLOOKUP('Données projet'!$B$9,Paramètres!$A$1:$I$89,3,0)*VLOOKUP('Données projet'!$B$9,Paramètres!$A$1:$I$89,5,0)</f>
        <v>1.8075671120226584</v>
      </c>
      <c r="P11" s="13">
        <f t="shared" si="33"/>
        <v>0.77753635444962066</v>
      </c>
      <c r="Q11" s="20">
        <f t="shared" si="2"/>
        <v>4.5023885374392192</v>
      </c>
      <c r="R11" s="59">
        <f t="shared" si="0"/>
        <v>297.83572187077255</v>
      </c>
      <c r="S11" s="59">
        <f ca="1">AVERAGE(OFFSET($R$3,0,0,'Données projet'!$E$9+1,1))-AVERAGE(OFFSET($H$3,0,0,'Données projet'!$E$9+1,1))</f>
        <v>190.74210845597287</v>
      </c>
      <c r="T11" s="59">
        <f t="shared" si="34"/>
        <v>131.88015896015884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10.16068376068376</v>
      </c>
      <c r="AI11" s="13">
        <f>IF('Données projet'!$A$62&gt;35,AI10+AH11-AQ10,IF(A11&lt;'Données projet'!$A$62,$AF$205^A11,IF(A11='Données projet'!$A$62,'Données projet'!$B$62,AI10+AH11-AQ10)))</f>
        <v>10.125586672224557</v>
      </c>
      <c r="AJ11" s="13">
        <f>AI11*VLOOKUP('Données projet'!$B$10,Paramètres!$A$1:$I$89,3,0)*VLOOKUP('Données projet'!$B$10,Paramètres!$A$1:$I$89,5,0)</f>
        <v>5.6602029497735273</v>
      </c>
      <c r="AK11" s="13">
        <f t="shared" si="35"/>
        <v>2.1318390984944533</v>
      </c>
      <c r="AL11" s="20">
        <f t="shared" si="4"/>
        <v>13.571139900733398</v>
      </c>
      <c r="AM11" s="59">
        <f t="shared" si="5"/>
        <v>306.9044732340667</v>
      </c>
      <c r="AN11" s="59">
        <f ca="1">AVERAGE(OFFSET($AM$3,0,0,'Données projet'!$E$10+1,1))-AVERAGE(OFFSET($H$3,0,0,'Données projet'!$E$10+1,1))</f>
        <v>278.5296012747549</v>
      </c>
      <c r="AO11" s="59">
        <f t="shared" si="36"/>
        <v>370.55343097937077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1.9038461538461537</v>
      </c>
      <c r="BD11" s="12">
        <f>IF('Données projet'!$A$88&gt;35,BD10+BC11-BL10,IF(A11&lt;'Données projet'!$A$88,$BA$205^A11,IF(A11='Données projet'!$A$88,'Données projet'!$B$88,BD10+BC11-BL10)))</f>
        <v>2.9408135777388265</v>
      </c>
      <c r="BE11" s="13">
        <f>BD11*VLOOKUP('Données projet'!$B$11,Paramètres!$A$1:$I$89,3,0)*VLOOKUP('Données projet'!$B$11,Paramètres!$A$1:$I$89,5,0)</f>
        <v>1.3763007543817707</v>
      </c>
      <c r="BF11" s="13">
        <f t="shared" si="37"/>
        <v>0.61110970262540931</v>
      </c>
      <c r="BG11" s="20">
        <f t="shared" si="7"/>
        <v>3.4614065459541714</v>
      </c>
      <c r="BH11" s="59">
        <f t="shared" si="8"/>
        <v>296.79473987928748</v>
      </c>
      <c r="BI11" s="59">
        <f ca="1">AVERAGE(OFFSET($BH$3,0,0,'Données projet'!$E$11+1,1))-AVERAGE(OFFSET($H$3,0,0,'Données projet'!$E$11+1,1))</f>
        <v>111.85541298746966</v>
      </c>
      <c r="BJ11" s="59">
        <f t="shared" si="38"/>
        <v>27.56942482401746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8.5743589743589741</v>
      </c>
      <c r="BY11" s="12">
        <f>IF('Données projet'!$A$114&gt;35,BY10+BX11-CG10,IF(A11&lt;'Données projet'!$A$114,$BV$205^A11,IF(A11='Données projet'!$A$114,'Données projet'!$B$114,BY10+BX11-CG10)))</f>
        <v>7.2311602060897604</v>
      </c>
      <c r="BZ11" s="13">
        <f>BY11*VLOOKUP('Données projet'!$B$12,Paramètres!$A$1:$I$89,3,0)*VLOOKUP('Données projet'!$B$12,Paramètres!$A$1:$I$89,5,0)</f>
        <v>4.0422185552041761</v>
      </c>
      <c r="CA11" s="13">
        <f t="shared" si="39"/>
        <v>1.5832930757681005</v>
      </c>
      <c r="CB11" s="20">
        <f t="shared" si="10"/>
        <v>9.7977660906100486</v>
      </c>
      <c r="CC11" s="59">
        <f t="shared" si="11"/>
        <v>303.13109942394334</v>
      </c>
      <c r="CD11" s="59">
        <f ca="1">AVERAGE(OFFSET($CC$3,0,0,'Données projet'!$E$12+1,1))-AVERAGE(OFFSET($H$3,0,0,'Données projet'!$E$12+1,1))</f>
        <v>253.62423410951334</v>
      </c>
      <c r="CE11" s="59">
        <f t="shared" si="40"/>
        <v>230.93438491511529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5.2912820512820513</v>
      </c>
      <c r="N12" s="13">
        <f>IF('Données projet'!$A$36&gt;35,N11+M12-V11,IF(A12&lt;'Données projet'!$A$36,$K$205^A12,IF(A12='Données projet'!$A$36,'Données projet'!$B$36,N11+M12-V11)))</f>
        <v>4.5730363138651118</v>
      </c>
      <c r="O12" s="13">
        <f>N12*VLOOKUP('Données projet'!$B$9,Paramètres!$A$1:$I$89,3,0)*VLOOKUP('Données projet'!$B$9,Paramètres!$A$1:$I$89,5,0)</f>
        <v>2.1401809948888726</v>
      </c>
      <c r="P12" s="13">
        <f t="shared" si="33"/>
        <v>0.90268895673749705</v>
      </c>
      <c r="Q12" s="20">
        <f t="shared" si="2"/>
        <v>5.2996651657492606</v>
      </c>
      <c r="R12" s="59">
        <f t="shared" si="0"/>
        <v>298.63299849908259</v>
      </c>
      <c r="S12" s="59">
        <f ca="1">AVERAGE(OFFSET($R$3,0,0,'Données projet'!$E$9+1,1))-AVERAGE(OFFSET($H$3,0,0,'Données projet'!$E$9+1,1))</f>
        <v>190.74210845597287</v>
      </c>
      <c r="T12" s="59">
        <f t="shared" si="34"/>
        <v>131.88015896015884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10.16068376068376</v>
      </c>
      <c r="AI12" s="13">
        <f>IF('Données projet'!$A$62&gt;35,AI11+AH12-AQ11,IF(A12&lt;'Données projet'!$A$62,$AF$205^A12,IF(A12='Données projet'!$A$62,'Données projet'!$B$62,AI11+AH12-AQ11)))</f>
        <v>13.523768250465828</v>
      </c>
      <c r="AJ12" s="13">
        <f>AI12*VLOOKUP('Données projet'!$B$10,Paramètres!$A$1:$I$89,3,0)*VLOOKUP('Données projet'!$B$10,Paramètres!$A$1:$I$89,5,0)</f>
        <v>7.5597864520103979</v>
      </c>
      <c r="AK12" s="13">
        <f t="shared" si="35"/>
        <v>2.7529801730003816</v>
      </c>
      <c r="AL12" s="20">
        <f t="shared" si="4"/>
        <v>17.961401871893774</v>
      </c>
      <c r="AM12" s="59">
        <f t="shared" si="5"/>
        <v>311.29473520522708</v>
      </c>
      <c r="AN12" s="59">
        <f ca="1">AVERAGE(OFFSET($AM$3,0,0,'Données projet'!$E$10+1,1))-AVERAGE(OFFSET($H$3,0,0,'Données projet'!$E$10+1,1))</f>
        <v>278.5296012747549</v>
      </c>
      <c r="AO12" s="59">
        <f t="shared" si="36"/>
        <v>370.55343097937077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1.9038461538461537</v>
      </c>
      <c r="BD12" s="12">
        <f>IF('Données projet'!$A$88&gt;35,BD11+BC12-BL11,IF(A12&lt;'Données projet'!$A$88,$BA$205^A12,IF(A12='Données projet'!$A$88,'Données projet'!$B$88,BD11+BC12-BL11)))</f>
        <v>3.3653166306662943</v>
      </c>
      <c r="BE12" s="13">
        <f>BD12*VLOOKUP('Données projet'!$B$11,Paramètres!$A$1:$I$89,3,0)*VLOOKUP('Données projet'!$B$11,Paramètres!$A$1:$I$89,5,0)</f>
        <v>1.5749681831518256</v>
      </c>
      <c r="BF12" s="13">
        <f t="shared" si="37"/>
        <v>0.68843257812511816</v>
      </c>
      <c r="BG12" s="20">
        <f t="shared" si="7"/>
        <v>3.9420896592240098</v>
      </c>
      <c r="BH12" s="59">
        <f t="shared" si="8"/>
        <v>297.27542299255731</v>
      </c>
      <c r="BI12" s="59">
        <f ca="1">AVERAGE(OFFSET($BH$3,0,0,'Données projet'!$E$11+1,1))-AVERAGE(OFFSET($H$3,0,0,'Données projet'!$E$11+1,1))</f>
        <v>111.85541298746966</v>
      </c>
      <c r="BJ12" s="59">
        <f t="shared" si="38"/>
        <v>27.56942482401746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8.5743589743589741</v>
      </c>
      <c r="BY12" s="12">
        <f>IF('Données projet'!$A$114&gt;35,BY11+BX12-CG11,IF(A12&lt;'Données projet'!$A$114,$BV$205^A12,IF(A12='Données projet'!$A$114,'Données projet'!$B$114,BY11+BX12-CG11)))</f>
        <v>9.2599572424539804</v>
      </c>
      <c r="BZ12" s="13">
        <f>BY12*VLOOKUP('Données projet'!$B$12,Paramètres!$A$1:$I$89,3,0)*VLOOKUP('Données projet'!$B$12,Paramètres!$A$1:$I$89,5,0)</f>
        <v>5.1763160985317747</v>
      </c>
      <c r="CA12" s="13">
        <f t="shared" si="39"/>
        <v>1.969975541875469</v>
      </c>
      <c r="CB12" s="20">
        <f t="shared" si="10"/>
        <v>12.446457940375948</v>
      </c>
      <c r="CC12" s="59">
        <f t="shared" si="11"/>
        <v>305.77979127370924</v>
      </c>
      <c r="CD12" s="59">
        <f ca="1">AVERAGE(OFFSET($CC$3,0,0,'Données projet'!$E$12+1,1))-AVERAGE(OFFSET($H$3,0,0,'Données projet'!$E$12+1,1))</f>
        <v>253.62423410951334</v>
      </c>
      <c r="CE12" s="59">
        <f t="shared" si="40"/>
        <v>230.93438491511529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5.2912820512820513</v>
      </c>
      <c r="N13" s="13">
        <f>IF('Données projet'!$A$36&gt;35,N12+M13-V12,IF(A13&lt;'Données projet'!$A$36,$K$205^A13,IF(A13='Données projet'!$A$36,'Données projet'!$B$36,N12+M13-V12)))</f>
        <v>5.4145294759866651</v>
      </c>
      <c r="O13" s="13">
        <f>N13*VLOOKUP('Données projet'!$B$9,Paramètres!$A$1:$I$89,3,0)*VLOOKUP('Données projet'!$B$9,Paramètres!$A$1:$I$89,5,0)</f>
        <v>2.5339997947617592</v>
      </c>
      <c r="P13" s="13">
        <f t="shared" si="33"/>
        <v>1.0479861783345426</v>
      </c>
      <c r="Q13" s="20">
        <f t="shared" si="2"/>
        <v>6.2386255698093906</v>
      </c>
      <c r="R13" s="59">
        <f t="shared" si="0"/>
        <v>299.57195890314273</v>
      </c>
      <c r="S13" s="59">
        <f ca="1">AVERAGE(OFFSET($R$3,0,0,'Données projet'!$E$9+1,1))-AVERAGE(OFFSET($H$3,0,0,'Données projet'!$E$9+1,1))</f>
        <v>190.74210845597287</v>
      </c>
      <c r="T13" s="59">
        <f t="shared" si="34"/>
        <v>131.88015896015884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10.16068376068376</v>
      </c>
      <c r="AI13" s="13">
        <f>IF('Données projet'!$A$62&gt;35,AI12+AH13-AQ12,IF(A13&lt;'Données projet'!$A$62,$AF$205^A13,IF(A13='Données projet'!$A$62,'Données projet'!$B$62,AI12+AH13-AQ12)))</f>
        <v>18.062391208797656</v>
      </c>
      <c r="AJ13" s="13">
        <f>AI13*VLOOKUP('Données projet'!$B$10,Paramètres!$A$1:$I$89,3,0)*VLOOKUP('Données projet'!$B$10,Paramètres!$A$1:$I$89,5,0)</f>
        <v>10.09687668571789</v>
      </c>
      <c r="AK13" s="13">
        <f t="shared" si="35"/>
        <v>3.5550993685619052</v>
      </c>
      <c r="AL13" s="20">
        <f t="shared" si="4"/>
        <v>23.777191627870639</v>
      </c>
      <c r="AM13" s="59">
        <f t="shared" si="5"/>
        <v>317.11052496120396</v>
      </c>
      <c r="AN13" s="59">
        <f ca="1">AVERAGE(OFFSET($AM$3,0,0,'Données projet'!$E$10+1,1))-AVERAGE(OFFSET($H$3,0,0,'Données projet'!$E$10+1,1))</f>
        <v>278.5296012747549</v>
      </c>
      <c r="AO13" s="59">
        <f t="shared" si="36"/>
        <v>370.55343097937077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1.9038461538461537</v>
      </c>
      <c r="BD13" s="12">
        <f>IF('Données projet'!$A$88&gt;35,BD12+BC13-BL12,IF(A13&lt;'Données projet'!$A$88,$BA$205^A13,IF(A13='Données projet'!$A$88,'Données projet'!$B$88,BD12+BC13-BL12)))</f>
        <v>3.8510962103715318</v>
      </c>
      <c r="BE13" s="13">
        <f>BD13*VLOOKUP('Données projet'!$B$11,Paramètres!$A$1:$I$89,3,0)*VLOOKUP('Données projet'!$B$11,Paramètres!$A$1:$I$89,5,0)</f>
        <v>1.8023130264538767</v>
      </c>
      <c r="BF13" s="13">
        <f t="shared" si="37"/>
        <v>0.77553901138844572</v>
      </c>
      <c r="BG13" s="20">
        <f t="shared" si="7"/>
        <v>4.4897589659087105</v>
      </c>
      <c r="BH13" s="59">
        <f t="shared" si="8"/>
        <v>297.82309229924203</v>
      </c>
      <c r="BI13" s="59">
        <f ca="1">AVERAGE(OFFSET($BH$3,0,0,'Données projet'!$E$11+1,1))-AVERAGE(OFFSET($H$3,0,0,'Données projet'!$E$11+1,1))</f>
        <v>111.85541298746966</v>
      </c>
      <c r="BJ13" s="59">
        <f t="shared" si="38"/>
        <v>27.56942482401746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8.5743589743589741</v>
      </c>
      <c r="BY13" s="12">
        <f>IF('Données projet'!$A$114&gt;35,BY12+BX13-CG12,IF(A13&lt;'Données projet'!$A$114,$BV$205^A13,IF(A13='Données projet'!$A$114,'Données projet'!$B$114,BY12+BX13-CG12)))</f>
        <v>11.857959952244427</v>
      </c>
      <c r="BZ13" s="13">
        <f>BY13*VLOOKUP('Données projet'!$B$12,Paramètres!$A$1:$I$89,3,0)*VLOOKUP('Données projet'!$B$12,Paramètres!$A$1:$I$89,5,0)</f>
        <v>6.6285996133046341</v>
      </c>
      <c r="CA13" s="13">
        <f t="shared" si="39"/>
        <v>2.4510961962647757</v>
      </c>
      <c r="CB13" s="20">
        <f t="shared" si="10"/>
        <v>15.813803535000055</v>
      </c>
      <c r="CC13" s="59">
        <f t="shared" si="11"/>
        <v>309.14713686833335</v>
      </c>
      <c r="CD13" s="59">
        <f ca="1">AVERAGE(OFFSET($CC$3,0,0,'Données projet'!$E$12+1,1))-AVERAGE(OFFSET($H$3,0,0,'Données projet'!$E$12+1,1))</f>
        <v>253.62423410951334</v>
      </c>
      <c r="CE13" s="59">
        <f t="shared" si="40"/>
        <v>230.93438491511529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5.2912820512820513</v>
      </c>
      <c r="N14" s="13">
        <f>IF('Données projet'!$A$36&gt;35,N13+M14-V13,IF(A14&lt;'Données projet'!$A$36,$K$205^A14,IF(A14='Données projet'!$A$36,'Données projet'!$B$36,N13+M14-V13)))</f>
        <v>6.4108674049757806</v>
      </c>
      <c r="O14" s="13">
        <f>N14*VLOOKUP('Données projet'!$B$9,Paramètres!$A$1:$I$89,3,0)*VLOOKUP('Données projet'!$B$9,Paramètres!$A$1:$I$89,5,0)</f>
        <v>3.0002859455286655</v>
      </c>
      <c r="P14" s="13">
        <f t="shared" si="33"/>
        <v>1.2166705062501608</v>
      </c>
      <c r="Q14" s="20">
        <f t="shared" si="2"/>
        <v>7.3445324868481237</v>
      </c>
      <c r="R14" s="59">
        <f t="shared" si="0"/>
        <v>300.67786582018141</v>
      </c>
      <c r="S14" s="59">
        <f ca="1">AVERAGE(OFFSET($R$3,0,0,'Données projet'!$E$9+1,1))-AVERAGE(OFFSET($H$3,0,0,'Données projet'!$E$9+1,1))</f>
        <v>190.74210845597287</v>
      </c>
      <c r="T14" s="59">
        <f t="shared" si="34"/>
        <v>131.88015896015884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10.16068376068376</v>
      </c>
      <c r="AI14" s="13">
        <f>IF('Données projet'!$A$62&gt;35,AI13+AH14-AQ13,IF(A14&lt;'Données projet'!$A$62,$AF$205^A14,IF(A14='Données projet'!$A$62,'Données projet'!$B$62,AI13+AH14-AQ13)))</f>
        <v>24.124191581618767</v>
      </c>
      <c r="AJ14" s="13">
        <f>AI14*VLOOKUP('Données projet'!$B$10,Paramètres!$A$1:$I$89,3,0)*VLOOKUP('Données projet'!$B$10,Paramètres!$A$1:$I$89,5,0)</f>
        <v>13.48542309412489</v>
      </c>
      <c r="AK14" s="13">
        <f t="shared" si="35"/>
        <v>4.5909271865822117</v>
      </c>
      <c r="AL14" s="20">
        <f t="shared" si="4"/>
        <v>31.482976738898202</v>
      </c>
      <c r="AM14" s="59">
        <f t="shared" si="5"/>
        <v>324.81631007223154</v>
      </c>
      <c r="AN14" s="59">
        <f ca="1">AVERAGE(OFFSET($AM$3,0,0,'Données projet'!$E$10+1,1))-AVERAGE(OFFSET($H$3,0,0,'Données projet'!$E$10+1,1))</f>
        <v>278.5296012747549</v>
      </c>
      <c r="AO14" s="59">
        <f t="shared" si="36"/>
        <v>370.55343097937077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1.9038461538461537</v>
      </c>
      <c r="BD14" s="12">
        <f>IF('Données projet'!$A$88&gt;35,BD13+BC14-BL13,IF(A14&lt;'Données projet'!$A$88,$BA$205^A14,IF(A14='Données projet'!$A$88,'Données projet'!$B$88,BD13+BC14-BL13)))</f>
        <v>4.40699751292098</v>
      </c>
      <c r="BE14" s="13">
        <f>BD14*VLOOKUP('Données projet'!$B$11,Paramètres!$A$1:$I$89,3,0)*VLOOKUP('Données projet'!$B$11,Paramètres!$A$1:$I$89,5,0)</f>
        <v>2.0624748360470186</v>
      </c>
      <c r="BF14" s="13">
        <f t="shared" si="37"/>
        <v>0.87366690260851676</v>
      </c>
      <c r="BG14" s="20">
        <f t="shared" si="7"/>
        <v>5.1137801948250576</v>
      </c>
      <c r="BH14" s="59">
        <f t="shared" si="8"/>
        <v>298.44711352815835</v>
      </c>
      <c r="BI14" s="59">
        <f ca="1">AVERAGE(OFFSET($BH$3,0,0,'Données projet'!$E$11+1,1))-AVERAGE(OFFSET($H$3,0,0,'Données projet'!$E$11+1,1))</f>
        <v>111.85541298746966</v>
      </c>
      <c r="BJ14" s="59">
        <f t="shared" si="38"/>
        <v>27.56942482401746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8.5743589743589741</v>
      </c>
      <c r="BY14" s="12">
        <f>IF('Données projet'!$A$114&gt;35,BY13+BX14-CG13,IF(A14&lt;'Données projet'!$A$114,$BV$205^A14,IF(A14='Données projet'!$A$114,'Données projet'!$B$114,BY13+BX14-CG13)))</f>
        <v>15.184866468321752</v>
      </c>
      <c r="BZ14" s="13">
        <f>BY14*VLOOKUP('Données projet'!$B$12,Paramètres!$A$1:$I$89,3,0)*VLOOKUP('Données projet'!$B$12,Paramètres!$A$1:$I$89,5,0)</f>
        <v>8.4883403557918609</v>
      </c>
      <c r="CA14" s="13">
        <f t="shared" si="39"/>
        <v>3.0497193673907232</v>
      </c>
      <c r="CB14" s="20">
        <f t="shared" si="10"/>
        <v>20.095454017876332</v>
      </c>
      <c r="CC14" s="59">
        <f t="shared" si="11"/>
        <v>313.42878735120962</v>
      </c>
      <c r="CD14" s="59">
        <f ca="1">AVERAGE(OFFSET($CC$3,0,0,'Données projet'!$E$12+1,1))-AVERAGE(OFFSET($H$3,0,0,'Données projet'!$E$12+1,1))</f>
        <v>253.62423410951334</v>
      </c>
      <c r="CE14" s="59">
        <f t="shared" si="40"/>
        <v>230.93438491511529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5.2912820512820513</v>
      </c>
      <c r="N15" s="13">
        <f>IF('Données projet'!$A$36&gt;35,N14+M15-V14,IF(A15&lt;'Données projet'!$A$36,$K$205^A15,IF(A15='Données projet'!$A$36,'Données projet'!$B$36,N14+M15-V14)))</f>
        <v>7.5905433826623616</v>
      </c>
      <c r="O15" s="13">
        <f>N15*VLOOKUP('Données projet'!$B$9,Paramètres!$A$1:$I$89,3,0)*VLOOKUP('Données projet'!$B$9,Paramètres!$A$1:$I$89,5,0)</f>
        <v>3.5523743030859851</v>
      </c>
      <c r="P15" s="13">
        <f t="shared" si="33"/>
        <v>1.4125063396651774</v>
      </c>
      <c r="Q15" s="20">
        <f t="shared" si="2"/>
        <v>8.6471671194582758</v>
      </c>
      <c r="R15" s="59">
        <f t="shared" si="0"/>
        <v>301.9805004527916</v>
      </c>
      <c r="S15" s="59">
        <f ca="1">AVERAGE(OFFSET($R$3,0,0,'Données projet'!$E$9+1,1))-AVERAGE(OFFSET($H$3,0,0,'Données projet'!$E$9+1,1))</f>
        <v>190.74210845597287</v>
      </c>
      <c r="T15" s="59">
        <f t="shared" si="34"/>
        <v>131.88015896015884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10.16068376068376</v>
      </c>
      <c r="AI15" s="13">
        <f>IF('Données projet'!$A$62&gt;35,AI14+AH15-AQ14,IF(A15&lt;'Données projet'!$A$62,$AF$205^A15,IF(A15='Données projet'!$A$62,'Données projet'!$B$62,AI14+AH15-AQ14)))</f>
        <v>32.220352927755336</v>
      </c>
      <c r="AJ15" s="13">
        <f>AI15*VLOOKUP('Données projet'!$B$10,Paramètres!$A$1:$I$89,3,0)*VLOOKUP('Données projet'!$B$10,Paramètres!$A$1:$I$89,5,0)</f>
        <v>18.011177286615233</v>
      </c>
      <c r="AK15" s="13">
        <f t="shared" si="35"/>
        <v>5.9285578959851977</v>
      </c>
      <c r="AL15" s="20">
        <f t="shared" si="4"/>
        <v>41.695038776362409</v>
      </c>
      <c r="AM15" s="59">
        <f t="shared" si="5"/>
        <v>335.02837210969574</v>
      </c>
      <c r="AN15" s="59">
        <f ca="1">AVERAGE(OFFSET($AM$3,0,0,'Données projet'!$E$10+1,1))-AVERAGE(OFFSET($H$3,0,0,'Données projet'!$E$10+1,1))</f>
        <v>278.5296012747549</v>
      </c>
      <c r="AO15" s="59">
        <f t="shared" si="36"/>
        <v>370.55343097937077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1.9038461538461537</v>
      </c>
      <c r="BD15" s="12">
        <f>IF('Données projet'!$A$88&gt;35,BD14+BC15-BL14,IF(A15&lt;'Données projet'!$A$88,$BA$205^A15,IF(A15='Données projet'!$A$88,'Données projet'!$B$88,BD14+BC15-BL14)))</f>
        <v>5.0431425282460074</v>
      </c>
      <c r="BE15" s="13">
        <f>BD15*VLOOKUP('Données projet'!$B$11,Paramètres!$A$1:$I$89,3,0)*VLOOKUP('Données projet'!$B$11,Paramètres!$A$1:$I$89,5,0)</f>
        <v>2.3601907032191316</v>
      </c>
      <c r="BF15" s="13">
        <f t="shared" si="37"/>
        <v>0.98421078179811516</v>
      </c>
      <c r="BG15" s="20">
        <f t="shared" si="7"/>
        <v>5.8248325864050381</v>
      </c>
      <c r="BH15" s="59">
        <f t="shared" si="8"/>
        <v>299.15816591973834</v>
      </c>
      <c r="BI15" s="59">
        <f ca="1">AVERAGE(OFFSET($BH$3,0,0,'Données projet'!$E$11+1,1))-AVERAGE(OFFSET($H$3,0,0,'Données projet'!$E$11+1,1))</f>
        <v>111.85541298746966</v>
      </c>
      <c r="BJ15" s="59">
        <f t="shared" si="38"/>
        <v>27.56942482401746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8.5743589743589741</v>
      </c>
      <c r="BY15" s="12">
        <f>IF('Données projet'!$A$114&gt;35,BY14+BX15-CG14,IF(A15&lt;'Données projet'!$A$114,$BV$205^A15,IF(A15='Données projet'!$A$114,'Données projet'!$B$114,BY14+BX15-CG14)))</f>
        <v>19.445180333664318</v>
      </c>
      <c r="BZ15" s="13">
        <f>BY15*VLOOKUP('Données projet'!$B$12,Paramètres!$A$1:$I$89,3,0)*VLOOKUP('Données projet'!$B$12,Paramètres!$A$1:$I$89,5,0)</f>
        <v>10.869855806518354</v>
      </c>
      <c r="CA15" s="13">
        <f t="shared" si="39"/>
        <v>3.7945423088704313</v>
      </c>
      <c r="CB15" s="20">
        <f t="shared" si="10"/>
        <v>25.540493384302135</v>
      </c>
      <c r="CC15" s="59">
        <f t="shared" si="11"/>
        <v>318.87382671763544</v>
      </c>
      <c r="CD15" s="59">
        <f ca="1">AVERAGE(OFFSET($CC$3,0,0,'Données projet'!$E$12+1,1))-AVERAGE(OFFSET($H$3,0,0,'Données projet'!$E$12+1,1))</f>
        <v>253.62423410951334</v>
      </c>
      <c r="CE15" s="59">
        <f t="shared" si="40"/>
        <v>230.93438491511529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5.2912820512820513</v>
      </c>
      <c r="N16" s="13">
        <f>IF('Données projet'!$A$36&gt;35,N15+M16-V15,IF(A16&lt;'Données projet'!$A$36,$K$205^A16,IF(A16='Données projet'!$A$36,'Données projet'!$B$36,N15+M16-V15)))</f>
        <v>8.9872937941846338</v>
      </c>
      <c r="O16" s="13">
        <f>N16*VLOOKUP('Données projet'!$B$9,Paramètres!$A$1:$I$89,3,0)*VLOOKUP('Données projet'!$B$9,Paramètres!$A$1:$I$89,5,0)</f>
        <v>4.2060534956784092</v>
      </c>
      <c r="P16" s="13">
        <f t="shared" si="33"/>
        <v>1.6398639971503413</v>
      </c>
      <c r="Q16" s="20">
        <f t="shared" si="2"/>
        <v>10.181639633343407</v>
      </c>
      <c r="R16" s="59">
        <f t="shared" si="0"/>
        <v>303.51497296667674</v>
      </c>
      <c r="S16" s="59">
        <f ca="1">AVERAGE(OFFSET($R$3,0,0,'Données projet'!$E$9+1,1))-AVERAGE(OFFSET($H$3,0,0,'Données projet'!$E$9+1,1))</f>
        <v>190.74210845597287</v>
      </c>
      <c r="T16" s="59">
        <f t="shared" si="34"/>
        <v>131.88015896015884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10.16068376068376</v>
      </c>
      <c r="AI16" s="13">
        <f>IF('Données projet'!$A$62&gt;35,AI15+AH16-AQ15,IF(A16&lt;'Données projet'!$A$62,$AF$205^A16,IF(A16='Données projet'!$A$62,'Données projet'!$B$62,AI15+AH16-AQ15)))</f>
        <v>43.033613759729988</v>
      </c>
      <c r="AJ16" s="13">
        <f>AI16*VLOOKUP('Données projet'!$B$10,Paramètres!$A$1:$I$89,3,0)*VLOOKUP('Données projet'!$B$10,Paramètres!$A$1:$I$89,5,0)</f>
        <v>24.055790091689062</v>
      </c>
      <c r="AK16" s="13">
        <f t="shared" si="35"/>
        <v>7.6559259813080898</v>
      </c>
      <c r="AL16" s="20">
        <f t="shared" si="4"/>
        <v>55.231238827136707</v>
      </c>
      <c r="AM16" s="59">
        <f t="shared" si="5"/>
        <v>348.56457216046999</v>
      </c>
      <c r="AN16" s="59">
        <f ca="1">AVERAGE(OFFSET($AM$3,0,0,'Données projet'!$E$10+1,1))-AVERAGE(OFFSET($H$3,0,0,'Données projet'!$E$10+1,1))</f>
        <v>278.5296012747549</v>
      </c>
      <c r="AO16" s="59">
        <f t="shared" si="36"/>
        <v>370.55343097937077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1.9038461538461537</v>
      </c>
      <c r="BD16" s="12">
        <f>IF('Données projet'!$A$88&gt;35,BD15+BC16-BL15,IF(A16&lt;'Données projet'!$A$88,$BA$205^A16,IF(A16='Données projet'!$A$88,'Données projet'!$B$88,BD15+BC16-BL15)))</f>
        <v>5.7711143438667891</v>
      </c>
      <c r="BE16" s="13">
        <f>BD16*VLOOKUP('Données projet'!$B$11,Paramètres!$A$1:$I$89,3,0)*VLOOKUP('Données projet'!$B$11,Paramètres!$A$1:$I$89,5,0)</f>
        <v>2.7008815129296573</v>
      </c>
      <c r="BF16" s="13">
        <f t="shared" si="37"/>
        <v>1.108741626946707</v>
      </c>
      <c r="BG16" s="20">
        <f t="shared" si="7"/>
        <v>6.6350936352846661</v>
      </c>
      <c r="BH16" s="59">
        <f t="shared" si="8"/>
        <v>299.96842696861796</v>
      </c>
      <c r="BI16" s="59">
        <f ca="1">AVERAGE(OFFSET($BH$3,0,0,'Données projet'!$E$11+1,1))-AVERAGE(OFFSET($H$3,0,0,'Données projet'!$E$11+1,1))</f>
        <v>111.85541298746966</v>
      </c>
      <c r="BJ16" s="59">
        <f t="shared" si="38"/>
        <v>27.56942482401746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8.5743589743589741</v>
      </c>
      <c r="BY16" s="12">
        <f>IF('Données projet'!$A$114&gt;35,BY15+BX16-CG15,IF(A16&lt;'Données projet'!$A$114,$BV$205^A16,IF(A16='Données projet'!$A$114,'Données projet'!$B$114,BY15+BX16-CG15)))</f>
        <v>24.900781248062909</v>
      </c>
      <c r="BZ16" s="13">
        <f>BY16*VLOOKUP('Données projet'!$B$12,Paramètres!$A$1:$I$89,3,0)*VLOOKUP('Données projet'!$B$12,Paramètres!$A$1:$I$89,5,0)</f>
        <v>13.919536717667166</v>
      </c>
      <c r="CA16" s="13">
        <f t="shared" si="39"/>
        <v>4.7212709102893111</v>
      </c>
      <c r="CB16" s="20">
        <f t="shared" si="10"/>
        <v>32.466073285357531</v>
      </c>
      <c r="CC16" s="59">
        <f t="shared" si="11"/>
        <v>325.79940661869085</v>
      </c>
      <c r="CD16" s="59">
        <f ca="1">AVERAGE(OFFSET($CC$3,0,0,'Données projet'!$E$12+1,1))-AVERAGE(OFFSET($H$3,0,0,'Données projet'!$E$12+1,1))</f>
        <v>253.62423410951334</v>
      </c>
      <c r="CE16" s="59">
        <f t="shared" si="40"/>
        <v>230.93438491511529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5.2912820512820513</v>
      </c>
      <c r="N17" s="13">
        <f>IF('Données projet'!$A$36&gt;35,N16+M17-V16,IF(A17&lt;'Données projet'!$A$36,$K$205^A17,IF(A17='Données projet'!$A$36,'Données projet'!$B$36,N16+M17-V16)))</f>
        <v>10.641062921461002</v>
      </c>
      <c r="O17" s="13">
        <f>N17*VLOOKUP('Données projet'!$B$9,Paramètres!$A$1:$I$89,3,0)*VLOOKUP('Données projet'!$B$9,Paramètres!$A$1:$I$89,5,0)</f>
        <v>4.9800174472437488</v>
      </c>
      <c r="P17" s="13">
        <f t="shared" si="33"/>
        <v>1.9038172457245992</v>
      </c>
      <c r="Q17" s="20">
        <f t="shared" si="2"/>
        <v>11.989345423586537</v>
      </c>
      <c r="R17" s="59">
        <f t="shared" si="0"/>
        <v>305.32267875691986</v>
      </c>
      <c r="S17" s="59">
        <f ca="1">AVERAGE(OFFSET($R$3,0,0,'Données projet'!$E$9+1,1))-AVERAGE(OFFSET($H$3,0,0,'Données projet'!$E$9+1,1))</f>
        <v>190.74210845597287</v>
      </c>
      <c r="T17" s="59">
        <f t="shared" si="34"/>
        <v>131.88015896015884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10.16068376068376</v>
      </c>
      <c r="AI17" s="13">
        <f>IF('Données projet'!$A$62&gt;35,AI16+AH17-AQ16,IF(A17&lt;'Données projet'!$A$62,$AF$205^A17,IF(A17='Données projet'!$A$62,'Données projet'!$B$62,AI16+AH17-AQ16)))</f>
        <v>57.475841973982881</v>
      </c>
      <c r="AJ17" s="13">
        <f>AI17*VLOOKUP('Données projet'!$B$10,Paramètres!$A$1:$I$89,3,0)*VLOOKUP('Données projet'!$B$10,Paramètres!$A$1:$I$89,5,0)</f>
        <v>32.128995663456436</v>
      </c>
      <c r="AK17" s="13">
        <f t="shared" si="35"/>
        <v>9.8865868664217604</v>
      </c>
      <c r="AL17" s="20">
        <f t="shared" si="4"/>
        <v>73.177139572871184</v>
      </c>
      <c r="AM17" s="59">
        <f t="shared" si="5"/>
        <v>366.51047290620448</v>
      </c>
      <c r="AN17" s="59">
        <f ca="1">AVERAGE(OFFSET($AM$3,0,0,'Données projet'!$E$10+1,1))-AVERAGE(OFFSET($H$3,0,0,'Données projet'!$E$10+1,1))</f>
        <v>278.5296012747549</v>
      </c>
      <c r="AO17" s="59">
        <f t="shared" si="36"/>
        <v>370.55343097937077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1.9038461538461537</v>
      </c>
      <c r="BD17" s="12">
        <f>IF('Données projet'!$A$88&gt;35,BD16+BC17-BL16,IF(A17&lt;'Données projet'!$A$88,$BA$205^A17,IF(A17='Données projet'!$A$88,'Données projet'!$B$88,BD16+BC17-BL16)))</f>
        <v>6.6041680526464637</v>
      </c>
      <c r="BE17" s="13">
        <f>BD17*VLOOKUP('Données projet'!$B$11,Paramètres!$A$1:$I$89,3,0)*VLOOKUP('Données projet'!$B$11,Paramètres!$A$1:$I$89,5,0)</f>
        <v>3.0907506486385445</v>
      </c>
      <c r="BF17" s="13">
        <f t="shared" si="37"/>
        <v>1.2490291897417869</v>
      </c>
      <c r="BG17" s="20">
        <f t="shared" si="7"/>
        <v>7.5584498851790762</v>
      </c>
      <c r="BH17" s="59">
        <f t="shared" si="8"/>
        <v>300.89178321851239</v>
      </c>
      <c r="BI17" s="59">
        <f ca="1">AVERAGE(OFFSET($BH$3,0,0,'Données projet'!$E$11+1,1))-AVERAGE(OFFSET($H$3,0,0,'Données projet'!$E$11+1,1))</f>
        <v>111.85541298746966</v>
      </c>
      <c r="BJ17" s="59">
        <f t="shared" si="38"/>
        <v>27.56942482401746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8.5743589743589741</v>
      </c>
      <c r="BY17" s="12">
        <f>IF('Données projet'!$A$114&gt;35,BY16+BX17-CG16,IF(A17&lt;'Données projet'!$A$114,$BV$205^A17,IF(A17='Données projet'!$A$114,'Données projet'!$B$114,BY16+BX17-CG16)))</f>
        <v>31.88702270302047</v>
      </c>
      <c r="BZ17" s="13">
        <f>BY17*VLOOKUP('Données projet'!$B$12,Paramètres!$A$1:$I$89,3,0)*VLOOKUP('Données projet'!$B$12,Paramètres!$A$1:$I$89,5,0)</f>
        <v>17.824845690988443</v>
      </c>
      <c r="CA17" s="13">
        <f t="shared" si="39"/>
        <v>5.8743313933372665</v>
      </c>
      <c r="CB17" s="20">
        <f t="shared" si="10"/>
        <v>41.27606675520061</v>
      </c>
      <c r="CC17" s="59">
        <f t="shared" si="11"/>
        <v>334.6094000885339</v>
      </c>
      <c r="CD17" s="59">
        <f ca="1">AVERAGE(OFFSET($CC$3,0,0,'Données projet'!$E$12+1,1))-AVERAGE(OFFSET($H$3,0,0,'Données projet'!$E$12+1,1))</f>
        <v>253.62423410951334</v>
      </c>
      <c r="CE17" s="59">
        <f t="shared" si="40"/>
        <v>230.93438491511529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5.2912820512820513</v>
      </c>
      <c r="N18" s="13">
        <f>IF('Données projet'!$A$36&gt;35,N17+M18-V17,IF(A18&lt;'Données projet'!$A$36,$K$205^A18,IF(A18='Données projet'!$A$36,'Données projet'!$B$36,N17+M18-V17)))</f>
        <v>12.599145270154715</v>
      </c>
      <c r="O18" s="13">
        <f>N18*VLOOKUP('Données projet'!$B$9,Paramètres!$A$1:$I$89,3,0)*VLOOKUP('Données projet'!$B$9,Paramètres!$A$1:$I$89,5,0)</f>
        <v>5.8963999864324066</v>
      </c>
      <c r="P18" s="13">
        <f t="shared" si="33"/>
        <v>2.210256528234583</v>
      </c>
      <c r="Q18" s="20">
        <f t="shared" si="2"/>
        <v>14.119093429711674</v>
      </c>
      <c r="R18" s="59">
        <f t="shared" si="0"/>
        <v>307.45242676304497</v>
      </c>
      <c r="S18" s="59">
        <f ca="1">AVERAGE(OFFSET($R$3,0,0,'Données projet'!$E$9+1,1))-AVERAGE(OFFSET($H$3,0,0,'Données projet'!$E$9+1,1))</f>
        <v>190.74210845597287</v>
      </c>
      <c r="T18" s="59">
        <f t="shared" si="34"/>
        <v>131.88015896015884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10.16068376068376</v>
      </c>
      <c r="AI18" s="13">
        <f>IF('Données projet'!$A$62&gt;35,AI17+AH18-AQ17,IF(A18&lt;'Données projet'!$A$62,$AF$205^A18,IF(A18='Données projet'!$A$62,'Données projet'!$B$62,AI17+AH18-AQ17)))</f>
        <v>76.764931457129379</v>
      </c>
      <c r="AJ18" s="13">
        <f>AI18*VLOOKUP('Données projet'!$B$10,Paramètres!$A$1:$I$89,3,0)*VLOOKUP('Données projet'!$B$10,Paramètres!$A$1:$I$89,5,0)</f>
        <v>42.911596684535326</v>
      </c>
      <c r="AK18" s="13">
        <f t="shared" si="35"/>
        <v>12.767181932785956</v>
      </c>
      <c r="AL18" s="20">
        <f t="shared" si="4"/>
        <v>96.97387275850123</v>
      </c>
      <c r="AM18" s="59">
        <f t="shared" si="5"/>
        <v>390.30720609183453</v>
      </c>
      <c r="AN18" s="59">
        <f ca="1">AVERAGE(OFFSET($AM$3,0,0,'Données projet'!$E$10+1,1))-AVERAGE(OFFSET($H$3,0,0,'Données projet'!$E$10+1,1))</f>
        <v>278.5296012747549</v>
      </c>
      <c r="AO18" s="59">
        <f t="shared" si="36"/>
        <v>370.55343097937077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1.9038461538461537</v>
      </c>
      <c r="BD18" s="12">
        <f>IF('Données projet'!$A$88&gt;35,BD17+BC18-BL17,IF(A18&lt;'Données projet'!$A$88,$BA$205^A18,IF(A18='Données projet'!$A$88,'Données projet'!$B$88,BD17+BC18-BL17)))</f>
        <v>7.5574721048366946</v>
      </c>
      <c r="BE18" s="13">
        <f>BD18*VLOOKUP('Données projet'!$B$11,Paramètres!$A$1:$I$89,3,0)*VLOOKUP('Données projet'!$B$11,Paramètres!$A$1:$I$89,5,0)</f>
        <v>3.5368969450635732</v>
      </c>
      <c r="BF18" s="13">
        <f t="shared" si="37"/>
        <v>1.4070671461332374</v>
      </c>
      <c r="BG18" s="20">
        <f t="shared" si="7"/>
        <v>8.6107374588344445</v>
      </c>
      <c r="BH18" s="59">
        <f t="shared" si="8"/>
        <v>301.94407079216774</v>
      </c>
      <c r="BI18" s="59">
        <f ca="1">AVERAGE(OFFSET($BH$3,0,0,'Données projet'!$E$11+1,1))-AVERAGE(OFFSET($H$3,0,0,'Données projet'!$E$11+1,1))</f>
        <v>111.85541298746966</v>
      </c>
      <c r="BJ18" s="59">
        <f t="shared" si="38"/>
        <v>27.56942482401746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8.5743589743589741</v>
      </c>
      <c r="BY18" s="12">
        <f>IF('Données projet'!$A$114&gt;35,BY17+BX18-CG17,IF(A18&lt;'Données projet'!$A$114,$BV$205^A18,IF(A18='Données projet'!$A$114,'Données projet'!$B$114,BY17+BX18-CG17)))</f>
        <v>40.833346019697316</v>
      </c>
      <c r="BZ18" s="13">
        <f>BY18*VLOOKUP('Données projet'!$B$12,Paramètres!$A$1:$I$89,3,0)*VLOOKUP('Données projet'!$B$12,Paramètres!$A$1:$I$89,5,0)</f>
        <v>22.825840425010803</v>
      </c>
      <c r="CA18" s="13">
        <f t="shared" si="39"/>
        <v>7.3090000498686072</v>
      </c>
      <c r="CB18" s="20">
        <f t="shared" si="10"/>
        <v>52.484847160414972</v>
      </c>
      <c r="CC18" s="59">
        <f t="shared" si="11"/>
        <v>345.81818049374829</v>
      </c>
      <c r="CD18" s="59">
        <f ca="1">AVERAGE(OFFSET($CC$3,0,0,'Données projet'!$E$12+1,1))-AVERAGE(OFFSET($H$3,0,0,'Données projet'!$E$12+1,1))</f>
        <v>253.62423410951334</v>
      </c>
      <c r="CE18" s="59">
        <f t="shared" si="40"/>
        <v>230.93438491511529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5.2912820512820513</v>
      </c>
      <c r="N19" s="13">
        <f>IF('Données projet'!$A$36&gt;35,N18+M19-V18,IF(A19&lt;'Données projet'!$A$36,$K$205^A19,IF(A19='Données projet'!$A$36,'Données projet'!$B$36,N18+M19-V18)))</f>
        <v>14.917538098409006</v>
      </c>
      <c r="O19" s="13">
        <f>N19*VLOOKUP('Données projet'!$B$9,Paramètres!$A$1:$I$89,3,0)*VLOOKUP('Données projet'!$B$9,Paramètres!$A$1:$I$89,5,0)</f>
        <v>6.9814078300554154</v>
      </c>
      <c r="P19" s="13">
        <f t="shared" si="33"/>
        <v>2.5660204158641595</v>
      </c>
      <c r="Q19" s="20">
        <f t="shared" si="2"/>
        <v>16.628437528309927</v>
      </c>
      <c r="R19" s="59">
        <f t="shared" si="0"/>
        <v>309.96177086164323</v>
      </c>
      <c r="S19" s="59">
        <f ca="1">AVERAGE(OFFSET($R$3,0,0,'Données projet'!$E$9+1,1))-AVERAGE(OFFSET($H$3,0,0,'Données projet'!$E$9+1,1))</f>
        <v>190.74210845597287</v>
      </c>
      <c r="T19" s="59">
        <f t="shared" si="34"/>
        <v>131.88015896015884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10.16068376068376</v>
      </c>
      <c r="AI19" s="13">
        <f>IF('Données projet'!$A$62&gt;35,AI18+AH19-AQ18,IF(A19&lt;'Données projet'!$A$62,$AF$205^A19,IF(A19='Données projet'!$A$62,'Données projet'!$B$62,AI18+AH19-AQ18)))</f>
        <v>102.52750545673157</v>
      </c>
      <c r="AJ19" s="13">
        <f>AI19*VLOOKUP('Données projet'!$B$10,Paramètres!$A$1:$I$89,3,0)*VLOOKUP('Données projet'!$B$10,Paramètres!$A$1:$I$89,5,0)</f>
        <v>57.312875550312953</v>
      </c>
      <c r="AK19" s="13">
        <f t="shared" si="35"/>
        <v>16.487078574959277</v>
      </c>
      <c r="AL19" s="20">
        <f t="shared" si="4"/>
        <v>128.53492010151578</v>
      </c>
      <c r="AM19" s="59">
        <f t="shared" si="5"/>
        <v>421.86825343484907</v>
      </c>
      <c r="AN19" s="59">
        <f ca="1">AVERAGE(OFFSET($AM$3,0,0,'Données projet'!$E$10+1,1))-AVERAGE(OFFSET($H$3,0,0,'Données projet'!$E$10+1,1))</f>
        <v>278.5296012747549</v>
      </c>
      <c r="AO19" s="59">
        <f t="shared" si="36"/>
        <v>370.55343097937077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1.9038461538461537</v>
      </c>
      <c r="BD19" s="12">
        <f>IF('Données projet'!$A$88&gt;35,BD18+BC19-BL18,IF(A19&lt;'Données projet'!$A$88,$BA$205^A19,IF(A19='Données projet'!$A$88,'Données projet'!$B$88,BD18+BC19-BL18)))</f>
        <v>8.6483844990130372</v>
      </c>
      <c r="BE19" s="13">
        <f>BD19*VLOOKUP('Données projet'!$B$11,Paramètres!$A$1:$I$89,3,0)*VLOOKUP('Données projet'!$B$11,Paramètres!$A$1:$I$89,5,0)</f>
        <v>4.0474439455381015</v>
      </c>
      <c r="BF19" s="13">
        <f t="shared" si="37"/>
        <v>1.5851014291642191</v>
      </c>
      <c r="BG19" s="20">
        <f t="shared" si="7"/>
        <v>9.8100165276065425</v>
      </c>
      <c r="BH19" s="59">
        <f t="shared" si="8"/>
        <v>303.14334986093985</v>
      </c>
      <c r="BI19" s="59">
        <f ca="1">AVERAGE(OFFSET($BH$3,0,0,'Données projet'!$E$11+1,1))-AVERAGE(OFFSET($H$3,0,0,'Données projet'!$E$11+1,1))</f>
        <v>111.85541298746966</v>
      </c>
      <c r="BJ19" s="59">
        <f t="shared" si="38"/>
        <v>27.56942482401746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8.5743589743589741</v>
      </c>
      <c r="BY19" s="12">
        <f>IF('Données projet'!$A$114&gt;35,BY18+BX19-CG18,IF(A19&lt;'Données projet'!$A$114,$BV$205^A19,IF(A19='Données projet'!$A$114,'Données projet'!$B$114,BY18+BX19-CG18)))</f>
        <v>52.289677926136108</v>
      </c>
      <c r="BZ19" s="13">
        <f>BY19*VLOOKUP('Données projet'!$B$12,Paramètres!$A$1:$I$89,3,0)*VLOOKUP('Données projet'!$B$12,Paramètres!$A$1:$I$89,5,0)</f>
        <v>29.229929960710084</v>
      </c>
      <c r="CA19" s="13">
        <f t="shared" si="39"/>
        <v>9.0940531188911979</v>
      </c>
      <c r="CB19" s="20">
        <f t="shared" si="10"/>
        <v>66.747603863638901</v>
      </c>
      <c r="CC19" s="59">
        <f t="shared" si="11"/>
        <v>360.08093719697223</v>
      </c>
      <c r="CD19" s="59">
        <f ca="1">AVERAGE(OFFSET($CC$3,0,0,'Données projet'!$E$12+1,1))-AVERAGE(OFFSET($H$3,0,0,'Données projet'!$E$12+1,1))</f>
        <v>253.62423410951334</v>
      </c>
      <c r="CE19" s="59">
        <f t="shared" si="40"/>
        <v>230.93438491511529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5.2912820512820513</v>
      </c>
      <c r="N20" s="13">
        <f>IF('Données projet'!$A$36&gt;35,N19+M20-V19,IF(A20&lt;'Données projet'!$A$36,$K$205^A20,IF(A20='Données projet'!$A$36,'Données projet'!$B$36,N19+M20-V19)))</f>
        <v>17.662542826982701</v>
      </c>
      <c r="O20" s="13">
        <f>N20*VLOOKUP('Données projet'!$B$9,Paramètres!$A$1:$I$89,3,0)*VLOOKUP('Données projet'!$B$9,Paramètres!$A$1:$I$89,5,0)</f>
        <v>8.2660700430279039</v>
      </c>
      <c r="P20" s="13">
        <f t="shared" si="33"/>
        <v>2.9790482192992012</v>
      </c>
      <c r="Q20" s="20">
        <f t="shared" si="2"/>
        <v>19.585247640219709</v>
      </c>
      <c r="R20" s="59">
        <f t="shared" si="0"/>
        <v>312.91858097355305</v>
      </c>
      <c r="S20" s="59">
        <f ca="1">AVERAGE(OFFSET($R$3,0,0,'Données projet'!$E$9+1,1))-AVERAGE(OFFSET($H$3,0,0,'Données projet'!$E$9+1,1))</f>
        <v>190.74210845597287</v>
      </c>
      <c r="T20" s="59">
        <f t="shared" si="34"/>
        <v>131.88015896015884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10.16068376068376</v>
      </c>
      <c r="AI20" s="13">
        <f>IF('Données projet'!$A$62&gt;35,AI19+AH20-AQ19,IF(A20&lt;'Données projet'!$A$62,$AF$205^A20,IF(A20='Données projet'!$A$62,'Données projet'!$B$62,AI19+AH20-AQ19)))</f>
        <v>136.93608755517039</v>
      </c>
      <c r="AJ20" s="13">
        <f>AI20*VLOOKUP('Données projet'!$B$10,Paramètres!$A$1:$I$89,3,0)*VLOOKUP('Données projet'!$B$10,Paramètres!$A$1:$I$89,5,0)</f>
        <v>76.547272943340246</v>
      </c>
      <c r="AK20" s="13">
        <f t="shared" si="35"/>
        <v>21.290819020824138</v>
      </c>
      <c r="AL20" s="20">
        <f t="shared" si="4"/>
        <v>170.40134350425296</v>
      </c>
      <c r="AM20" s="59">
        <f t="shared" si="5"/>
        <v>463.73467683758628</v>
      </c>
      <c r="AN20" s="59">
        <f ca="1">AVERAGE(OFFSET($AM$3,0,0,'Données projet'!$E$10+1,1))-AVERAGE(OFFSET($H$3,0,0,'Données projet'!$E$10+1,1))</f>
        <v>278.5296012747549</v>
      </c>
      <c r="AO20" s="59">
        <f t="shared" si="36"/>
        <v>370.55343097937077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1.9038461538461537</v>
      </c>
      <c r="BD20" s="12">
        <f>IF('Données projet'!$A$88&gt;35,BD19+BC20-BL19,IF(A20&lt;'Données projet'!$A$88,$BA$205^A20,IF(A20='Données projet'!$A$88,'Données projet'!$B$88,BD19+BC20-BL19)))</f>
        <v>9.8967688408537189</v>
      </c>
      <c r="BE20" s="13">
        <f>BD20*VLOOKUP('Données projet'!$B$11,Paramètres!$A$1:$I$89,3,0)*VLOOKUP('Données projet'!$B$11,Paramètres!$A$1:$I$89,5,0)</f>
        <v>4.6316878175195404</v>
      </c>
      <c r="BF20" s="13">
        <f t="shared" si="37"/>
        <v>1.7856621467164386</v>
      </c>
      <c r="BG20" s="20">
        <f t="shared" si="7"/>
        <v>11.176884521044329</v>
      </c>
      <c r="BH20" s="59">
        <f t="shared" si="8"/>
        <v>304.51021785437763</v>
      </c>
      <c r="BI20" s="59">
        <f ca="1">AVERAGE(OFFSET($BH$3,0,0,'Données projet'!$E$11+1,1))-AVERAGE(OFFSET($H$3,0,0,'Données projet'!$E$11+1,1))</f>
        <v>111.85541298746966</v>
      </c>
      <c r="BJ20" s="59">
        <f t="shared" si="38"/>
        <v>27.56942482401746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8.5743589743589741</v>
      </c>
      <c r="BY20" s="12">
        <f>IF('Données projet'!$A$114&gt;35,BY19+BX20-CG19,IF(A20&lt;'Données projet'!$A$114,$BV$205^A20,IF(A20='Données projet'!$A$114,'Données projet'!$B$114,BY19+BX20-CG19)))</f>
        <v>66.960234321725892</v>
      </c>
      <c r="BZ20" s="13">
        <f>BY20*VLOOKUP('Données projet'!$B$12,Paramètres!$A$1:$I$89,3,0)*VLOOKUP('Données projet'!$B$12,Paramètres!$A$1:$I$89,5,0)</f>
        <v>37.430770985844774</v>
      </c>
      <c r="CA20" s="13">
        <f t="shared" si="39"/>
        <v>11.315063834306788</v>
      </c>
      <c r="CB20" s="20">
        <f t="shared" si="10"/>
        <v>84.898995645097301</v>
      </c>
      <c r="CC20" s="59">
        <f t="shared" si="11"/>
        <v>378.23232897843059</v>
      </c>
      <c r="CD20" s="59">
        <f ca="1">AVERAGE(OFFSET($CC$3,0,0,'Données projet'!$E$12+1,1))-AVERAGE(OFFSET($H$3,0,0,'Données projet'!$E$12+1,1))</f>
        <v>253.62423410951334</v>
      </c>
      <c r="CE20" s="59">
        <f t="shared" si="40"/>
        <v>230.93438491511529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5.2912820512820513</v>
      </c>
      <c r="N21" s="13">
        <f>IF('Données projet'!$A$36&gt;35,N20+M21-V20,IF(A21&lt;'Données projet'!$A$36,$K$205^A21,IF(A21='Données projet'!$A$36,'Données projet'!$B$36,N20+M21-V20)))</f>
        <v>20.912661127929006</v>
      </c>
      <c r="O21" s="13">
        <f>N21*VLOOKUP('Données projet'!$B$9,Paramètres!$A$1:$I$89,3,0)*VLOOKUP('Données projet'!$B$9,Paramètres!$A$1:$I$89,5,0)</f>
        <v>9.787125407870775</v>
      </c>
      <c r="P21" s="13">
        <f t="shared" si="33"/>
        <v>3.4585571642542829</v>
      </c>
      <c r="Q21" s="20">
        <f t="shared" si="2"/>
        <v>23.06956381311781</v>
      </c>
      <c r="R21" s="59">
        <f t="shared" si="0"/>
        <v>316.4028971464511</v>
      </c>
      <c r="S21" s="59">
        <f ca="1">AVERAGE(OFFSET($R$3,0,0,'Données projet'!$E$9+1,1))-AVERAGE(OFFSET($H$3,0,0,'Données projet'!$E$9+1,1))</f>
        <v>190.74210845597287</v>
      </c>
      <c r="T21" s="59">
        <f t="shared" si="34"/>
        <v>131.88015896015884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182.89230769230767</v>
      </c>
      <c r="AG21" s="12">
        <f>VLOOKUP(A21,'Données projet'!$A$61:$I$81,9,0)</f>
        <v>10.16068376068376</v>
      </c>
      <c r="AH21" s="12">
        <f t="array" ref="AH21">INDEX(AG:AG,MIN(IF(ISNUMBER(AG21:AG217),ROW(AG21:AG217),"")))</f>
        <v>10.16068376068376</v>
      </c>
      <c r="AI21" s="13">
        <f>IF('Données projet'!$A$62&gt;35,AI20+AH21-AQ20,IF(A21&lt;'Données projet'!$A$62,$AF$205^A21,IF(A21='Données projet'!$A$62,'Données projet'!$B$62,AI20+AH21-AQ20)))</f>
        <v>182.89230769230767</v>
      </c>
      <c r="AJ21" s="13">
        <f>AI21*VLOOKUP('Données projet'!$B$10,Paramètres!$A$1:$I$89,3,0)*VLOOKUP('Données projet'!$B$10,Paramètres!$A$1:$I$89,5,0)</f>
        <v>102.23679999999999</v>
      </c>
      <c r="AK21" s="13">
        <f t="shared" si="35"/>
        <v>27.494196289326943</v>
      </c>
      <c r="AL21" s="20">
        <f t="shared" si="4"/>
        <v>225.9481518705777</v>
      </c>
      <c r="AM21" s="59">
        <f t="shared" si="5"/>
        <v>519.28148520391096</v>
      </c>
      <c r="AN21" s="59">
        <f ca="1">AVERAGE(OFFSET($AM$3,0,0,'Données projet'!$E$10+1,1))-AVERAGE(OFFSET($H$3,0,0,'Données projet'!$E$10+1,1))</f>
        <v>278.5296012747549</v>
      </c>
      <c r="AO21" s="59">
        <f t="shared" si="36"/>
        <v>370.55343097937077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69.284615384615378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0.30800000000000005</v>
      </c>
      <c r="AT21" s="16">
        <f>IF(ISNA(VLOOKUP(A21,'Données projet'!$A$61:$I$81,7,0)),0%,VLOOKUP(A21,'Données projet'!$A$61:$I$81,7,0))</f>
        <v>0.44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15.762109241455983</v>
      </c>
      <c r="AW21" s="21">
        <f>EXP(-LN(2)/2)*AW20+(1-EXP(-LN(2)/2))/(LN(2)/2)*AQ21*AT21*VLOOKUP('Données projet'!$B$10,Paramètres!$A$1:$I$89,3,0)*0.475*44/12</f>
        <v>19.294646846829099</v>
      </c>
      <c r="AX21" s="21">
        <f t="shared" si="6"/>
        <v>35.056756088285084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1.9038461538461537</v>
      </c>
      <c r="BD21" s="12">
        <f>IF('Données projet'!$A$88&gt;35,BD20+BC21-BL20,IF(A21&lt;'Données projet'!$A$88,$BA$205^A21,IF(A21='Données projet'!$A$88,'Données projet'!$B$88,BD20+BC21-BL20)))</f>
        <v>11.325356024639142</v>
      </c>
      <c r="BE21" s="13">
        <f>BD21*VLOOKUP('Données projet'!$B$11,Paramètres!$A$1:$I$89,3,0)*VLOOKUP('Données projet'!$B$11,Paramètres!$A$1:$I$89,5,0)</f>
        <v>5.3002666195311177</v>
      </c>
      <c r="BF21" s="13">
        <f t="shared" si="37"/>
        <v>2.0115995377641012</v>
      </c>
      <c r="BG21" s="20">
        <f t="shared" si="7"/>
        <v>12.734833557289173</v>
      </c>
      <c r="BH21" s="59">
        <f t="shared" si="8"/>
        <v>306.06816689062248</v>
      </c>
      <c r="BI21" s="59">
        <f ca="1">AVERAGE(OFFSET($BH$3,0,0,'Données projet'!$E$11+1,1))-AVERAGE(OFFSET($H$3,0,0,'Données projet'!$E$11+1,1))</f>
        <v>111.85541298746966</v>
      </c>
      <c r="BJ21" s="59">
        <f t="shared" si="38"/>
        <v>27.56942482401746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8.5743589743589741</v>
      </c>
      <c r="BY21" s="12">
        <f>IF('Données projet'!$A$114&gt;35,BY20+BX21-CG20,IF(A21&lt;'Données projet'!$A$114,$BV$205^A21,IF(A21='Données projet'!$A$114,'Données projet'!$B$114,BY20+BX21-CG20)))</f>
        <v>85.746808132075927</v>
      </c>
      <c r="BZ21" s="13">
        <f>BY21*VLOOKUP('Données projet'!$B$12,Paramètres!$A$1:$I$89,3,0)*VLOOKUP('Données projet'!$B$12,Paramètres!$A$1:$I$89,5,0)</f>
        <v>47.932465745830442</v>
      </c>
      <c r="CA21" s="13">
        <f t="shared" si="39"/>
        <v>14.078504699788656</v>
      </c>
      <c r="CB21" s="20">
        <f t="shared" si="10"/>
        <v>108.00244019278658</v>
      </c>
      <c r="CC21" s="59">
        <f t="shared" si="11"/>
        <v>401.33577352611991</v>
      </c>
      <c r="CD21" s="59">
        <f ca="1">AVERAGE(OFFSET($CC$3,0,0,'Données projet'!$E$12+1,1))-AVERAGE(OFFSET($H$3,0,0,'Données projet'!$E$12+1,1))</f>
        <v>253.62423410951334</v>
      </c>
      <c r="CE21" s="59">
        <f t="shared" si="40"/>
        <v>230.93438491511529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5.2912820512820513</v>
      </c>
      <c r="N22" s="13">
        <f>IF('Données projet'!$A$36&gt;35,N21+M22-V21,IF(A22&lt;'Données projet'!$A$36,$K$205^A22,IF(A22='Données projet'!$A$36,'Données projet'!$B$36,N21+M22-V21)))</f>
        <v>24.760839916180057</v>
      </c>
      <c r="O22" s="13">
        <f>N22*VLOOKUP('Données projet'!$B$9,Paramètres!$A$1:$I$89,3,0)*VLOOKUP('Données projet'!$B$9,Paramètres!$A$1:$I$89,5,0)</f>
        <v>11.588073080772267</v>
      </c>
      <c r="P22" s="13">
        <f t="shared" si="33"/>
        <v>4.0152480852520442</v>
      </c>
      <c r="Q22" s="20">
        <f t="shared" si="2"/>
        <v>27.175784364159011</v>
      </c>
      <c r="R22" s="59">
        <f t="shared" si="0"/>
        <v>320.50911769749234</v>
      </c>
      <c r="S22" s="59">
        <f ca="1">AVERAGE(OFFSET($R$3,0,0,'Données projet'!$E$9+1,1))-AVERAGE(OFFSET($H$3,0,0,'Données projet'!$E$9+1,1))</f>
        <v>190.74210845597287</v>
      </c>
      <c r="T22" s="59">
        <f t="shared" si="34"/>
        <v>131.88015896015884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20.658974358974358</v>
      </c>
      <c r="AI22" s="13">
        <f>IF('Données projet'!$A$62&gt;35,AI21+AH22-AQ21,IF(A22&lt;'Données projet'!$A$62,$AF$205^A22,IF(A22='Données projet'!$A$62,'Données projet'!$B$62,AI21+AH22-AQ21)))</f>
        <v>134.26666666666665</v>
      </c>
      <c r="AJ22" s="13">
        <f>AI22*VLOOKUP('Données projet'!$B$10,Paramètres!$A$1:$I$89,3,0)*VLOOKUP('Données projet'!$B$10,Paramètres!$A$1:$I$89,5,0)</f>
        <v>75.055066666666661</v>
      </c>
      <c r="AK22" s="13">
        <f t="shared" si="35"/>
        <v>20.923669242672773</v>
      </c>
      <c r="AL22" s="20">
        <f t="shared" si="4"/>
        <v>167.1629650420995</v>
      </c>
      <c r="AM22" s="59">
        <f t="shared" si="5"/>
        <v>460.49629837543284</v>
      </c>
      <c r="AN22" s="59">
        <f ca="1">AVERAGE(OFFSET($AM$3,0,0,'Données projet'!$E$10+1,1))-AVERAGE(OFFSET($H$3,0,0,'Données projet'!$E$10+1,1))</f>
        <v>278.5296012747549</v>
      </c>
      <c r="AO22" s="59">
        <f t="shared" si="36"/>
        <v>370.55343097937077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15.33109353535507</v>
      </c>
      <c r="AW22" s="21">
        <f>EXP(-LN(2)/2)*AW21+(1-EXP(-LN(2)/2))/(LN(2)/2)*AQ22*AT22*VLOOKUP('Données projet'!$B$10,Paramètres!$A$1:$I$89,3,0)*0.475*44/12</f>
        <v>13.643375625992494</v>
      </c>
      <c r="AX22" s="21">
        <f t="shared" si="6"/>
        <v>28.974469161347564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1.9038461538461537</v>
      </c>
      <c r="BD22" s="12">
        <f>IF('Données projet'!$A$88&gt;35,BD21+BC22-BL21,IF(A22&lt;'Données projet'!$A$88,$BA$205^A22,IF(A22='Données projet'!$A$88,'Données projet'!$B$88,BD21+BC22-BL21)))</f>
        <v>12.960158123059259</v>
      </c>
      <c r="BE22" s="13">
        <f>BD22*VLOOKUP('Données projet'!$B$11,Paramètres!$A$1:$I$89,3,0)*VLOOKUP('Données projet'!$B$11,Paramètres!$A$1:$I$89,5,0)</f>
        <v>6.0653540015917322</v>
      </c>
      <c r="BF22" s="13">
        <f t="shared" si="37"/>
        <v>2.2661244781235381</v>
      </c>
      <c r="BG22" s="20">
        <f t="shared" si="7"/>
        <v>14.510658352170763</v>
      </c>
      <c r="BH22" s="59">
        <f t="shared" si="8"/>
        <v>307.84399168550408</v>
      </c>
      <c r="BI22" s="59">
        <f ca="1">AVERAGE(OFFSET($BH$3,0,0,'Données projet'!$E$11+1,1))-AVERAGE(OFFSET($H$3,0,0,'Données projet'!$E$11+1,1))</f>
        <v>111.85541298746966</v>
      </c>
      <c r="BJ22" s="59">
        <f t="shared" si="38"/>
        <v>27.56942482401746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8.5743589743589741</v>
      </c>
      <c r="BY22" s="12">
        <f>IF('Données projet'!$A$114&gt;35,BY21+BX22-CG21,IF(A22&lt;'Données projet'!$A$114,$BV$205^A22,IF(A22='Données projet'!$A$114,'Données projet'!$B$114,BY21+BX22-CG21)))</f>
        <v>109.80420214051502</v>
      </c>
      <c r="BZ22" s="13">
        <f>BY22*VLOOKUP('Données projet'!$B$12,Paramètres!$A$1:$I$89,3,0)*VLOOKUP('Données projet'!$B$12,Paramètres!$A$1:$I$89,5,0)</f>
        <v>61.380548996547894</v>
      </c>
      <c r="CA22" s="13">
        <f t="shared" si="39"/>
        <v>17.516851648775006</v>
      </c>
      <c r="CB22" s="20">
        <f t="shared" si="10"/>
        <v>137.41297279060404</v>
      </c>
      <c r="CC22" s="59">
        <f t="shared" si="11"/>
        <v>430.74630612393736</v>
      </c>
      <c r="CD22" s="59">
        <f ca="1">AVERAGE(OFFSET($CC$3,0,0,'Données projet'!$E$12+1,1))-AVERAGE(OFFSET($H$3,0,0,'Données projet'!$E$12+1,1))</f>
        <v>253.62423410951334</v>
      </c>
      <c r="CE22" s="59">
        <f t="shared" si="40"/>
        <v>230.93438491511529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5.2912820512820513</v>
      </c>
      <c r="N23" s="13">
        <f>IF('Données projet'!$A$36&gt;35,N22+M23-V22,IF(A23&lt;'Données projet'!$A$36,$K$205^A23,IF(A23='Données projet'!$A$36,'Données projet'!$B$36,N22+M23-V22)))</f>
        <v>29.317129446328433</v>
      </c>
      <c r="O23" s="13">
        <f>N23*VLOOKUP('Données projet'!$B$9,Paramètres!$A$1:$I$89,3,0)*VLOOKUP('Données projet'!$B$9,Paramètres!$A$1:$I$89,5,0)</f>
        <v>13.720416580881707</v>
      </c>
      <c r="P23" s="13">
        <f t="shared" si="33"/>
        <v>4.6615442279660568</v>
      </c>
      <c r="Q23" s="20">
        <f t="shared" si="2"/>
        <v>32.01524840874319</v>
      </c>
      <c r="R23" s="59">
        <f t="shared" si="0"/>
        <v>325.34858174207648</v>
      </c>
      <c r="S23" s="59">
        <f ca="1">AVERAGE(OFFSET($R$3,0,0,'Données projet'!$E$9+1,1))-AVERAGE(OFFSET($H$3,0,0,'Données projet'!$E$9+1,1))</f>
        <v>190.74210845597287</v>
      </c>
      <c r="T23" s="59">
        <f t="shared" si="34"/>
        <v>131.88015896015884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20.658974358974358</v>
      </c>
      <c r="AI23" s="13">
        <f>IF('Données projet'!$A$62&gt;35,AI22+AH23-AQ22,IF(A23&lt;'Données projet'!$A$62,$AF$205^A23,IF(A23='Données projet'!$A$62,'Données projet'!$B$62,AI22+AH23-AQ22)))</f>
        <v>154.925641025641</v>
      </c>
      <c r="AJ23" s="13">
        <f>AI23*VLOOKUP('Données projet'!$B$10,Paramètres!$A$1:$I$89,3,0)*VLOOKUP('Données projet'!$B$10,Paramètres!$A$1:$I$89,5,0)</f>
        <v>86.603433333333314</v>
      </c>
      <c r="AK23" s="13">
        <f t="shared" si="35"/>
        <v>23.744229853900279</v>
      </c>
      <c r="AL23" s="20">
        <f t="shared" si="4"/>
        <v>192.18884671776516</v>
      </c>
      <c r="AM23" s="59">
        <f t="shared" si="5"/>
        <v>485.52218005109847</v>
      </c>
      <c r="AN23" s="59">
        <f ca="1">AVERAGE(OFFSET($AM$3,0,0,'Données projet'!$E$10+1,1))-AVERAGE(OFFSET($H$3,0,0,'Données projet'!$E$10+1,1))</f>
        <v>278.5296012747549</v>
      </c>
      <c r="AO23" s="59">
        <f t="shared" si="36"/>
        <v>370.55343097937077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14.911863976403616</v>
      </c>
      <c r="AW23" s="21">
        <f>EXP(-LN(2)/2)*AW22+(1-EXP(-LN(2)/2))/(LN(2)/2)*AQ23*AT23*VLOOKUP('Données projet'!$B$10,Paramètres!$A$1:$I$89,3,0)*0.475*44/12</f>
        <v>9.6473234234145515</v>
      </c>
      <c r="AX23" s="21">
        <f t="shared" si="6"/>
        <v>24.559187399818168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1.9038461538461537</v>
      </c>
      <c r="BD23" s="12">
        <f>IF('Données projet'!$A$88&gt;35,BD22+BC23-BL22,IF(A23&lt;'Données projet'!$A$88,$BA$205^A23,IF(A23='Données projet'!$A$88,'Données projet'!$B$88,BD22+BC23-BL22)))</f>
        <v>14.830942021537973</v>
      </c>
      <c r="BE23" s="13">
        <f>BD23*VLOOKUP('Données projet'!$B$11,Paramètres!$A$1:$I$89,3,0)*VLOOKUP('Données projet'!$B$11,Paramètres!$A$1:$I$89,5,0)</f>
        <v>6.9408808660797714</v>
      </c>
      <c r="BF23" s="13">
        <f t="shared" si="37"/>
        <v>2.5528541113399754</v>
      </c>
      <c r="BG23" s="20">
        <f t="shared" si="7"/>
        <v>16.53492175233939</v>
      </c>
      <c r="BH23" s="59">
        <f t="shared" si="8"/>
        <v>309.86825508567273</v>
      </c>
      <c r="BI23" s="59">
        <f ca="1">AVERAGE(OFFSET($BH$3,0,0,'Données projet'!$E$11+1,1))-AVERAGE(OFFSET($H$3,0,0,'Données projet'!$E$11+1,1))</f>
        <v>111.85541298746966</v>
      </c>
      <c r="BJ23" s="59">
        <f t="shared" si="38"/>
        <v>27.56942482401746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8.5743589743589741</v>
      </c>
      <c r="BY23" s="12">
        <f>IF('Données projet'!$A$114&gt;35,BY22+BX23-CG22,IF(A23&lt;'Données projet'!$A$114,$BV$205^A23,IF(A23='Données projet'!$A$114,'Données projet'!$B$114,BY22+BX23-CG22)))</f>
        <v>140.61121422903264</v>
      </c>
      <c r="BZ23" s="13">
        <f>BY23*VLOOKUP('Données projet'!$B$12,Paramètres!$A$1:$I$89,3,0)*VLOOKUP('Données projet'!$B$12,Paramètres!$A$1:$I$89,5,0)</f>
        <v>78.601668754029248</v>
      </c>
      <c r="CA23" s="13">
        <f t="shared" si="39"/>
        <v>21.794934776688162</v>
      </c>
      <c r="CB23" s="20">
        <f t="shared" si="10"/>
        <v>174.8574178159995</v>
      </c>
      <c r="CC23" s="59">
        <f t="shared" si="11"/>
        <v>468.19075114933281</v>
      </c>
      <c r="CD23" s="59">
        <f ca="1">AVERAGE(OFFSET($CC$3,0,0,'Données projet'!$E$12+1,1))-AVERAGE(OFFSET($H$3,0,0,'Données projet'!$E$12+1,1))</f>
        <v>253.62423410951334</v>
      </c>
      <c r="CE23" s="59">
        <f t="shared" si="40"/>
        <v>230.93438491511529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5.2912820512820513</v>
      </c>
      <c r="N24" s="13">
        <f>IF('Données projet'!$A$36&gt;35,N23+M24-V23,IF(A24&lt;'Données projet'!$A$36,$K$205^A24,IF(A24='Données projet'!$A$36,'Données projet'!$B$36,N23+M24-V23)))</f>
        <v>34.71183053088351</v>
      </c>
      <c r="O24" s="13">
        <f>N24*VLOOKUP('Données projet'!$B$9,Paramètres!$A$1:$I$89,3,0)*VLOOKUP('Données projet'!$B$9,Paramètres!$A$1:$I$89,5,0)</f>
        <v>16.245136688453481</v>
      </c>
      <c r="P24" s="13">
        <f t="shared" si="33"/>
        <v>5.411868489296503</v>
      </c>
      <c r="Q24" s="20">
        <f t="shared" si="2"/>
        <v>37.719284017914553</v>
      </c>
      <c r="R24" s="59">
        <f t="shared" si="0"/>
        <v>331.05261735124787</v>
      </c>
      <c r="S24" s="59">
        <f ca="1">AVERAGE(OFFSET($R$3,0,0,'Données projet'!$E$9+1,1))-AVERAGE(OFFSET($H$3,0,0,'Données projet'!$E$9+1,1))</f>
        <v>190.74210845597287</v>
      </c>
      <c r="T24" s="59">
        <f t="shared" si="34"/>
        <v>131.88015896015884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20.658974358974358</v>
      </c>
      <c r="AI24" s="13">
        <f>IF('Données projet'!$A$62&gt;35,AI23+AH24-AQ23,IF(A24&lt;'Données projet'!$A$62,$AF$205^A24,IF(A24='Données projet'!$A$62,'Données projet'!$B$62,AI23+AH24-AQ23)))</f>
        <v>175.58461538461535</v>
      </c>
      <c r="AJ24" s="13">
        <f>AI24*VLOOKUP('Données projet'!$B$10,Paramètres!$A$1:$I$89,3,0)*VLOOKUP('Données projet'!$B$10,Paramètres!$A$1:$I$89,5,0)</f>
        <v>98.15179999999998</v>
      </c>
      <c r="AK24" s="13">
        <f t="shared" si="35"/>
        <v>26.52121247620833</v>
      </c>
      <c r="AL24" s="20">
        <f t="shared" si="4"/>
        <v>217.13883006272945</v>
      </c>
      <c r="AM24" s="59">
        <f t="shared" si="5"/>
        <v>510.4721633960628</v>
      </c>
      <c r="AN24" s="59">
        <f ca="1">AVERAGE(OFFSET($AM$3,0,0,'Données projet'!$E$10+1,1))-AVERAGE(OFFSET($H$3,0,0,'Données projet'!$E$10+1,1))</f>
        <v>278.5296012747549</v>
      </c>
      <c r="AO24" s="59">
        <f t="shared" si="36"/>
        <v>370.55343097937077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14.504098271788013</v>
      </c>
      <c r="AW24" s="21">
        <f>EXP(-LN(2)/2)*AW23+(1-EXP(-LN(2)/2))/(LN(2)/2)*AQ24*AT24*VLOOKUP('Données projet'!$B$10,Paramètres!$A$1:$I$89,3,0)*0.475*44/12</f>
        <v>6.8216878129962479</v>
      </c>
      <c r="AX24" s="21">
        <f t="shared" si="6"/>
        <v>21.325786084784262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1.9038461538461537</v>
      </c>
      <c r="BD24" s="12">
        <f>IF('Données projet'!$A$88&gt;35,BD23+BC24-BL23,IF(A24&lt;'Données projet'!$A$88,$BA$205^A24,IF(A24='Données projet'!$A$88,'Données projet'!$B$88,BD23+BC24-BL23)))</f>
        <v>16.971771421126753</v>
      </c>
      <c r="BE24" s="13">
        <f>BD24*VLOOKUP('Données projet'!$B$11,Paramètres!$A$1:$I$89,3,0)*VLOOKUP('Données projet'!$B$11,Paramètres!$A$1:$I$89,5,0)</f>
        <v>7.942789025087321</v>
      </c>
      <c r="BF24" s="13">
        <f t="shared" si="37"/>
        <v>2.8758632531880424</v>
      </c>
      <c r="BG24" s="20">
        <f t="shared" si="7"/>
        <v>18.84248605132959</v>
      </c>
      <c r="BH24" s="59">
        <f t="shared" si="8"/>
        <v>312.17581938466293</v>
      </c>
      <c r="BI24" s="59">
        <f ca="1">AVERAGE(OFFSET($BH$3,0,0,'Données projet'!$E$11+1,1))-AVERAGE(OFFSET($H$3,0,0,'Données projet'!$E$11+1,1))</f>
        <v>111.85541298746966</v>
      </c>
      <c r="BJ24" s="59">
        <f t="shared" si="38"/>
        <v>27.56942482401746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>
        <f>VLOOKUP(A24,'Données projet'!$A$113:$I$133,2,0)</f>
        <v>180.06153846153845</v>
      </c>
      <c r="BW24" s="12">
        <f>VLOOKUP(A24,'Données projet'!$A$113:$I$133,9,0)</f>
        <v>8.5743589743589741</v>
      </c>
      <c r="BX24" s="12">
        <f t="array" ref="BX24">INDEX(BW:BW,MIN(IF(ISNUMBER(BW24:BW220),ROW(BW24:BW220),"")))</f>
        <v>8.5743589743589741</v>
      </c>
      <c r="BY24" s="12">
        <f>IF('Données projet'!$A$114&gt;35,BY23+BX24-CG23,IF(A24&lt;'Données projet'!$A$114,$BV$205^A24,IF(A24='Données projet'!$A$114,'Données projet'!$B$114,BY23+BX24-CG23)))</f>
        <v>180.06153846153845</v>
      </c>
      <c r="BZ24" s="13">
        <f>BY24*VLOOKUP('Données projet'!$B$12,Paramètres!$A$1:$I$89,3,0)*VLOOKUP('Données projet'!$B$12,Paramètres!$A$1:$I$89,5,0)</f>
        <v>100.65439999999998</v>
      </c>
      <c r="CA24" s="13">
        <f t="shared" si="39"/>
        <v>27.117840091618859</v>
      </c>
      <c r="CB24" s="20">
        <f t="shared" si="10"/>
        <v>222.53665149290282</v>
      </c>
      <c r="CC24" s="59">
        <f t="shared" si="11"/>
        <v>515.86998482623608</v>
      </c>
      <c r="CD24" s="59">
        <f ca="1">AVERAGE(OFFSET($CC$3,0,0,'Données projet'!$E$12+1,1))-AVERAGE(OFFSET($H$3,0,0,'Données projet'!$E$12+1,1))</f>
        <v>253.62423410951334</v>
      </c>
      <c r="CE24" s="59">
        <f t="shared" si="40"/>
        <v>230.93438491511529</v>
      </c>
      <c r="CF24" s="15">
        <f>IF(ISNA(VLOOKUP(A24,'Données projet'!$A$113:$I$133,3,0)),0,VLOOKUP(A24,'Données projet'!$A$113:$I$133,3,0))</f>
        <v>1</v>
      </c>
      <c r="CG24" s="15">
        <f>IF(ISNA(VLOOKUP(A24,'Données projet'!$A$113:$I$133,4,0)),0,VLOOKUP(A24,'Données projet'!$A$113:$I$133,4,0))</f>
        <v>61.169230769230765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0.30800000000000005</v>
      </c>
      <c r="CJ24" s="16">
        <f>IF(ISNA(VLOOKUP(A24,'Données projet'!$A$113:$I$133,7,0)),0%,VLOOKUP(A24,'Données projet'!$A$113:$I$133,7,0))</f>
        <v>0.44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13.915875728661929</v>
      </c>
      <c r="CM24" s="21">
        <f>EXP(-LN(2)/2)*CM23+(1-EXP(-LN(2)/2))/(LN(2)/2)*CG24*CJ24*VLOOKUP('Données projet'!$B$12,Paramètres!$A$1:$I$89,3,0)*0.475*44/12</f>
        <v>17.034643247028416</v>
      </c>
      <c r="CN24" s="22">
        <f t="shared" si="12"/>
        <v>30.950518975690343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5.2912820512820513</v>
      </c>
      <c r="N25" s="13">
        <f>IF('Données projet'!$A$36&gt;35,N24+M25-V24,IF(A25&lt;'Données projet'!$A$36,$K$205^A25,IF(A25='Données projet'!$A$36,'Données projet'!$B$36,N24+M25-V24)))</f>
        <v>41.099220884180887</v>
      </c>
      <c r="O25" s="13">
        <f>N25*VLOOKUP('Données projet'!$B$9,Paramètres!$A$1:$I$89,3,0)*VLOOKUP('Données projet'!$B$9,Paramètres!$A$1:$I$89,5,0)</f>
        <v>19.234435373796657</v>
      </c>
      <c r="P25" s="13">
        <f t="shared" si="33"/>
        <v>6.2829652821334729</v>
      </c>
      <c r="Q25" s="20">
        <f t="shared" si="2"/>
        <v>44.442806142411648</v>
      </c>
      <c r="R25" s="59">
        <f t="shared" si="0"/>
        <v>337.77613947574497</v>
      </c>
      <c r="S25" s="59">
        <f ca="1">AVERAGE(OFFSET($R$3,0,0,'Données projet'!$E$9+1,1))-AVERAGE(OFFSET($H$3,0,0,'Données projet'!$E$9+1,1))</f>
        <v>190.74210845597287</v>
      </c>
      <c r="T25" s="59">
        <f t="shared" si="34"/>
        <v>131.88015896015884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20.658974358974358</v>
      </c>
      <c r="AI25" s="13">
        <f>IF('Données projet'!$A$62&gt;35,AI24+AH25-AQ24,IF(A25&lt;'Données projet'!$A$62,$AF$205^A25,IF(A25='Données projet'!$A$62,'Données projet'!$B$62,AI24+AH25-AQ24)))</f>
        <v>196.24358974358969</v>
      </c>
      <c r="AJ25" s="13">
        <f>AI25*VLOOKUP('Données projet'!$B$10,Paramètres!$A$1:$I$89,3,0)*VLOOKUP('Données projet'!$B$10,Paramètres!$A$1:$I$89,5,0)</f>
        <v>109.70016666666663</v>
      </c>
      <c r="AK25" s="13">
        <f t="shared" si="35"/>
        <v>29.260330282475415</v>
      </c>
      <c r="AL25" s="20">
        <f t="shared" si="4"/>
        <v>242.02286551975575</v>
      </c>
      <c r="AM25" s="59">
        <f t="shared" si="5"/>
        <v>535.35619885308904</v>
      </c>
      <c r="AN25" s="59">
        <f ca="1">AVERAGE(OFFSET($AM$3,0,0,'Données projet'!$E$10+1,1))-AVERAGE(OFFSET($H$3,0,0,'Données projet'!$E$10+1,1))</f>
        <v>278.5296012747549</v>
      </c>
      <c r="AO25" s="59">
        <f t="shared" si="36"/>
        <v>370.55343097937077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14.107482941808591</v>
      </c>
      <c r="AW25" s="21">
        <f>EXP(-LN(2)/2)*AW24+(1-EXP(-LN(2)/2))/(LN(2)/2)*AQ25*AT25*VLOOKUP('Données projet'!$B$10,Paramètres!$A$1:$I$89,3,0)*0.475*44/12</f>
        <v>4.8236617117072758</v>
      </c>
      <c r="AX25" s="21">
        <f t="shared" si="6"/>
        <v>18.931144653515865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1.9038461538461537</v>
      </c>
      <c r="BD25" s="12">
        <f>IF('Données projet'!$A$88&gt;35,BD24+BC25-BL24,IF(A25&lt;'Données projet'!$A$88,$BA$205^A25,IF(A25='Données projet'!$A$88,'Données projet'!$B$88,BD24+BC25-BL24)))</f>
        <v>19.421627078891706</v>
      </c>
      <c r="BE25" s="13">
        <f>BD25*VLOOKUP('Données projet'!$B$11,Paramètres!$A$1:$I$89,3,0)*VLOOKUP('Données projet'!$B$11,Paramètres!$A$1:$I$89,5,0)</f>
        <v>9.0893214729213181</v>
      </c>
      <c r="BF25" s="13">
        <f t="shared" si="37"/>
        <v>3.2397423003134849</v>
      </c>
      <c r="BG25" s="20">
        <f t="shared" si="7"/>
        <v>21.473119405050614</v>
      </c>
      <c r="BH25" s="59">
        <f t="shared" si="8"/>
        <v>314.80645273838394</v>
      </c>
      <c r="BI25" s="59">
        <f ca="1">AVERAGE(OFFSET($BH$3,0,0,'Données projet'!$E$11+1,1))-AVERAGE(OFFSET($H$3,0,0,'Données projet'!$E$11+1,1))</f>
        <v>111.85541298746966</v>
      </c>
      <c r="BJ25" s="59">
        <f t="shared" si="38"/>
        <v>27.56942482401746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16.687912087912089</v>
      </c>
      <c r="BY25" s="12">
        <f>IF('Données projet'!$A$114&gt;35,BY24+BX25-CG24,IF(A25&lt;'Données projet'!$A$114,$BV$205^A25,IF(A25='Données projet'!$A$114,'Données projet'!$B$114,BY24+BX25-CG24)))</f>
        <v>135.58021978021975</v>
      </c>
      <c r="BZ25" s="13">
        <f>BY25*VLOOKUP('Données projet'!$B$12,Paramètres!$A$1:$I$89,3,0)*VLOOKUP('Données projet'!$B$12,Paramètres!$A$1:$I$89,5,0)</f>
        <v>75.789342857142842</v>
      </c>
      <c r="CA25" s="13">
        <f t="shared" si="39"/>
        <v>21.104439314832938</v>
      </c>
      <c r="CB25" s="20">
        <f t="shared" si="10"/>
        <v>168.75667061619112</v>
      </c>
      <c r="CC25" s="59">
        <f t="shared" si="11"/>
        <v>462.09000394952443</v>
      </c>
      <c r="CD25" s="59">
        <f ca="1">AVERAGE(OFFSET($CC$3,0,0,'Données projet'!$E$12+1,1))-AVERAGE(OFFSET($H$3,0,0,'Données projet'!$E$12+1,1))</f>
        <v>253.62423410951334</v>
      </c>
      <c r="CE25" s="59">
        <f t="shared" si="40"/>
        <v>230.93438491511529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13.535345375057569</v>
      </c>
      <c r="CM25" s="21">
        <f>EXP(-LN(2)/2)*CM24+(1-EXP(-LN(2)/2))/(LN(2)/2)*CG25*CJ25*VLOOKUP('Données projet'!$B$12,Paramètres!$A$1:$I$89,3,0)*0.475*44/12</f>
        <v>12.045311755067422</v>
      </c>
      <c r="CN25" s="22">
        <f t="shared" si="12"/>
        <v>25.58065713012499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5.2912820512820513</v>
      </c>
      <c r="N26" s="13">
        <f>IF('Données projet'!$A$36&gt;35,N25+M26-V25,IF(A26&lt;'Données projet'!$A$36,$K$205^A26,IF(A26='Données projet'!$A$36,'Données projet'!$B$36,N25+M26-V25)))</f>
        <v>48.661967157964739</v>
      </c>
      <c r="O26" s="13">
        <f>N26*VLOOKUP('Données projet'!$B$9,Paramètres!$A$1:$I$89,3,0)*VLOOKUP('Données projet'!$B$9,Paramètres!$A$1:$I$89,5,0)</f>
        <v>22.773800629927496</v>
      </c>
      <c r="P26" s="13">
        <f t="shared" si="33"/>
        <v>7.2942742076177201</v>
      </c>
      <c r="Q26" s="20">
        <f t="shared" si="2"/>
        <v>52.36856367539125</v>
      </c>
      <c r="R26" s="59">
        <f t="shared" si="0"/>
        <v>345.70189700872459</v>
      </c>
      <c r="S26" s="59">
        <f ca="1">AVERAGE(OFFSET($R$3,0,0,'Données projet'!$E$9+1,1))-AVERAGE(OFFSET($H$3,0,0,'Données projet'!$E$9+1,1))</f>
        <v>190.74210845597287</v>
      </c>
      <c r="T26" s="59">
        <f t="shared" si="34"/>
        <v>131.88015896015884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20.658974358974358</v>
      </c>
      <c r="AI26" s="13">
        <f>IF('Données projet'!$A$62&gt;35,AI25+AH26-AQ25,IF(A26&lt;'Données projet'!$A$62,$AF$205^A26,IF(A26='Données projet'!$A$62,'Données projet'!$B$62,AI25+AH26-AQ25)))</f>
        <v>216.90256410256404</v>
      </c>
      <c r="AJ26" s="13">
        <f>AI26*VLOOKUP('Données projet'!$B$10,Paramètres!$A$1:$I$89,3,0)*VLOOKUP('Données projet'!$B$10,Paramètres!$A$1:$I$89,5,0)</f>
        <v>121.2485333333333</v>
      </c>
      <c r="AK26" s="13">
        <f t="shared" si="35"/>
        <v>31.966023537079113</v>
      </c>
      <c r="AL26" s="20">
        <f t="shared" si="4"/>
        <v>266.84868654930165</v>
      </c>
      <c r="AM26" s="59">
        <f t="shared" si="5"/>
        <v>560.1820198826349</v>
      </c>
      <c r="AN26" s="59">
        <f ca="1">AVERAGE(OFFSET($AM$3,0,0,'Données projet'!$E$10+1,1))-AVERAGE(OFFSET($H$3,0,0,'Données projet'!$E$10+1,1))</f>
        <v>278.5296012747549</v>
      </c>
      <c r="AO26" s="59">
        <f t="shared" si="36"/>
        <v>370.55343097937077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13.72171307888455</v>
      </c>
      <c r="AW26" s="21">
        <f>EXP(-LN(2)/2)*AW25+(1-EXP(-LN(2)/2))/(LN(2)/2)*AQ26*AT26*VLOOKUP('Données projet'!$B$10,Paramètres!$A$1:$I$89,3,0)*0.475*44/12</f>
        <v>3.410843906498124</v>
      </c>
      <c r="AX26" s="21">
        <f t="shared" si="6"/>
        <v>17.132556985382674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1.9038461538461537</v>
      </c>
      <c r="BD26" s="12">
        <f>IF('Données projet'!$A$88&gt;35,BD25+BC26-BL25,IF(A26&lt;'Données projet'!$A$88,$BA$205^A26,IF(A26='Données projet'!$A$88,'Données projet'!$B$88,BD25+BC26-BL25)))</f>
        <v>22.225116579286183</v>
      </c>
      <c r="BE26" s="13">
        <f>BD26*VLOOKUP('Données projet'!$B$11,Paramètres!$A$1:$I$89,3,0)*VLOOKUP('Données projet'!$B$11,Paramètres!$A$1:$I$89,5,0)</f>
        <v>10.401354559105934</v>
      </c>
      <c r="BF26" s="13">
        <f t="shared" si="37"/>
        <v>3.6496624659761685</v>
      </c>
      <c r="BG26" s="20">
        <f t="shared" si="7"/>
        <v>24.472187985351329</v>
      </c>
      <c r="BH26" s="59">
        <f t="shared" si="8"/>
        <v>317.80552131868467</v>
      </c>
      <c r="BI26" s="59">
        <f ca="1">AVERAGE(OFFSET($BH$3,0,0,'Données projet'!$E$11+1,1))-AVERAGE(OFFSET($H$3,0,0,'Données projet'!$E$11+1,1))</f>
        <v>111.85541298746966</v>
      </c>
      <c r="BJ26" s="59">
        <f t="shared" si="38"/>
        <v>27.56942482401746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16.687912087912089</v>
      </c>
      <c r="BY26" s="12">
        <f>IF('Données projet'!$A$114&gt;35,BY25+BX26-CG25,IF(A26&lt;'Données projet'!$A$114,$BV$205^A26,IF(A26='Données projet'!$A$114,'Données projet'!$B$114,BY25+BX26-CG25)))</f>
        <v>152.26813186813183</v>
      </c>
      <c r="BZ26" s="13">
        <f>BY26*VLOOKUP('Données projet'!$B$12,Paramètres!$A$1:$I$89,3,0)*VLOOKUP('Données projet'!$B$12,Paramètres!$A$1:$I$89,5,0)</f>
        <v>85.117885714285705</v>
      </c>
      <c r="CA26" s="13">
        <f t="shared" si="39"/>
        <v>23.383981996566973</v>
      </c>
      <c r="CB26" s="20">
        <f t="shared" si="10"/>
        <v>188.97408626306841</v>
      </c>
      <c r="CC26" s="59">
        <f t="shared" si="11"/>
        <v>482.3074195964017</v>
      </c>
      <c r="CD26" s="59">
        <f ca="1">AVERAGE(OFFSET($CC$3,0,0,'Données projet'!$E$12+1,1))-AVERAGE(OFFSET($H$3,0,0,'Données projet'!$E$12+1,1))</f>
        <v>253.62423410951334</v>
      </c>
      <c r="CE26" s="59">
        <f t="shared" si="40"/>
        <v>230.93438491511529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13.165220643983741</v>
      </c>
      <c r="CM26" s="21">
        <f>EXP(-LN(2)/2)*CM25+(1-EXP(-LN(2)/2))/(LN(2)/2)*CG26*CJ26*VLOOKUP('Données projet'!$B$12,Paramètres!$A$1:$I$89,3,0)*0.475*44/12</f>
        <v>8.5173216235142082</v>
      </c>
      <c r="CN26" s="22">
        <f t="shared" si="12"/>
        <v>21.682542267497951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5.2912820512820513</v>
      </c>
      <c r="N27" s="13">
        <f>IF('Données projet'!$A$36&gt;35,N26+M27-V26,IF(A27&lt;'Données projet'!$A$36,$K$205^A27,IF(A27='Données projet'!$A$36,'Données projet'!$B$36,N26+M27-V26)))</f>
        <v>57.616348844079376</v>
      </c>
      <c r="O27" s="13">
        <f>N27*VLOOKUP('Données projet'!$B$9,Paramètres!$A$1:$I$89,3,0)*VLOOKUP('Données projet'!$B$9,Paramètres!$A$1:$I$89,5,0)</f>
        <v>26.964451259029147</v>
      </c>
      <c r="P27" s="13">
        <f t="shared" si="33"/>
        <v>8.4683638738570401</v>
      </c>
      <c r="Q27" s="20">
        <f t="shared" si="2"/>
        <v>61.712153023110119</v>
      </c>
      <c r="R27" s="59">
        <f t="shared" si="0"/>
        <v>355.04548635644346</v>
      </c>
      <c r="S27" s="59">
        <f ca="1">AVERAGE(OFFSET($R$3,0,0,'Données projet'!$E$9+1,1))-AVERAGE(OFFSET($H$3,0,0,'Données projet'!$E$9+1,1))</f>
        <v>190.74210845597287</v>
      </c>
      <c r="T27" s="59">
        <f t="shared" si="34"/>
        <v>131.88015896015884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237.56153846153845</v>
      </c>
      <c r="AG27" s="12">
        <f>VLOOKUP(A27,'Données projet'!$A$61:$I$81,9,0)</f>
        <v>20.658974358974358</v>
      </c>
      <c r="AH27" s="12">
        <f t="array" ref="AH27">INDEX(AG:AG,MIN(IF(ISNUMBER(AG27:AG223),ROW(AG27:AG223),"")))</f>
        <v>20.658974358974358</v>
      </c>
      <c r="AI27" s="13">
        <f>IF('Données projet'!$A$62&gt;35,AI26+AH27-AQ26,IF(A27&lt;'Données projet'!$A$62,$AF$205^A27,IF(A27='Données projet'!$A$62,'Données projet'!$B$62,AI26+AH27-AQ26)))</f>
        <v>237.56153846153839</v>
      </c>
      <c r="AJ27" s="13">
        <f>AI27*VLOOKUP('Données projet'!$B$10,Paramètres!$A$1:$I$89,3,0)*VLOOKUP('Données projet'!$B$10,Paramètres!$A$1:$I$89,5,0)</f>
        <v>132.79689999999997</v>
      </c>
      <c r="AK27" s="13">
        <f t="shared" si="35"/>
        <v>34.641837967861036</v>
      </c>
      <c r="AL27" s="20">
        <f t="shared" si="4"/>
        <v>291.62246862735793</v>
      </c>
      <c r="AM27" s="59">
        <f t="shared" si="5"/>
        <v>584.95580196069125</v>
      </c>
      <c r="AN27" s="59">
        <f ca="1">AVERAGE(OFFSET($AM$3,0,0,'Données projet'!$E$10+1,1))-AVERAGE(OFFSET($H$3,0,0,'Données projet'!$E$10+1,1))</f>
        <v>278.5296012747549</v>
      </c>
      <c r="AO27" s="59">
        <f t="shared" si="36"/>
        <v>370.55343097937077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42.661538461538463</v>
      </c>
      <c r="AR27" s="16">
        <f>IF(ISNA(VLOOKUP(A27,'Données projet'!$A$61:$I$81,5,0)),0%,VLOOKUP(A27,'Données projet'!$A$61:$I$81,5,0)*VLOOKUP('Données projet'!$B$10,Paramètres!$A$1:$I$89,7,0))</f>
        <v>0.38500000000000001</v>
      </c>
      <c r="AS27" s="16">
        <f>IF(ISNA(VLOOKUP(A27,'Données projet'!$A$61:$I$81,6,0)),0%,VLOOKUP(A27,'Données projet'!$A$61:$I$81,6,0)*VLOOKUP('Données projet'!$B$10,Paramètres!$A$1:$I$89,7,0))</f>
        <v>9.240000000000001E-2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12.179722870865961</v>
      </c>
      <c r="AV27" s="21">
        <f>EXP(-LN(2)/25)*AV26+(1-EXP(-LN(2)/25))/(LN(2)/25)*Calculateur!AQ27*Calculateur!AS27*VLOOKUP('Données projet'!$B$10,Paramètres!$A$1:$I$89,3,0)*0.475*44/12</f>
        <v>16.25811611180935</v>
      </c>
      <c r="AW27" s="21">
        <f>EXP(-LN(2)/2)*AW26+(1-EXP(-LN(2)/2))/(LN(2)/2)*AQ27*AT27*VLOOKUP('Données projet'!$B$10,Paramètres!$A$1:$I$89,3,0)*0.475*44/12</f>
        <v>5.9759957746672558</v>
      </c>
      <c r="AX27" s="21">
        <f t="shared" si="6"/>
        <v>34.413834757342563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1.9038461538461537</v>
      </c>
      <c r="BD27" s="12">
        <f>IF('Données projet'!$A$88&gt;35,BD26+BC27-BL26,IF(A27&lt;'Données projet'!$A$88,$BA$205^A27,IF(A27='Données projet'!$A$88,'Données projet'!$B$88,BD26+BC27-BL26)))</f>
        <v>25.433286560203538</v>
      </c>
      <c r="BE27" s="13">
        <f>BD27*VLOOKUP('Données projet'!$B$11,Paramètres!$A$1:$I$89,3,0)*VLOOKUP('Données projet'!$B$11,Paramètres!$A$1:$I$89,5,0)</f>
        <v>11.902778110175255</v>
      </c>
      <c r="BF27" s="13">
        <f t="shared" si="37"/>
        <v>4.1114492699824794</v>
      </c>
      <c r="BG27" s="20">
        <f t="shared" si="7"/>
        <v>27.891446020441389</v>
      </c>
      <c r="BH27" s="59">
        <f t="shared" si="8"/>
        <v>321.22477935377469</v>
      </c>
      <c r="BI27" s="59">
        <f ca="1">AVERAGE(OFFSET($BH$3,0,0,'Données projet'!$E$11+1,1))-AVERAGE(OFFSET($H$3,0,0,'Données projet'!$E$11+1,1))</f>
        <v>111.85541298746966</v>
      </c>
      <c r="BJ27" s="59">
        <f t="shared" si="38"/>
        <v>27.56942482401746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16.687912087912089</v>
      </c>
      <c r="BY27" s="12">
        <f>IF('Données projet'!$A$114&gt;35,BY26+BX27-CG26,IF(A27&lt;'Données projet'!$A$114,$BV$205^A27,IF(A27='Données projet'!$A$114,'Données projet'!$B$114,BY26+BX27-CG26)))</f>
        <v>168.95604395604391</v>
      </c>
      <c r="BZ27" s="13">
        <f>BY27*VLOOKUP('Données projet'!$B$12,Paramètres!$A$1:$I$89,3,0)*VLOOKUP('Données projet'!$B$12,Paramètres!$A$1:$I$89,5,0)</f>
        <v>94.446428571428541</v>
      </c>
      <c r="CA27" s="13">
        <f t="shared" si="39"/>
        <v>25.63456829651156</v>
      </c>
      <c r="CB27" s="20">
        <f t="shared" si="10"/>
        <v>209.14106954499564</v>
      </c>
      <c r="CC27" s="59">
        <f t="shared" si="11"/>
        <v>502.47440287832899</v>
      </c>
      <c r="CD27" s="59">
        <f ca="1">AVERAGE(OFFSET($CC$3,0,0,'Données projet'!$E$12+1,1))-AVERAGE(OFFSET($H$3,0,0,'Données projet'!$E$12+1,1))</f>
        <v>253.62423410951334</v>
      </c>
      <c r="CE27" s="59">
        <f t="shared" si="40"/>
        <v>230.93438491511529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12.805216993145141</v>
      </c>
      <c r="CM27" s="21">
        <f>EXP(-LN(2)/2)*CM26+(1-EXP(-LN(2)/2))/(LN(2)/2)*CG27*CJ27*VLOOKUP('Données projet'!$B$12,Paramètres!$A$1:$I$89,3,0)*0.475*44/12</f>
        <v>6.0226558775337109</v>
      </c>
      <c r="CN27" s="22">
        <f t="shared" si="12"/>
        <v>18.827872870678853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5.2912820512820513</v>
      </c>
      <c r="N28" s="13">
        <f>IF('Données projet'!$A$36&gt;35,N27+M28-V27,IF(A28&lt;'Données projet'!$A$36,$K$205^A28,IF(A28='Données projet'!$A$36,'Données projet'!$B$36,N27+M28-V27)))</f>
        <v>68.218443437490691</v>
      </c>
      <c r="O28" s="13">
        <f>N28*VLOOKUP('Données projet'!$B$9,Paramètres!$A$1:$I$89,3,0)*VLOOKUP('Données projet'!$B$9,Paramètres!$A$1:$I$89,5,0)</f>
        <v>31.926231528745642</v>
      </c>
      <c r="P28" s="13">
        <f t="shared" si="33"/>
        <v>9.8314355422988982</v>
      </c>
      <c r="Q28" s="20">
        <f t="shared" si="2"/>
        <v>72.727936815402572</v>
      </c>
      <c r="R28" s="59">
        <f t="shared" si="0"/>
        <v>366.0612701487359</v>
      </c>
      <c r="S28" s="59">
        <f ca="1">AVERAGE(OFFSET($R$3,0,0,'Données projet'!$E$9+1,1))-AVERAGE(OFFSET($H$3,0,0,'Données projet'!$E$9+1,1))</f>
        <v>190.74210845597287</v>
      </c>
      <c r="T28" s="59">
        <f t="shared" si="34"/>
        <v>131.88015896015884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22.828205128205127</v>
      </c>
      <c r="AI28" s="13">
        <f>IF('Données projet'!$A$62&gt;35,AI27+AH28-AQ27,IF(A28&lt;'Données projet'!$A$62,$AF$205^A28,IF(A28='Données projet'!$A$62,'Données projet'!$B$62,AI27+AH28-AQ27)))</f>
        <v>217.72820512820502</v>
      </c>
      <c r="AJ28" s="13">
        <f>AI28*VLOOKUP('Données projet'!$B$10,Paramètres!$A$1:$I$89,3,0)*VLOOKUP('Données projet'!$B$10,Paramètres!$A$1:$I$89,5,0)</f>
        <v>121.71006666666661</v>
      </c>
      <c r="AK28" s="13">
        <f t="shared" si="35"/>
        <v>32.073515207801002</v>
      </c>
      <c r="AL28" s="20">
        <f t="shared" si="4"/>
        <v>267.83973843136442</v>
      </c>
      <c r="AM28" s="59">
        <f t="shared" si="5"/>
        <v>561.17307176469774</v>
      </c>
      <c r="AN28" s="59">
        <f ca="1">AVERAGE(OFFSET($AM$3,0,0,'Données projet'!$E$10+1,1))-AVERAGE(OFFSET($H$3,0,0,'Données projet'!$E$10+1,1))</f>
        <v>278.5296012747549</v>
      </c>
      <c r="AO28" s="59">
        <f t="shared" si="36"/>
        <v>370.55343097937077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11.940885934265687</v>
      </c>
      <c r="AV28" s="21">
        <f>EXP(-LN(2)/25)*AV27+(1-EXP(-LN(2)/25))/(LN(2)/25)*Calculateur!AQ28*Calculateur!AS28*VLOOKUP('Données projet'!$B$10,Paramètres!$A$1:$I$89,3,0)*0.475*44/12</f>
        <v>15.813537071754755</v>
      </c>
      <c r="AW28" s="21">
        <f>EXP(-LN(2)/2)*AW27+(1-EXP(-LN(2)/2))/(LN(2)/2)*AQ28*AT28*VLOOKUP('Données projet'!$B$10,Paramètres!$A$1:$I$89,3,0)*0.475*44/12</f>
        <v>4.2256671366093723</v>
      </c>
      <c r="AX28" s="21">
        <f t="shared" si="6"/>
        <v>31.980090142629813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1.9038461538461537</v>
      </c>
      <c r="BD28" s="12">
        <f>IF('Données projet'!$A$88&gt;35,BD27+BC28-BL27,IF(A28&lt;'Données projet'!$A$88,$BA$205^A28,IF(A28='Données projet'!$A$88,'Données projet'!$B$88,BD27+BC28-BL27)))</f>
        <v>29.104552182925161</v>
      </c>
      <c r="BE28" s="13">
        <f>BD28*VLOOKUP('Données projet'!$B$11,Paramètres!$A$1:$I$89,3,0)*VLOOKUP('Données projet'!$B$11,Paramètres!$A$1:$I$89,5,0)</f>
        <v>13.620930421608977</v>
      </c>
      <c r="BF28" s="13">
        <f t="shared" si="37"/>
        <v>4.6316653271984656</v>
      </c>
      <c r="BG28" s="20">
        <f t="shared" si="7"/>
        <v>31.789937595839632</v>
      </c>
      <c r="BH28" s="59">
        <f t="shared" si="8"/>
        <v>325.12327092917292</v>
      </c>
      <c r="BI28" s="59">
        <f ca="1">AVERAGE(OFFSET($BH$3,0,0,'Données projet'!$E$11+1,1))-AVERAGE(OFFSET($H$3,0,0,'Données projet'!$E$11+1,1))</f>
        <v>111.85541298746966</v>
      </c>
      <c r="BJ28" s="59">
        <f t="shared" si="38"/>
        <v>27.56942482401746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16.687912087912089</v>
      </c>
      <c r="BY28" s="12">
        <f>IF('Données projet'!$A$114&gt;35,BY27+BX28-CG27,IF(A28&lt;'Données projet'!$A$114,$BV$205^A28,IF(A28='Données projet'!$A$114,'Données projet'!$B$114,BY27+BX28-CG27)))</f>
        <v>185.643956043956</v>
      </c>
      <c r="BZ28" s="13">
        <f>BY28*VLOOKUP('Données projet'!$B$12,Paramètres!$A$1:$I$89,3,0)*VLOOKUP('Données projet'!$B$12,Paramètres!$A$1:$I$89,5,0)</f>
        <v>103.7749714285714</v>
      </c>
      <c r="CA28" s="13">
        <f t="shared" si="39"/>
        <v>27.859383782043167</v>
      </c>
      <c r="CB28" s="20">
        <f t="shared" si="10"/>
        <v>229.26316865848699</v>
      </c>
      <c r="CC28" s="59">
        <f t="shared" si="11"/>
        <v>522.59650199182033</v>
      </c>
      <c r="CD28" s="59">
        <f ca="1">AVERAGE(OFFSET($CC$3,0,0,'Données projet'!$E$12+1,1))-AVERAGE(OFFSET($H$3,0,0,'Données projet'!$E$12+1,1))</f>
        <v>253.62423410951334</v>
      </c>
      <c r="CE28" s="59">
        <f t="shared" si="40"/>
        <v>230.93438491511529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12.455057661070493</v>
      </c>
      <c r="CM28" s="21">
        <f>EXP(-LN(2)/2)*CM27+(1-EXP(-LN(2)/2))/(LN(2)/2)*CG28*CJ28*VLOOKUP('Données projet'!$B$12,Paramètres!$A$1:$I$89,3,0)*0.475*44/12</f>
        <v>4.2586608117571041</v>
      </c>
      <c r="CN28" s="22">
        <f t="shared" si="12"/>
        <v>16.713718472827598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5.2912820512820513</v>
      </c>
      <c r="N29" s="13">
        <f>IF('Données projet'!$A$36&gt;35,N28+M29-V28,IF(A29&lt;'Données projet'!$A$36,$K$205^A29,IF(A29='Données projet'!$A$36,'Données projet'!$B$36,N28+M29-V28)))</f>
        <v>80.771449742989631</v>
      </c>
      <c r="O29" s="13">
        <f>N29*VLOOKUP('Données projet'!$B$9,Paramètres!$A$1:$I$89,3,0)*VLOOKUP('Données projet'!$B$9,Paramètres!$A$1:$I$89,5,0)</f>
        <v>37.801038479719146</v>
      </c>
      <c r="P29" s="13">
        <f t="shared" si="33"/>
        <v>11.413907841250353</v>
      </c>
      <c r="Q29" s="20">
        <f t="shared" si="2"/>
        <v>85.716031509021889</v>
      </c>
      <c r="R29" s="59">
        <f t="shared" si="0"/>
        <v>379.0493648423552</v>
      </c>
      <c r="S29" s="59">
        <f ca="1">AVERAGE(OFFSET($R$3,0,0,'Données projet'!$E$9+1,1))-AVERAGE(OFFSET($H$3,0,0,'Données projet'!$E$9+1,1))</f>
        <v>190.74210845597287</v>
      </c>
      <c r="T29" s="59">
        <f t="shared" si="34"/>
        <v>131.88015896015884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22.828205128205127</v>
      </c>
      <c r="AI29" s="13">
        <f>IF('Données projet'!$A$62&gt;35,AI28+AH29-AQ28,IF(A29&lt;'Données projet'!$A$62,$AF$205^A29,IF(A29='Données projet'!$A$62,'Données projet'!$B$62,AI28+AH29-AQ28)))</f>
        <v>240.55641025641015</v>
      </c>
      <c r="AJ29" s="13">
        <f>AI29*VLOOKUP('Données projet'!$B$10,Paramètres!$A$1:$I$89,3,0)*VLOOKUP('Données projet'!$B$10,Paramètres!$A$1:$I$89,5,0)</f>
        <v>134.47103333333328</v>
      </c>
      <c r="AK29" s="13">
        <f t="shared" si="35"/>
        <v>35.027441907439481</v>
      </c>
      <c r="AL29" s="20">
        <f t="shared" si="4"/>
        <v>295.20984437767919</v>
      </c>
      <c r="AM29" s="59">
        <f t="shared" si="5"/>
        <v>588.5431777110125</v>
      </c>
      <c r="AN29" s="59">
        <f ca="1">AVERAGE(OFFSET($AM$3,0,0,'Données projet'!$E$10+1,1))-AVERAGE(OFFSET($H$3,0,0,'Données projet'!$E$10+1,1))</f>
        <v>278.5296012747549</v>
      </c>
      <c r="AO29" s="59">
        <f t="shared" si="36"/>
        <v>370.55343097937077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11.706732444315998</v>
      </c>
      <c r="AV29" s="21">
        <f>EXP(-LN(2)/25)*AV28+(1-EXP(-LN(2)/25))/(LN(2)/25)*Calculateur!AQ29*Calculateur!AS29*VLOOKUP('Données projet'!$B$10,Paramètres!$A$1:$I$89,3,0)*0.475*44/12</f>
        <v>15.38111506892985</v>
      </c>
      <c r="AW29" s="21">
        <f>EXP(-LN(2)/2)*AW28+(1-EXP(-LN(2)/2))/(LN(2)/2)*AQ29*AT29*VLOOKUP('Données projet'!$B$10,Paramètres!$A$1:$I$89,3,0)*0.475*44/12</f>
        <v>2.9879978873336284</v>
      </c>
      <c r="AX29" s="21">
        <f t="shared" si="6"/>
        <v>30.075845400579475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1.9038461538461537</v>
      </c>
      <c r="BD29" s="12">
        <f>IF('Données projet'!$A$88&gt;35,BD28+BC29-BL28,IF(A29&lt;'Données projet'!$A$88,$BA$205^A29,IF(A29='Données projet'!$A$88,'Données projet'!$B$88,BD28+BC29-BL28)))</f>
        <v>33.305760769985007</v>
      </c>
      <c r="BE29" s="13">
        <f>BD29*VLOOKUP('Données projet'!$B$11,Paramètres!$A$1:$I$89,3,0)*VLOOKUP('Données projet'!$B$11,Paramètres!$A$1:$I$89,5,0)</f>
        <v>15.587096040352984</v>
      </c>
      <c r="BF29" s="13">
        <f t="shared" si="37"/>
        <v>5.2177036111803705</v>
      </c>
      <c r="BG29" s="20">
        <f t="shared" si="7"/>
        <v>36.235026059753928</v>
      </c>
      <c r="BH29" s="59">
        <f t="shared" si="8"/>
        <v>329.56835939308723</v>
      </c>
      <c r="BI29" s="59">
        <f ca="1">AVERAGE(OFFSET($BH$3,0,0,'Données projet'!$E$11+1,1))-AVERAGE(OFFSET($H$3,0,0,'Données projet'!$E$11+1,1))</f>
        <v>111.85541298746966</v>
      </c>
      <c r="BJ29" s="59">
        <f t="shared" si="38"/>
        <v>27.56942482401746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16.687912087912089</v>
      </c>
      <c r="BY29" s="12">
        <f>IF('Données projet'!$A$114&gt;35,BY28+BX29-CG28,IF(A29&lt;'Données projet'!$A$114,$BV$205^A29,IF(A29='Données projet'!$A$114,'Données projet'!$B$114,BY28+BX29-CG28)))</f>
        <v>202.33186813186808</v>
      </c>
      <c r="BZ29" s="13">
        <f>BY29*VLOOKUP('Données projet'!$B$12,Paramètres!$A$1:$I$89,3,0)*VLOOKUP('Données projet'!$B$12,Paramètres!$A$1:$I$89,5,0)</f>
        <v>113.10351428571425</v>
      </c>
      <c r="CA29" s="13">
        <f t="shared" si="39"/>
        <v>30.061008485627202</v>
      </c>
      <c r="CB29" s="20">
        <f t="shared" si="10"/>
        <v>249.34487716008638</v>
      </c>
      <c r="CC29" s="59">
        <f t="shared" si="11"/>
        <v>542.67821049341967</v>
      </c>
      <c r="CD29" s="59">
        <f ca="1">AVERAGE(OFFSET($CC$3,0,0,'Données projet'!$E$12+1,1))-AVERAGE(OFFSET($H$3,0,0,'Données projet'!$E$12+1,1))</f>
        <v>253.62423410951334</v>
      </c>
      <c r="CE29" s="59">
        <f t="shared" si="40"/>
        <v>230.93438491511529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12.114473454345504</v>
      </c>
      <c r="CM29" s="21">
        <f>EXP(-LN(2)/2)*CM28+(1-EXP(-LN(2)/2))/(LN(2)/2)*CG29*CJ29*VLOOKUP('Données projet'!$B$12,Paramètres!$A$1:$I$89,3,0)*0.475*44/12</f>
        <v>3.0113279387668554</v>
      </c>
      <c r="CN29" s="22">
        <f t="shared" si="12"/>
        <v>15.12580139311236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5.2912820512820513</v>
      </c>
      <c r="N30" s="13">
        <f>IF('Données projet'!$A$36&gt;35,N29+M30-V29,IF(A30&lt;'Données projet'!$A$36,$K$205^A30,IF(A30='Données projet'!$A$36,'Données projet'!$B$36,N29+M30-V29)))</f>
        <v>95.634358757574688</v>
      </c>
      <c r="O30" s="13">
        <f>N30*VLOOKUP('Données projet'!$B$9,Paramètres!$A$1:$I$89,3,0)*VLOOKUP('Données projet'!$B$9,Paramètres!$A$1:$I$89,5,0)</f>
        <v>44.756879898544952</v>
      </c>
      <c r="P30" s="13">
        <f t="shared" si="33"/>
        <v>13.251095595149819</v>
      </c>
      <c r="Q30" s="20">
        <f t="shared" si="2"/>
        <v>101.03055731818506</v>
      </c>
      <c r="R30" s="59">
        <f t="shared" si="0"/>
        <v>394.36389065151837</v>
      </c>
      <c r="S30" s="59">
        <f ca="1">AVERAGE(OFFSET($R$3,0,0,'Données projet'!$E$9+1,1))-AVERAGE(OFFSET($H$3,0,0,'Données projet'!$E$9+1,1))</f>
        <v>190.74210845597287</v>
      </c>
      <c r="T30" s="59">
        <f t="shared" si="34"/>
        <v>131.88015896015884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22.828205128205127</v>
      </c>
      <c r="AI30" s="13">
        <f>IF('Données projet'!$A$62&gt;35,AI29+AH30-AQ29,IF(A30&lt;'Données projet'!$A$62,$AF$205^A30,IF(A30='Données projet'!$A$62,'Données projet'!$B$62,AI29+AH30-AQ29)))</f>
        <v>263.38461538461524</v>
      </c>
      <c r="AJ30" s="13">
        <f>AI30*VLOOKUP('Données projet'!$B$10,Paramètres!$A$1:$I$89,3,0)*VLOOKUP('Données projet'!$B$10,Paramètres!$A$1:$I$89,5,0)</f>
        <v>147.23199999999994</v>
      </c>
      <c r="AK30" s="13">
        <f t="shared" si="35"/>
        <v>37.948867426510738</v>
      </c>
      <c r="AL30" s="20">
        <f t="shared" si="4"/>
        <v>322.52334410117277</v>
      </c>
      <c r="AM30" s="59">
        <f t="shared" si="5"/>
        <v>615.85667743450608</v>
      </c>
      <c r="AN30" s="59">
        <f ca="1">AVERAGE(OFFSET($AM$3,0,0,'Données projet'!$E$10+1,1))-AVERAGE(OFFSET($H$3,0,0,'Données projet'!$E$10+1,1))</f>
        <v>278.5296012747549</v>
      </c>
      <c r="AO30" s="59">
        <f t="shared" si="36"/>
        <v>370.55343097937077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11.477170561484696</v>
      </c>
      <c r="AV30" s="21">
        <f>EXP(-LN(2)/25)*AV29+(1-EXP(-LN(2)/25))/(LN(2)/25)*Calculateur!AQ30*Calculateur!AS30*VLOOKUP('Données projet'!$B$10,Paramètres!$A$1:$I$89,3,0)*0.475*44/12</f>
        <v>14.960517668512276</v>
      </c>
      <c r="AW30" s="21">
        <f>EXP(-LN(2)/2)*AW29+(1-EXP(-LN(2)/2))/(LN(2)/2)*AQ30*AT30*VLOOKUP('Données projet'!$B$10,Paramètres!$A$1:$I$89,3,0)*0.475*44/12</f>
        <v>2.1128335683046862</v>
      </c>
      <c r="AX30" s="21">
        <f t="shared" si="6"/>
        <v>28.550521798301659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1.9038461538461537</v>
      </c>
      <c r="BD30" s="12">
        <f>IF('Données projet'!$A$88&gt;35,BD29+BC30-BL29,IF(A30&lt;'Données projet'!$A$88,$BA$205^A30,IF(A30='Données projet'!$A$88,'Données projet'!$B$88,BD29+BC30-BL29)))</f>
        <v>38.11340897793481</v>
      </c>
      <c r="BE30" s="13">
        <f>BD30*VLOOKUP('Données projet'!$B$11,Paramètres!$A$1:$I$89,3,0)*VLOOKUP('Données projet'!$B$11,Paramètres!$A$1:$I$89,5,0)</f>
        <v>17.837075401673491</v>
      </c>
      <c r="BF30" s="13">
        <f t="shared" si="37"/>
        <v>5.8778925183248871</v>
      </c>
      <c r="BG30" s="20">
        <f t="shared" si="7"/>
        <v>41.303569127330512</v>
      </c>
      <c r="BH30" s="59">
        <f t="shared" si="8"/>
        <v>334.6369024606638</v>
      </c>
      <c r="BI30" s="59">
        <f ca="1">AVERAGE(OFFSET($BH$3,0,0,'Données projet'!$E$11+1,1))-AVERAGE(OFFSET($H$3,0,0,'Données projet'!$E$11+1,1))</f>
        <v>111.85541298746966</v>
      </c>
      <c r="BJ30" s="59">
        <f t="shared" si="38"/>
        <v>27.56942482401746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16.687912087912089</v>
      </c>
      <c r="BY30" s="12">
        <f>IF('Données projet'!$A$114&gt;35,BY29+BX30-CG29,IF(A30&lt;'Données projet'!$A$114,$BV$205^A30,IF(A30='Données projet'!$A$114,'Données projet'!$B$114,BY29+BX30-CG29)))</f>
        <v>219.01978021978016</v>
      </c>
      <c r="BZ30" s="13">
        <f>BY30*VLOOKUP('Données projet'!$B$12,Paramètres!$A$1:$I$89,3,0)*VLOOKUP('Données projet'!$B$12,Paramètres!$A$1:$I$89,5,0)</f>
        <v>122.43205714285712</v>
      </c>
      <c r="CA30" s="13">
        <f t="shared" si="39"/>
        <v>32.241572593058322</v>
      </c>
      <c r="CB30" s="20">
        <f t="shared" si="10"/>
        <v>269.38990512338603</v>
      </c>
      <c r="CC30" s="59">
        <f t="shared" si="11"/>
        <v>562.7232384567194</v>
      </c>
      <c r="CD30" s="59">
        <f ca="1">AVERAGE(OFFSET($CC$3,0,0,'Données projet'!$E$12+1,1))-AVERAGE(OFFSET($H$3,0,0,'Données projet'!$E$12+1,1))</f>
        <v>253.62423410951334</v>
      </c>
      <c r="CE30" s="59">
        <f t="shared" si="40"/>
        <v>230.93438491511529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11.783202540663956</v>
      </c>
      <c r="CM30" s="21">
        <f>EXP(-LN(2)/2)*CM29+(1-EXP(-LN(2)/2))/(LN(2)/2)*CG30*CJ30*VLOOKUP('Données projet'!$B$12,Paramètres!$A$1:$I$89,3,0)*0.475*44/12</f>
        <v>2.129330405878552</v>
      </c>
      <c r="CN30" s="22">
        <f t="shared" si="12"/>
        <v>13.912532946542507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5.2912820512820513</v>
      </c>
      <c r="N31" s="13">
        <f>IF('Données projet'!$A$36&gt;35,N30+M31-V30,IF(A31&lt;'Données projet'!$A$36,$K$205^A31,IF(A31='Données projet'!$A$36,'Données projet'!$B$36,N30+M31-V30)))</f>
        <v>113.23222009849215</v>
      </c>
      <c r="O31" s="13">
        <f>N31*VLOOKUP('Données projet'!$B$9,Paramètres!$A$1:$I$89,3,0)*VLOOKUP('Données projet'!$B$9,Paramètres!$A$1:$I$89,5,0)</f>
        <v>52.992679006094328</v>
      </c>
      <c r="P31" s="13">
        <f t="shared" si="33"/>
        <v>15.383997918504607</v>
      </c>
      <c r="Q31" s="20">
        <f t="shared" si="2"/>
        <v>119.08937897700982</v>
      </c>
      <c r="R31" s="59">
        <f t="shared" si="0"/>
        <v>412.42271231034312</v>
      </c>
      <c r="S31" s="59">
        <f ca="1">AVERAGE(OFFSET($R$3,0,0,'Données projet'!$E$9+1,1))-AVERAGE(OFFSET($H$3,0,0,'Données projet'!$E$9+1,1))</f>
        <v>190.74210845597287</v>
      </c>
      <c r="T31" s="59">
        <f t="shared" si="34"/>
        <v>131.88015896015884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22.828205128205127</v>
      </c>
      <c r="AI31" s="13">
        <f>IF('Données projet'!$A$62&gt;35,AI30+AH31-AQ30,IF(A31&lt;'Données projet'!$A$62,$AF$205^A31,IF(A31='Données projet'!$A$62,'Données projet'!$B$62,AI30+AH31-AQ30)))</f>
        <v>286.21282051282037</v>
      </c>
      <c r="AJ31" s="13">
        <f>AI31*VLOOKUP('Données projet'!$B$10,Paramètres!$A$1:$I$89,3,0)*VLOOKUP('Données projet'!$B$10,Paramètres!$A$1:$I$89,5,0)</f>
        <v>159.99296666666658</v>
      </c>
      <c r="AK31" s="13">
        <f t="shared" si="35"/>
        <v>40.840929014671453</v>
      </c>
      <c r="AL31" s="20">
        <f t="shared" si="4"/>
        <v>349.785701644997</v>
      </c>
      <c r="AM31" s="59">
        <f t="shared" si="5"/>
        <v>643.11903497833032</v>
      </c>
      <c r="AN31" s="59">
        <f ca="1">AVERAGE(OFFSET($AM$3,0,0,'Données projet'!$E$10+1,1))-AVERAGE(OFFSET($H$3,0,0,'Données projet'!$E$10+1,1))</f>
        <v>278.5296012747549</v>
      </c>
      <c r="AO31" s="59">
        <f t="shared" si="36"/>
        <v>370.55343097937077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11.252110247156793</v>
      </c>
      <c r="AV31" s="21">
        <f>EXP(-LN(2)/25)*AV30+(1-EXP(-LN(2)/25))/(LN(2)/25)*Calculateur!AQ31*Calculateur!AS31*VLOOKUP('Données projet'!$B$10,Paramètres!$A$1:$I$89,3,0)*0.475*44/12</f>
        <v>14.551421526127376</v>
      </c>
      <c r="AW31" s="21">
        <f>EXP(-LN(2)/2)*AW30+(1-EXP(-LN(2)/2))/(LN(2)/2)*AQ31*AT31*VLOOKUP('Données projet'!$B$10,Paramètres!$A$1:$I$89,3,0)*0.475*44/12</f>
        <v>1.4939989436668142</v>
      </c>
      <c r="AX31" s="21">
        <f t="shared" si="6"/>
        <v>27.297530716950984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1.9038461538461537</v>
      </c>
      <c r="BD31" s="12">
        <f>IF('Données projet'!$A$88&gt;35,BD30+BC31-BL30,IF(A31&lt;'Données projet'!$A$88,$BA$205^A31,IF(A31='Données projet'!$A$88,'Données projet'!$B$88,BD30+BC31-BL30)))</f>
        <v>43.615035667596189</v>
      </c>
      <c r="BE31" s="13">
        <f>BD31*VLOOKUP('Données projet'!$B$11,Paramètres!$A$1:$I$89,3,0)*VLOOKUP('Données projet'!$B$11,Paramètres!$A$1:$I$89,5,0)</f>
        <v>20.411836692435017</v>
      </c>
      <c r="BF31" s="13">
        <f t="shared" si="37"/>
        <v>6.6216142256427908</v>
      </c>
      <c r="BG31" s="20">
        <f t="shared" si="7"/>
        <v>47.083260348985512</v>
      </c>
      <c r="BH31" s="59">
        <f t="shared" si="8"/>
        <v>340.41659368231882</v>
      </c>
      <c r="BI31" s="59">
        <f ca="1">AVERAGE(OFFSET($BH$3,0,0,'Données projet'!$E$11+1,1))-AVERAGE(OFFSET($H$3,0,0,'Données projet'!$E$11+1,1))</f>
        <v>111.85541298746966</v>
      </c>
      <c r="BJ31" s="59">
        <f t="shared" si="38"/>
        <v>27.56942482401746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>
        <f>VLOOKUP(A31,'Données projet'!$A$113:$I$133,2,0)</f>
        <v>235.7076923076923</v>
      </c>
      <c r="BW31" s="12">
        <f>VLOOKUP(A31,'Données projet'!$A$113:$I$133,9,0)</f>
        <v>16.687912087912089</v>
      </c>
      <c r="BX31" s="12">
        <f t="array" ref="BX31">INDEX(BW:BW,MIN(IF(ISNUMBER(BW31:BW227),ROW(BW31:BW227),"")))</f>
        <v>16.687912087912089</v>
      </c>
      <c r="BY31" s="12">
        <f>IF('Données projet'!$A$114&gt;35,BY30+BX31-CG30,IF(A31&lt;'Données projet'!$A$114,$BV$205^A31,IF(A31='Données projet'!$A$114,'Données projet'!$B$114,BY30+BX31-CG30)))</f>
        <v>235.70769230769224</v>
      </c>
      <c r="BZ31" s="13">
        <f>BY31*VLOOKUP('Données projet'!$B$12,Paramètres!$A$1:$I$89,3,0)*VLOOKUP('Données projet'!$B$12,Paramètres!$A$1:$I$89,5,0)</f>
        <v>131.76059999999995</v>
      </c>
      <c r="CA31" s="13">
        <f t="shared" si="39"/>
        <v>34.402863243711892</v>
      </c>
      <c r="CB31" s="20">
        <f t="shared" si="10"/>
        <v>289.40136514946477</v>
      </c>
      <c r="CC31" s="59">
        <f t="shared" si="11"/>
        <v>582.73469848279808</v>
      </c>
      <c r="CD31" s="59">
        <f ca="1">AVERAGE(OFFSET($CC$3,0,0,'Données projet'!$E$12+1,1))-AVERAGE(OFFSET($H$3,0,0,'Données projet'!$E$12+1,1))</f>
        <v>253.62423410951334</v>
      </c>
      <c r="CE31" s="59">
        <f t="shared" si="40"/>
        <v>230.93438491511529</v>
      </c>
      <c r="CF31" s="15">
        <f>IF(ISNA(VLOOKUP(A31,'Données projet'!$A$113:$I$133,3,0)),0,VLOOKUP(A31,'Données projet'!$A$113:$I$133,3,0))</f>
        <v>2</v>
      </c>
      <c r="CG31" s="15">
        <f>IF(ISNA(VLOOKUP(A31,'Données projet'!$A$113:$I$133,4,0)),0,VLOOKUP(A31,'Données projet'!$A$113:$I$133,4,0))</f>
        <v>56.91538461538461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0.30800000000000005</v>
      </c>
      <c r="CJ31" s="16">
        <f>IF(ISNA(VLOOKUP(A31,'Données projet'!$A$113:$I$133,7,0)),0%,VLOOKUP(A31,'Données projet'!$A$113:$I$133,7,0))</f>
        <v>0.44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24.409124618308635</v>
      </c>
      <c r="CM31" s="21">
        <f>EXP(-LN(2)/2)*CM30+(1-EXP(-LN(2)/2))/(LN(2)/2)*CG31*CJ31*VLOOKUP('Données projet'!$B$12,Paramètres!$A$1:$I$89,3,0)*0.475*44/12</f>
        <v>17.355679737085048</v>
      </c>
      <c r="CN31" s="22">
        <f t="shared" si="12"/>
        <v>41.764804355393679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5.2912820512820513</v>
      </c>
      <c r="N32" s="13">
        <f>IF('Données projet'!$A$36&gt;35,N31+M32-V31,IF(A32&lt;'Données projet'!$A$36,$K$205^A32,IF(A32='Données projet'!$A$36,'Données projet'!$B$36,N31+M32-V31)))</f>
        <v>134.06829757634409</v>
      </c>
      <c r="O32" s="13">
        <f>N32*VLOOKUP('Données projet'!$B$9,Paramètres!$A$1:$I$89,3,0)*VLOOKUP('Données projet'!$B$9,Paramètres!$A$1:$I$89,5,0)</f>
        <v>62.743963265729036</v>
      </c>
      <c r="P32" s="13">
        <f t="shared" si="33"/>
        <v>17.860213161784099</v>
      </c>
      <c r="Q32" s="20">
        <f t="shared" si="2"/>
        <v>140.38560727791869</v>
      </c>
      <c r="R32" s="59">
        <f t="shared" si="0"/>
        <v>433.71894061125204</v>
      </c>
      <c r="S32" s="59">
        <f ca="1">AVERAGE(OFFSET($R$3,0,0,'Données projet'!$E$9+1,1))-AVERAGE(OFFSET($H$3,0,0,'Données projet'!$E$9+1,1))</f>
        <v>190.74210845597287</v>
      </c>
      <c r="T32" s="59">
        <f t="shared" si="34"/>
        <v>131.88015896015884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22.828205128205127</v>
      </c>
      <c r="AI32" s="13">
        <f>IF('Données projet'!$A$62&gt;35,AI31+AH32-AQ31,IF(A32&lt;'Données projet'!$A$62,$AF$205^A32,IF(A32='Données projet'!$A$62,'Données projet'!$B$62,AI31+AH32-AQ31)))</f>
        <v>309.0410256410255</v>
      </c>
      <c r="AJ32" s="13">
        <f>AI32*VLOOKUP('Données projet'!$B$10,Paramètres!$A$1:$I$89,3,0)*VLOOKUP('Données projet'!$B$10,Paramètres!$A$1:$I$89,5,0)</f>
        <v>172.75393333333326</v>
      </c>
      <c r="AK32" s="13">
        <f t="shared" si="35"/>
        <v>43.706234996805463</v>
      </c>
      <c r="AL32" s="20">
        <f t="shared" si="4"/>
        <v>377.00145984165829</v>
      </c>
      <c r="AM32" s="59">
        <f t="shared" si="5"/>
        <v>670.33479317499155</v>
      </c>
      <c r="AN32" s="59">
        <f ca="1">AVERAGE(OFFSET($AM$3,0,0,'Données projet'!$E$10+1,1))-AVERAGE(OFFSET($H$3,0,0,'Données projet'!$E$10+1,1))</f>
        <v>278.5296012747549</v>
      </c>
      <c r="AO32" s="59">
        <f t="shared" si="36"/>
        <v>370.55343097937077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11.031463228319623</v>
      </c>
      <c r="AV32" s="21">
        <f>EXP(-LN(2)/25)*AV31+(1-EXP(-LN(2)/25))/(LN(2)/25)*Calculateur!AQ32*Calculateur!AS32*VLOOKUP('Données projet'!$B$10,Paramètres!$A$1:$I$89,3,0)*0.475*44/12</f>
        <v>14.153512139269422</v>
      </c>
      <c r="AW32" s="21">
        <f>EXP(-LN(2)/2)*AW31+(1-EXP(-LN(2)/2))/(LN(2)/2)*AQ32*AT32*VLOOKUP('Données projet'!$B$10,Paramètres!$A$1:$I$89,3,0)*0.475*44/12</f>
        <v>1.0564167841523431</v>
      </c>
      <c r="AX32" s="21">
        <f t="shared" si="6"/>
        <v>26.24139215174139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1.9038461538461537</v>
      </c>
      <c r="BD32" s="12">
        <f>IF('Données projet'!$A$88&gt;35,BD31+BC32-BL31,IF(A32&lt;'Données projet'!$A$88,$BA$205^A32,IF(A32='Données projet'!$A$88,'Données projet'!$B$88,BD31+BC32-BL31)))</f>
        <v>49.910815833529334</v>
      </c>
      <c r="BE32" s="13">
        <f>BD32*VLOOKUP('Données projet'!$B$11,Paramètres!$A$1:$I$89,3,0)*VLOOKUP('Données projet'!$B$11,Paramètres!$A$1:$I$89,5,0)</f>
        <v>23.358261810091726</v>
      </c>
      <c r="BF32" s="13">
        <f t="shared" si="37"/>
        <v>7.4594380241798577</v>
      </c>
      <c r="BG32" s="20">
        <f t="shared" si="7"/>
        <v>53.67416054468967</v>
      </c>
      <c r="BH32" s="59">
        <f t="shared" si="8"/>
        <v>347.00749387802296</v>
      </c>
      <c r="BI32" s="59">
        <f ca="1">AVERAGE(OFFSET($BH$3,0,0,'Données projet'!$E$11+1,1))-AVERAGE(OFFSET($H$3,0,0,'Données projet'!$E$11+1,1))</f>
        <v>111.85541298746966</v>
      </c>
      <c r="BJ32" s="59">
        <f t="shared" si="38"/>
        <v>27.56942482401746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18.099999999999994</v>
      </c>
      <c r="BY32" s="12">
        <f>IF('Données projet'!$A$114&gt;35,BY31+BX32-CG31,IF(A32&lt;'Données projet'!$A$114,$BV$205^A32,IF(A32='Données projet'!$A$114,'Données projet'!$B$114,BY31+BX32-CG31)))</f>
        <v>196.89230769230761</v>
      </c>
      <c r="BZ32" s="13">
        <f>BY32*VLOOKUP('Données projet'!$B$12,Paramètres!$A$1:$I$89,3,0)*VLOOKUP('Données projet'!$B$12,Paramètres!$A$1:$I$89,5,0)</f>
        <v>110.06279999999995</v>
      </c>
      <c r="CA32" s="13">
        <f t="shared" si="39"/>
        <v>29.345780250854357</v>
      </c>
      <c r="CB32" s="20">
        <f t="shared" si="10"/>
        <v>242.80327727023788</v>
      </c>
      <c r="CC32" s="59">
        <f t="shared" si="11"/>
        <v>536.13661060357117</v>
      </c>
      <c r="CD32" s="59">
        <f ca="1">AVERAGE(OFFSET($CC$3,0,0,'Données projet'!$E$12+1,1))-AVERAGE(OFFSET($H$3,0,0,'Données projet'!$E$12+1,1))</f>
        <v>253.62423410951334</v>
      </c>
      <c r="CE32" s="59">
        <f t="shared" si="40"/>
        <v>230.93438491511529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23.741655822000908</v>
      </c>
      <c r="CM32" s="21">
        <f>EXP(-LN(2)/2)*CM31+(1-EXP(-LN(2)/2))/(LN(2)/2)*CG32*CJ32*VLOOKUP('Données projet'!$B$12,Paramètres!$A$1:$I$89,3,0)*0.475*44/12</f>
        <v>12.272318834194794</v>
      </c>
      <c r="CN32" s="22">
        <f t="shared" si="12"/>
        <v>36.0139746561957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158.73846153846154</v>
      </c>
      <c r="L33" s="12">
        <f>VLOOKUP(A33,'Données projet'!$A$35:$I$55,9,0)</f>
        <v>5.2912820512820513</v>
      </c>
      <c r="M33" s="12">
        <f t="array" ref="M33">INDEX(L:L,MIN(IF(ISNUMBER(L33:L229),ROW(L33:L229),"")))</f>
        <v>5.2912820512820513</v>
      </c>
      <c r="N33" s="13">
        <f>IF('Données projet'!$A$36&gt;35,N32+M33-V32,IF(A33&lt;'Données projet'!$A$36,$K$205^A33,IF(A33='Données projet'!$A$36,'Données projet'!$B$36,N32+M33-V32)))</f>
        <v>158.73846153846154</v>
      </c>
      <c r="O33" s="13">
        <f>N33*VLOOKUP('Données projet'!$B$9,Paramètres!$A$1:$I$89,3,0)*VLOOKUP('Données projet'!$B$9,Paramètres!$A$1:$I$89,5,0)</f>
        <v>74.289599999999993</v>
      </c>
      <c r="P33" s="13">
        <f t="shared" si="33"/>
        <v>20.735001127416453</v>
      </c>
      <c r="Q33" s="20">
        <f t="shared" si="2"/>
        <v>165.50118029691697</v>
      </c>
      <c r="R33" s="59">
        <f t="shared" si="0"/>
        <v>458.83451363025029</v>
      </c>
      <c r="S33" s="59">
        <f ca="1">AVERAGE(OFFSET($R$3,0,0,'Données projet'!$E$9+1,1))-AVERAGE(OFFSET($H$3,0,0,'Données projet'!$E$9+1,1))</f>
        <v>190.74210845597287</v>
      </c>
      <c r="T33" s="59">
        <f t="shared" si="34"/>
        <v>131.88015896015884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331.86923076923074</v>
      </c>
      <c r="AG33" s="12">
        <f>VLOOKUP(A33,'Données projet'!$A$61:$I$81,9,0)</f>
        <v>22.828205128205127</v>
      </c>
      <c r="AH33" s="12">
        <f t="array" ref="AH33">INDEX(AG:AG,MIN(IF(ISNUMBER(AG33:AG229),ROW(AG33:AG229),"")))</f>
        <v>22.828205128205127</v>
      </c>
      <c r="AI33" s="13">
        <f>IF('Données projet'!$A$62&gt;35,AI32+AH33-AQ32,IF(A33&lt;'Données projet'!$A$62,$AF$205^A33,IF(A33='Données projet'!$A$62,'Données projet'!$B$62,AI32+AH33-AQ32)))</f>
        <v>331.86923076923063</v>
      </c>
      <c r="AJ33" s="13">
        <f>AI33*VLOOKUP('Données projet'!$B$10,Paramètres!$A$1:$I$89,3,0)*VLOOKUP('Données projet'!$B$10,Paramètres!$A$1:$I$89,5,0)</f>
        <v>185.5148999999999</v>
      </c>
      <c r="AK33" s="13">
        <f t="shared" si="35"/>
        <v>46.546986497298995</v>
      </c>
      <c r="AL33" s="20">
        <f t="shared" si="4"/>
        <v>404.17445231612891</v>
      </c>
      <c r="AM33" s="59">
        <f t="shared" si="5"/>
        <v>697.50778564946222</v>
      </c>
      <c r="AN33" s="59">
        <f ca="1">AVERAGE(OFFSET($AM$3,0,0,'Données projet'!$E$10+1,1))-AVERAGE(OFFSET($H$3,0,0,'Données projet'!$E$10+1,1))</f>
        <v>278.5296012747549</v>
      </c>
      <c r="AO33" s="59">
        <f t="shared" si="36"/>
        <v>370.55343097937077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65.669230769230765</v>
      </c>
      <c r="AR33" s="16">
        <f>IF(ISNA(VLOOKUP(A33,'Données projet'!$A$61:$I$81,5,0)),0%,VLOOKUP(A33,'Données projet'!$A$61:$I$81,5,0)*VLOOKUP('Données projet'!$B$10,Paramètres!$A$1:$I$89,7,0))</f>
        <v>0.38500000000000001</v>
      </c>
      <c r="AS33" s="16">
        <f>IF(ISNA(VLOOKUP(A33,'Données projet'!$A$61:$I$81,6,0)),0%,VLOOKUP(A33,'Données projet'!$A$61:$I$81,6,0)*VLOOKUP('Données projet'!$B$10,Paramètres!$A$1:$I$89,7,0))</f>
        <v>9.240000000000001E-2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29.563483054643072</v>
      </c>
      <c r="AV33" s="21">
        <f>EXP(-LN(2)/25)*AV32+(1-EXP(-LN(2)/25))/(LN(2)/25)*Calculateur!AQ33*Calculateur!AS33*VLOOKUP('Données projet'!$B$10,Paramètres!$A$1:$I$89,3,0)*0.475*44/12</f>
        <v>18.248368581460394</v>
      </c>
      <c r="AW33" s="21">
        <f>EXP(-LN(2)/2)*AW32+(1-EXP(-LN(2)/2))/(LN(2)/2)*AQ33*AT33*VLOOKUP('Données projet'!$B$10,Paramètres!$A$1:$I$89,3,0)*0.475*44/12</f>
        <v>6.233345651406407</v>
      </c>
      <c r="AX33" s="21">
        <f t="shared" si="6"/>
        <v>54.045197287509879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57.115384615384613</v>
      </c>
      <c r="BB33" s="12">
        <f>VLOOKUP(A33,'Données projet'!$A$87:$I$107,9,0)</f>
        <v>1.9038461538461537</v>
      </c>
      <c r="BC33" s="12">
        <f t="array" ref="BC33">INDEX(BB:BB,MIN(IF(ISNUMBER(BB33:BB229),ROW(BB33:BB229),"")))</f>
        <v>1.9038461538461537</v>
      </c>
      <c r="BD33" s="12">
        <f>IF('Données projet'!$A$88&gt;35,BD32+BC33-BL32,IF(A33&lt;'Données projet'!$A$88,$BA$205^A33,IF(A33='Données projet'!$A$88,'Données projet'!$B$88,BD32+BC33-BL32)))</f>
        <v>57.115384615384613</v>
      </c>
      <c r="BE33" s="13">
        <f>BD33*VLOOKUP('Données projet'!$B$11,Paramètres!$A$1:$I$89,3,0)*VLOOKUP('Données projet'!$B$11,Paramètres!$A$1:$I$89,5,0)</f>
        <v>26.73</v>
      </c>
      <c r="BF33" s="13">
        <f t="shared" si="37"/>
        <v>8.4032705229333438</v>
      </c>
      <c r="BG33" s="20">
        <f t="shared" si="7"/>
        <v>61.190446160775572</v>
      </c>
      <c r="BH33" s="59">
        <f t="shared" si="8"/>
        <v>354.52377949410891</v>
      </c>
      <c r="BI33" s="59">
        <f ca="1">AVERAGE(OFFSET($BH$3,0,0,'Données projet'!$E$11+1,1))-AVERAGE(OFFSET($H$3,0,0,'Données projet'!$E$11+1,1))</f>
        <v>111.85541298746966</v>
      </c>
      <c r="BJ33" s="59">
        <f t="shared" si="38"/>
        <v>27.56942482401746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214.99230769230769</v>
      </c>
      <c r="BW33" s="12">
        <f>VLOOKUP(A33,'Données projet'!$A$113:$I$133,9,0)</f>
        <v>18.099999999999994</v>
      </c>
      <c r="BX33" s="12">
        <f t="array" ref="BX33">INDEX(BW:BW,MIN(IF(ISNUMBER(BW33:BW229),ROW(BW33:BW229),"")))</f>
        <v>18.099999999999994</v>
      </c>
      <c r="BY33" s="12">
        <f>IF('Données projet'!$A$114&gt;35,BY32+BX33-CG32,IF(A33&lt;'Données projet'!$A$114,$BV$205^A33,IF(A33='Données projet'!$A$114,'Données projet'!$B$114,BY32+BX33-CG32)))</f>
        <v>214.99230769230761</v>
      </c>
      <c r="BZ33" s="13">
        <f>BY33*VLOOKUP('Données projet'!$B$12,Paramètres!$A$1:$I$89,3,0)*VLOOKUP('Données projet'!$B$12,Paramètres!$A$1:$I$89,5,0)</f>
        <v>120.18069999999996</v>
      </c>
      <c r="CA33" s="13">
        <f t="shared" si="39"/>
        <v>31.717140910166616</v>
      </c>
      <c r="CB33" s="20">
        <f t="shared" si="10"/>
        <v>264.55540625187342</v>
      </c>
      <c r="CC33" s="59">
        <f t="shared" si="11"/>
        <v>557.88873958520674</v>
      </c>
      <c r="CD33" s="59">
        <f ca="1">AVERAGE(OFFSET($CC$3,0,0,'Données projet'!$E$12+1,1))-AVERAGE(OFFSET($H$3,0,0,'Données projet'!$E$12+1,1))</f>
        <v>253.62423410951334</v>
      </c>
      <c r="CE33" s="59">
        <f t="shared" si="40"/>
        <v>230.93438491511529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23.092438995028875</v>
      </c>
      <c r="CM33" s="21">
        <f>EXP(-LN(2)/2)*CM32+(1-EXP(-LN(2)/2))/(LN(2)/2)*CG33*CJ33*VLOOKUP('Données projet'!$B$12,Paramètres!$A$1:$I$89,3,0)*0.475*44/12</f>
        <v>8.6778398685425238</v>
      </c>
      <c r="CN33" s="22">
        <f t="shared" si="12"/>
        <v>31.770278863571399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14.690384615384611</v>
      </c>
      <c r="N34" s="13">
        <f>IF('Données projet'!$A$36&gt;35,N33+M34-V33,IF(A34&lt;'Données projet'!$A$36,$K$205^A34,IF(A34='Données projet'!$A$36,'Données projet'!$B$36,N33+M34-V33)))</f>
        <v>173.42884615384614</v>
      </c>
      <c r="O34" s="13">
        <f>N34*VLOOKUP('Données projet'!$B$9,Paramètres!$A$1:$I$89,3,0)*VLOOKUP('Données projet'!$B$9,Paramètres!$A$1:$I$89,5,0)</f>
        <v>81.164699999999996</v>
      </c>
      <c r="P34" s="13">
        <f t="shared" si="33"/>
        <v>22.421719335385692</v>
      </c>
      <c r="Q34" s="20">
        <f t="shared" si="2"/>
        <v>180.41301367579672</v>
      </c>
      <c r="R34" s="59">
        <f t="shared" si="0"/>
        <v>473.74634700913003</v>
      </c>
      <c r="S34" s="59">
        <f ca="1">AVERAGE(OFFSET($R$3,0,0,'Données projet'!$E$9+1,1))-AVERAGE(OFFSET($H$3,0,0,'Données projet'!$E$9+1,1))</f>
        <v>190.74210845597287</v>
      </c>
      <c r="T34" s="59">
        <f t="shared" si="34"/>
        <v>131.88015896015884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22.884615384615397</v>
      </c>
      <c r="AI34" s="13">
        <f>IF('Données projet'!$A$62&gt;35,AI33+AH34-AQ33,IF(A34&lt;'Données projet'!$A$62,$AF$205^A34,IF(A34='Données projet'!$A$62,'Données projet'!$B$62,AI33+AH34-AQ33)))</f>
        <v>289.08461538461529</v>
      </c>
      <c r="AJ34" s="13">
        <f>AI34*VLOOKUP('Données projet'!$B$10,Paramètres!$A$1:$I$89,3,0)*VLOOKUP('Données projet'!$B$10,Paramètres!$A$1:$I$89,5,0)</f>
        <v>161.59829999999994</v>
      </c>
      <c r="AK34" s="13">
        <f t="shared" si="35"/>
        <v>41.202807619439731</v>
      </c>
      <c r="AL34" s="20">
        <f t="shared" si="4"/>
        <v>353.21192910385736</v>
      </c>
      <c r="AM34" s="59">
        <f t="shared" si="5"/>
        <v>646.54526243719067</v>
      </c>
      <c r="AN34" s="59">
        <f ca="1">AVERAGE(OFFSET($AM$3,0,0,'Données projet'!$E$10+1,1))-AVERAGE(OFFSET($H$3,0,0,'Données projet'!$E$10+1,1))</f>
        <v>278.5296012747549</v>
      </c>
      <c r="AO34" s="59">
        <f t="shared" si="36"/>
        <v>370.55343097937077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28.983761183885679</v>
      </c>
      <c r="AV34" s="21">
        <f>EXP(-LN(2)/25)*AV33+(1-EXP(-LN(2)/25))/(LN(2)/25)*Calculateur!AQ34*Calculateur!AS34*VLOOKUP('Données projet'!$B$10,Paramètres!$A$1:$I$89,3,0)*0.475*44/12</f>
        <v>17.749365982960363</v>
      </c>
      <c r="AW34" s="21">
        <f>EXP(-LN(2)/2)*AW33+(1-EXP(-LN(2)/2))/(LN(2)/2)*AQ34*AT34*VLOOKUP('Données projet'!$B$10,Paramètres!$A$1:$I$89,3,0)*0.475*44/12</f>
        <v>4.4076409795891482</v>
      </c>
      <c r="AX34" s="21">
        <f t="shared" si="6"/>
        <v>51.140768146435192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5.9646569646569647</v>
      </c>
      <c r="BD34" s="12">
        <f>IF('Données projet'!$A$88&gt;35,BD33+BC34-BL33,IF(A34&lt;'Données projet'!$A$88,$BA$205^A34,IF(A34='Données projet'!$A$88,'Données projet'!$B$88,BD33+BC34-BL33)))</f>
        <v>63.080041580041581</v>
      </c>
      <c r="BE34" s="13">
        <f>BD34*VLOOKUP('Données projet'!$B$11,Paramètres!$A$1:$I$89,3,0)*VLOOKUP('Données projet'!$B$11,Paramètres!$A$1:$I$89,5,0)</f>
        <v>29.521459459459461</v>
      </c>
      <c r="BF34" s="13">
        <f t="shared" si="37"/>
        <v>9.1741501999118267</v>
      </c>
      <c r="BG34" s="20">
        <f t="shared" si="7"/>
        <v>67.394853490071668</v>
      </c>
      <c r="BH34" s="59">
        <f t="shared" si="8"/>
        <v>360.728186823405</v>
      </c>
      <c r="BI34" s="59">
        <f ca="1">AVERAGE(OFFSET($BH$3,0,0,'Données projet'!$E$11+1,1))-AVERAGE(OFFSET($H$3,0,0,'Données projet'!$E$11+1,1))</f>
        <v>111.85541298746966</v>
      </c>
      <c r="BJ34" s="59">
        <f t="shared" si="38"/>
        <v>27.56942482401746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18.100000000000001</v>
      </c>
      <c r="BY34" s="12">
        <f>IF('Données projet'!$A$114&gt;35,BY33+BX34-CG33,IF(A34&lt;'Données projet'!$A$114,$BV$205^A34,IF(A34='Données projet'!$A$114,'Données projet'!$B$114,BY33+BX34-CG33)))</f>
        <v>233.0923076923076</v>
      </c>
      <c r="BZ34" s="13">
        <f>BY34*VLOOKUP('Données projet'!$B$12,Paramètres!$A$1:$I$89,3,0)*VLOOKUP('Données projet'!$B$12,Paramètres!$A$1:$I$89,5,0)</f>
        <v>130.29859999999994</v>
      </c>
      <c r="CA34" s="13">
        <f t="shared" si="39"/>
        <v>34.065347809437171</v>
      </c>
      <c r="CB34" s="20">
        <f t="shared" si="10"/>
        <v>286.26720910143626</v>
      </c>
      <c r="CC34" s="59">
        <f t="shared" si="11"/>
        <v>579.60054243476952</v>
      </c>
      <c r="CD34" s="59">
        <f ca="1">AVERAGE(OFFSET($CC$3,0,0,'Données projet'!$E$12+1,1))-AVERAGE(OFFSET($H$3,0,0,'Données projet'!$E$12+1,1))</f>
        <v>253.62423410951334</v>
      </c>
      <c r="CE34" s="59">
        <f t="shared" si="40"/>
        <v>230.93438491511529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22.460975036331224</v>
      </c>
      <c r="CM34" s="21">
        <f>EXP(-LN(2)/2)*CM33+(1-EXP(-LN(2)/2))/(LN(2)/2)*CG34*CJ34*VLOOKUP('Données projet'!$B$12,Paramètres!$A$1:$I$89,3,0)*0.475*44/12</f>
        <v>6.1361594170973968</v>
      </c>
      <c r="CN34" s="22">
        <f t="shared" si="12"/>
        <v>28.59713445342862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14.690384615384611</v>
      </c>
      <c r="N35" s="13">
        <f>IF('Données projet'!$A$36&gt;35,N34+M35-V34,IF(A35&lt;'Données projet'!$A$36,$K$205^A35,IF(A35='Données projet'!$A$36,'Données projet'!$B$36,N34+M35-V34)))</f>
        <v>188.11923076923074</v>
      </c>
      <c r="O35" s="13">
        <f>N35*VLOOKUP('Données projet'!$B$9,Paramètres!$A$1:$I$89,3,0)*VLOOKUP('Données projet'!$B$9,Paramètres!$A$1:$I$89,5,0)</f>
        <v>88.039799999999985</v>
      </c>
      <c r="P35" s="13">
        <f t="shared" si="33"/>
        <v>24.091867781781861</v>
      </c>
      <c r="Q35" s="20">
        <f t="shared" ref="Q35:Q66" si="53">(O35+P35)*0.475*44/12</f>
        <v>195.29598805327001</v>
      </c>
      <c r="R35" s="59">
        <f t="shared" si="0"/>
        <v>488.62932138660335</v>
      </c>
      <c r="S35" s="59">
        <f ca="1">AVERAGE(OFFSET($R$3,0,0,'Données projet'!$E$9+1,1))-AVERAGE(OFFSET($H$3,0,0,'Données projet'!$E$9+1,1))</f>
        <v>190.74210845597287</v>
      </c>
      <c r="T35" s="59">
        <f t="shared" si="34"/>
        <v>131.88015896015884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22.884615384615397</v>
      </c>
      <c r="AI35" s="13">
        <f>IF('Données projet'!$A$62&gt;35,AI34+AH35-AQ34,IF(A35&lt;'Données projet'!$A$62,$AF$205^A35,IF(A35='Données projet'!$A$62,'Données projet'!$B$62,AI34+AH35-AQ34)))</f>
        <v>311.96923076923071</v>
      </c>
      <c r="AJ35" s="13">
        <f>AI35*VLOOKUP('Données projet'!$B$10,Paramètres!$A$1:$I$89,3,0)*VLOOKUP('Données projet'!$B$10,Paramètres!$A$1:$I$89,5,0)</f>
        <v>174.39079999999996</v>
      </c>
      <c r="AK35" s="13">
        <f t="shared" si="35"/>
        <v>44.071952499783528</v>
      </c>
      <c r="AL35" s="20">
        <f t="shared" si="4"/>
        <v>380.48929393712291</v>
      </c>
      <c r="AM35" s="59">
        <f t="shared" si="5"/>
        <v>673.82262727045622</v>
      </c>
      <c r="AN35" s="59">
        <f ca="1">AVERAGE(OFFSET($AM$3,0,0,'Données projet'!$E$10+1,1))-AVERAGE(OFFSET($H$3,0,0,'Données projet'!$E$10+1,1))</f>
        <v>278.5296012747549</v>
      </c>
      <c r="AO35" s="59">
        <f t="shared" si="36"/>
        <v>370.55343097937077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28.415407305418412</v>
      </c>
      <c r="AV35" s="21">
        <f>EXP(-LN(2)/25)*AV34+(1-EXP(-LN(2)/25))/(LN(2)/25)*Calculateur!AQ35*Calculateur!AS35*VLOOKUP('Données projet'!$B$10,Paramètres!$A$1:$I$89,3,0)*0.475*44/12</f>
        <v>17.264008636757723</v>
      </c>
      <c r="AW35" s="21">
        <f>EXP(-LN(2)/2)*AW34+(1-EXP(-LN(2)/2))/(LN(2)/2)*AQ35*AT35*VLOOKUP('Données projet'!$B$10,Paramètres!$A$1:$I$89,3,0)*0.475*44/12</f>
        <v>3.1166728257032039</v>
      </c>
      <c r="AX35" s="21">
        <f t="shared" si="6"/>
        <v>48.79608876787934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5.9646569646569647</v>
      </c>
      <c r="BD35" s="12">
        <f>IF('Données projet'!$A$88&gt;35,BD34+BC35-BL34,IF(A35&lt;'Données projet'!$A$88,$BA$205^A35,IF(A35='Données projet'!$A$88,'Données projet'!$B$88,BD34+BC35-BL34)))</f>
        <v>69.044698544698548</v>
      </c>
      <c r="BE35" s="13">
        <f>BD35*VLOOKUP('Données projet'!$B$11,Paramètres!$A$1:$I$89,3,0)*VLOOKUP('Données projet'!$B$11,Paramètres!$A$1:$I$89,5,0)</f>
        <v>32.312918918918918</v>
      </c>
      <c r="BF35" s="13">
        <f t="shared" si="37"/>
        <v>9.936578482884487</v>
      </c>
      <c r="BG35" s="20">
        <f t="shared" si="7"/>
        <v>73.584541308140913</v>
      </c>
      <c r="BH35" s="59">
        <f t="shared" si="8"/>
        <v>366.91787464147421</v>
      </c>
      <c r="BI35" s="59">
        <f ca="1">AVERAGE(OFFSET($BH$3,0,0,'Données projet'!$E$11+1,1))-AVERAGE(OFFSET($H$3,0,0,'Données projet'!$E$11+1,1))</f>
        <v>111.85541298746966</v>
      </c>
      <c r="BJ35" s="59">
        <f t="shared" si="38"/>
        <v>27.56942482401746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18.100000000000001</v>
      </c>
      <c r="BY35" s="12">
        <f>IF('Données projet'!$A$114&gt;35,BY34+BX35-CG34,IF(A35&lt;'Données projet'!$A$114,$BV$205^A35,IF(A35='Données projet'!$A$114,'Données projet'!$B$114,BY34+BX35-CG34)))</f>
        <v>251.19230769230759</v>
      </c>
      <c r="BZ35" s="13">
        <f>BY35*VLOOKUP('Données projet'!$B$12,Paramètres!$A$1:$I$89,3,0)*VLOOKUP('Données projet'!$B$12,Paramètres!$A$1:$I$89,5,0)</f>
        <v>140.41649999999996</v>
      </c>
      <c r="CA35" s="13">
        <f t="shared" si="39"/>
        <v>36.392403294074647</v>
      </c>
      <c r="CB35" s="20">
        <f t="shared" si="10"/>
        <v>307.94217323717993</v>
      </c>
      <c r="CC35" s="59">
        <f t="shared" si="11"/>
        <v>601.27550657051324</v>
      </c>
      <c r="CD35" s="59">
        <f ca="1">AVERAGE(OFFSET($CC$3,0,0,'Données projet'!$E$12+1,1))-AVERAGE(OFFSET($H$3,0,0,'Données projet'!$E$12+1,1))</f>
        <v>253.62423410951334</v>
      </c>
      <c r="CE35" s="59">
        <f t="shared" si="40"/>
        <v>230.93438491511529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21.846778492791405</v>
      </c>
      <c r="CM35" s="21">
        <f>EXP(-LN(2)/2)*CM34+(1-EXP(-LN(2)/2))/(LN(2)/2)*CG35*CJ35*VLOOKUP('Données projet'!$B$12,Paramètres!$A$1:$I$89,3,0)*0.475*44/12</f>
        <v>4.3389199342712619</v>
      </c>
      <c r="CN35" s="22">
        <f t="shared" si="12"/>
        <v>26.185698427062668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14.690384615384611</v>
      </c>
      <c r="N36" s="13">
        <f>IF('Données projet'!$A$36&gt;35,N35+M36-V35,IF(A36&lt;'Données projet'!$A$36,$K$205^A36,IF(A36='Données projet'!$A$36,'Données projet'!$B$36,N35+M36-V35)))</f>
        <v>202.80961538461534</v>
      </c>
      <c r="O36" s="13">
        <f>N36*VLOOKUP('Données projet'!$B$9,Paramètres!$A$1:$I$89,3,0)*VLOOKUP('Données projet'!$B$9,Paramètres!$A$1:$I$89,5,0)</f>
        <v>94.914899999999975</v>
      </c>
      <c r="P36" s="13">
        <f t="shared" si="33"/>
        <v>25.74688752812763</v>
      </c>
      <c r="Q36" s="20">
        <f t="shared" si="53"/>
        <v>210.1526132781556</v>
      </c>
      <c r="R36" s="59">
        <f t="shared" si="0"/>
        <v>503.48594661148888</v>
      </c>
      <c r="S36" s="59">
        <f ca="1">AVERAGE(OFFSET($R$3,0,0,'Données projet'!$E$9+1,1))-AVERAGE(OFFSET($H$3,0,0,'Données projet'!$E$9+1,1))</f>
        <v>190.74210845597287</v>
      </c>
      <c r="T36" s="59">
        <f t="shared" si="34"/>
        <v>131.88015896015884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22.884615384615397</v>
      </c>
      <c r="AI36" s="13">
        <f>IF('Données projet'!$A$62&gt;35,AI35+AH36-AQ35,IF(A36&lt;'Données projet'!$A$62,$AF$205^A36,IF(A36='Données projet'!$A$62,'Données projet'!$B$62,AI35+AH36-AQ35)))</f>
        <v>334.85384615384612</v>
      </c>
      <c r="AJ36" s="13">
        <f>AI36*VLOOKUP('Données projet'!$B$10,Paramètres!$A$1:$I$89,3,0)*VLOOKUP('Données projet'!$B$10,Paramètres!$A$1:$I$89,5,0)</f>
        <v>187.18329999999997</v>
      </c>
      <c r="AK36" s="13">
        <f t="shared" si="35"/>
        <v>46.91668019244311</v>
      </c>
      <c r="AL36" s="20">
        <f t="shared" si="4"/>
        <v>407.72413216850504</v>
      </c>
      <c r="AM36" s="59">
        <f t="shared" si="5"/>
        <v>701.05746550183835</v>
      </c>
      <c r="AN36" s="59">
        <f ca="1">AVERAGE(OFFSET($AM$3,0,0,'Données projet'!$E$10+1,1))-AVERAGE(OFFSET($H$3,0,0,'Données projet'!$E$10+1,1))</f>
        <v>278.5296012747549</v>
      </c>
      <c r="AO36" s="59">
        <f t="shared" si="36"/>
        <v>370.55343097937077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27.858198499846253</v>
      </c>
      <c r="AV36" s="21">
        <f>EXP(-LN(2)/25)*AV35+(1-EXP(-LN(2)/25))/(LN(2)/25)*Calculateur!AQ36*Calculateur!AS36*VLOOKUP('Données projet'!$B$10,Paramètres!$A$1:$I$89,3,0)*0.475*44/12</f>
        <v>16.791923412710826</v>
      </c>
      <c r="AW36" s="21">
        <f>EXP(-LN(2)/2)*AW35+(1-EXP(-LN(2)/2))/(LN(2)/2)*AQ36*AT36*VLOOKUP('Données projet'!$B$10,Paramètres!$A$1:$I$89,3,0)*0.475*44/12</f>
        <v>2.2038204897945741</v>
      </c>
      <c r="AX36" s="21">
        <f t="shared" si="6"/>
        <v>46.853942402351656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5.9646569646569647</v>
      </c>
      <c r="BD36" s="12">
        <f>IF('Données projet'!$A$88&gt;35,BD35+BC36-BL35,IF(A36&lt;'Données projet'!$A$88,$BA$205^A36,IF(A36='Données projet'!$A$88,'Données projet'!$B$88,BD35+BC36-BL35)))</f>
        <v>75.009355509355515</v>
      </c>
      <c r="BE36" s="13">
        <f>BD36*VLOOKUP('Données projet'!$B$11,Paramètres!$A$1:$I$89,3,0)*VLOOKUP('Données projet'!$B$11,Paramètres!$A$1:$I$89,5,0)</f>
        <v>35.104378378378378</v>
      </c>
      <c r="BF36" s="13">
        <f t="shared" si="37"/>
        <v>10.691368486139455</v>
      </c>
      <c r="BG36" s="20">
        <f t="shared" si="7"/>
        <v>79.760925789035213</v>
      </c>
      <c r="BH36" s="59">
        <f t="shared" si="8"/>
        <v>373.0942591223685</v>
      </c>
      <c r="BI36" s="59">
        <f ca="1">AVERAGE(OFFSET($BH$3,0,0,'Données projet'!$E$11+1,1))-AVERAGE(OFFSET($H$3,0,0,'Données projet'!$E$11+1,1))</f>
        <v>111.85541298746966</v>
      </c>
      <c r="BJ36" s="59">
        <f t="shared" si="38"/>
        <v>27.56942482401746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18.100000000000001</v>
      </c>
      <c r="BY36" s="12">
        <f>IF('Données projet'!$A$114&gt;35,BY35+BX36-CG35,IF(A36&lt;'Données projet'!$A$114,$BV$205^A36,IF(A36='Données projet'!$A$114,'Données projet'!$B$114,BY35+BX36-CG35)))</f>
        <v>269.29230769230759</v>
      </c>
      <c r="BZ36" s="13">
        <f>BY36*VLOOKUP('Données projet'!$B$12,Paramètres!$A$1:$I$89,3,0)*VLOOKUP('Données projet'!$B$12,Paramètres!$A$1:$I$89,5,0)</f>
        <v>150.53439999999995</v>
      </c>
      <c r="CA36" s="13">
        <f t="shared" si="39"/>
        <v>38.700004790658191</v>
      </c>
      <c r="CB36" s="20">
        <f t="shared" si="10"/>
        <v>329.58325501039627</v>
      </c>
      <c r="CC36" s="59">
        <f t="shared" si="11"/>
        <v>622.91658834372959</v>
      </c>
      <c r="CD36" s="59">
        <f ca="1">AVERAGE(OFFSET($CC$3,0,0,'Données projet'!$E$12+1,1))-AVERAGE(OFFSET($H$3,0,0,'Données projet'!$E$12+1,1))</f>
        <v>253.62423410951334</v>
      </c>
      <c r="CE36" s="59">
        <f t="shared" si="40"/>
        <v>230.93438491511529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21.249377186033875</v>
      </c>
      <c r="CM36" s="21">
        <f>EXP(-LN(2)/2)*CM35+(1-EXP(-LN(2)/2))/(LN(2)/2)*CG36*CJ36*VLOOKUP('Données projet'!$B$12,Paramètres!$A$1:$I$89,3,0)*0.475*44/12</f>
        <v>3.0680797085486984</v>
      </c>
      <c r="CN36" s="22">
        <f t="shared" si="12"/>
        <v>24.317456894582573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14.690384615384611</v>
      </c>
      <c r="N37" s="13">
        <f>IF('Données projet'!$A$36&gt;35,N36+M37-V36,IF(A37&lt;'Données projet'!$A$36,$K$205^A37,IF(A37='Données projet'!$A$36,'Données projet'!$B$36,N36+M37-V36)))</f>
        <v>217.49999999999994</v>
      </c>
      <c r="O37" s="13">
        <f>N37*VLOOKUP('Données projet'!$B$9,Paramètres!$A$1:$I$89,3,0)*VLOOKUP('Données projet'!$B$9,Paramètres!$A$1:$I$89,5,0)</f>
        <v>101.78999999999998</v>
      </c>
      <c r="P37" s="13">
        <f t="shared" si="33"/>
        <v>27.38799903683508</v>
      </c>
      <c r="Q37" s="20">
        <f t="shared" si="53"/>
        <v>224.98501498915437</v>
      </c>
      <c r="R37" s="59">
        <f t="shared" si="0"/>
        <v>518.31834832248774</v>
      </c>
      <c r="S37" s="59">
        <f ca="1">AVERAGE(OFFSET($R$3,0,0,'Données projet'!$E$9+1,1))-AVERAGE(OFFSET($H$3,0,0,'Données projet'!$E$9+1,1))</f>
        <v>190.74210845597287</v>
      </c>
      <c r="T37" s="59">
        <f t="shared" si="34"/>
        <v>131.88015896015884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22.884615384615397</v>
      </c>
      <c r="AI37" s="13">
        <f>IF('Données projet'!$A$62&gt;35,AI36+AH37-AQ36,IF(A37&lt;'Données projet'!$A$62,$AF$205^A37,IF(A37='Données projet'!$A$62,'Données projet'!$B$62,AI36+AH37-AQ36)))</f>
        <v>357.73846153846154</v>
      </c>
      <c r="AJ37" s="13">
        <f>AI37*VLOOKUP('Données projet'!$B$10,Paramètres!$A$1:$I$89,3,0)*VLOOKUP('Données projet'!$B$10,Paramètres!$A$1:$I$89,5,0)</f>
        <v>199.97580000000002</v>
      </c>
      <c r="AK37" s="13">
        <f t="shared" si="35"/>
        <v>49.738849260389202</v>
      </c>
      <c r="AL37" s="20">
        <f t="shared" si="4"/>
        <v>434.91968079517784</v>
      </c>
      <c r="AM37" s="59">
        <f t="shared" si="5"/>
        <v>728.25301412851115</v>
      </c>
      <c r="AN37" s="59">
        <f ca="1">AVERAGE(OFFSET($AM$3,0,0,'Données projet'!$E$10+1,1))-AVERAGE(OFFSET($H$3,0,0,'Données projet'!$E$10+1,1))</f>
        <v>278.5296012747549</v>
      </c>
      <c r="AO37" s="59">
        <f t="shared" si="36"/>
        <v>370.55343097937077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27.31191621908755</v>
      </c>
      <c r="AV37" s="21">
        <f>EXP(-LN(2)/25)*AV36+(1-EXP(-LN(2)/25))/(LN(2)/25)*Calculateur!AQ37*Calculateur!AS37*VLOOKUP('Données projet'!$B$10,Paramètres!$A$1:$I$89,3,0)*0.475*44/12</f>
        <v>16.332747383941374</v>
      </c>
      <c r="AW37" s="21">
        <f>EXP(-LN(2)/2)*AW36+(1-EXP(-LN(2)/2))/(LN(2)/2)*AQ37*AT37*VLOOKUP('Données projet'!$B$10,Paramètres!$A$1:$I$89,3,0)*0.475*44/12</f>
        <v>1.558336412851602</v>
      </c>
      <c r="AX37" s="21">
        <f t="shared" si="6"/>
        <v>45.203000015880527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5.9646569646569647</v>
      </c>
      <c r="BD37" s="12">
        <f>IF('Données projet'!$A$88&gt;35,BD36+BC37-BL36,IF(A37&lt;'Données projet'!$A$88,$BA$205^A37,IF(A37='Données projet'!$A$88,'Données projet'!$B$88,BD36+BC37-BL36)))</f>
        <v>80.974012474012483</v>
      </c>
      <c r="BE37" s="13">
        <f>BD37*VLOOKUP('Données projet'!$B$11,Paramètres!$A$1:$I$89,3,0)*VLOOKUP('Données projet'!$B$11,Paramètres!$A$1:$I$89,5,0)</f>
        <v>37.895837837837838</v>
      </c>
      <c r="BF37" s="13">
        <f t="shared" si="37"/>
        <v>11.439196651671002</v>
      </c>
      <c r="BG37" s="20">
        <f t="shared" si="7"/>
        <v>85.925185069227894</v>
      </c>
      <c r="BH37" s="59">
        <f t="shared" si="8"/>
        <v>379.25851840256121</v>
      </c>
      <c r="BI37" s="59">
        <f ca="1">AVERAGE(OFFSET($BH$3,0,0,'Données projet'!$E$11+1,1))-AVERAGE(OFFSET($H$3,0,0,'Données projet'!$E$11+1,1))</f>
        <v>111.85541298746966</v>
      </c>
      <c r="BJ37" s="59">
        <f t="shared" si="38"/>
        <v>27.56942482401746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18.100000000000001</v>
      </c>
      <c r="BY37" s="12">
        <f>IF('Données projet'!$A$114&gt;35,BY36+BX37-CG36,IF(A37&lt;'Données projet'!$A$114,$BV$205^A37,IF(A37='Données projet'!$A$114,'Données projet'!$B$114,BY36+BX37-CG36)))</f>
        <v>287.39230769230761</v>
      </c>
      <c r="BZ37" s="13">
        <f>BY37*VLOOKUP('Données projet'!$B$12,Paramètres!$A$1:$I$89,3,0)*VLOOKUP('Données projet'!$B$12,Paramètres!$A$1:$I$89,5,0)</f>
        <v>160.65229999999994</v>
      </c>
      <c r="CA37" s="13">
        <f t="shared" si="39"/>
        <v>40.989608635643791</v>
      </c>
      <c r="CB37" s="20">
        <f t="shared" si="10"/>
        <v>351.19299087374617</v>
      </c>
      <c r="CC37" s="59">
        <f t="shared" si="11"/>
        <v>644.52632420707948</v>
      </c>
      <c r="CD37" s="59">
        <f ca="1">AVERAGE(OFFSET($CC$3,0,0,'Données projet'!$E$12+1,1))-AVERAGE(OFFSET($H$3,0,0,'Données projet'!$E$12+1,1))</f>
        <v>253.62423410951334</v>
      </c>
      <c r="CE37" s="59">
        <f t="shared" si="40"/>
        <v>230.93438491511529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20.668311849425599</v>
      </c>
      <c r="CM37" s="21">
        <f>EXP(-LN(2)/2)*CM36+(1-EXP(-LN(2)/2))/(LN(2)/2)*CG37*CJ37*VLOOKUP('Données projet'!$B$12,Paramètres!$A$1:$I$89,3,0)*0.475*44/12</f>
        <v>2.1694599671356309</v>
      </c>
      <c r="CN37" s="22">
        <f t="shared" si="12"/>
        <v>22.837771816561229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14.690384615384611</v>
      </c>
      <c r="N38" s="13">
        <f>IF('Données projet'!$A$36&gt;35,N37+M38-V37,IF(A38&lt;'Données projet'!$A$36,$K$205^A38,IF(A38='Données projet'!$A$36,'Données projet'!$B$36,N37+M38-V37)))</f>
        <v>232.19038461538454</v>
      </c>
      <c r="O38" s="13">
        <f>N38*VLOOKUP('Données projet'!$B$9,Paramètres!$A$1:$I$89,3,0)*VLOOKUP('Données projet'!$B$9,Paramètres!$A$1:$I$89,5,0)</f>
        <v>108.66509999999997</v>
      </c>
      <c r="P38" s="13">
        <f t="shared" si="33"/>
        <v>29.016248575845495</v>
      </c>
      <c r="Q38" s="20">
        <f t="shared" si="53"/>
        <v>239.79501543626409</v>
      </c>
      <c r="R38" s="59">
        <f t="shared" si="0"/>
        <v>533.12834876959744</v>
      </c>
      <c r="S38" s="59">
        <f ca="1">AVERAGE(OFFSET($R$3,0,0,'Données projet'!$E$9+1,1))-AVERAGE(OFFSET($H$3,0,0,'Données projet'!$E$9+1,1))</f>
        <v>190.74210845597287</v>
      </c>
      <c r="T38" s="59">
        <f t="shared" si="34"/>
        <v>131.88015896015884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22.884615384615397</v>
      </c>
      <c r="AI38" s="13">
        <f>IF('Données projet'!$A$62&gt;35,AI37+AH38-AQ37,IF(A38&lt;'Données projet'!$A$62,$AF$205^A38,IF(A38='Données projet'!$A$62,'Données projet'!$B$62,AI37+AH38-AQ37)))</f>
        <v>380.62307692307695</v>
      </c>
      <c r="AJ38" s="13">
        <f>AI38*VLOOKUP('Données projet'!$B$10,Paramètres!$A$1:$I$89,3,0)*VLOOKUP('Données projet'!$B$10,Paramètres!$A$1:$I$89,5,0)</f>
        <v>212.76830000000001</v>
      </c>
      <c r="AK38" s="13">
        <f t="shared" si="35"/>
        <v>52.540067037520508</v>
      </c>
      <c r="AL38" s="20">
        <f t="shared" si="4"/>
        <v>462.07873925701483</v>
      </c>
      <c r="AM38" s="59">
        <f t="shared" si="5"/>
        <v>755.41207259034809</v>
      </c>
      <c r="AN38" s="59">
        <f ca="1">AVERAGE(OFFSET($AM$3,0,0,'Données projet'!$E$10+1,1))-AVERAGE(OFFSET($H$3,0,0,'Données projet'!$E$10+1,1))</f>
        <v>278.5296012747549</v>
      </c>
      <c r="AO38" s="59">
        <f t="shared" si="36"/>
        <v>370.55343097937077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26.776346200655233</v>
      </c>
      <c r="AV38" s="21">
        <f>EXP(-LN(2)/25)*AV37+(1-EXP(-LN(2)/25))/(LN(2)/25)*Calculateur!AQ38*Calculateur!AS38*VLOOKUP('Données projet'!$B$10,Paramètres!$A$1:$I$89,3,0)*0.475*44/12</f>
        <v>15.886127547825641</v>
      </c>
      <c r="AW38" s="21">
        <f>EXP(-LN(2)/2)*AW37+(1-EXP(-LN(2)/2))/(LN(2)/2)*AQ38*AT38*VLOOKUP('Données projet'!$B$10,Paramètres!$A$1:$I$89,3,0)*0.475*44/12</f>
        <v>1.1019102448972871</v>
      </c>
      <c r="AX38" s="21">
        <f t="shared" si="6"/>
        <v>43.764383993378168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5.9646569646569647</v>
      </c>
      <c r="BD38" s="12">
        <f>IF('Données projet'!$A$88&gt;35,BD37+BC38-BL37,IF(A38&lt;'Données projet'!$A$88,$BA$205^A38,IF(A38='Données projet'!$A$88,'Données projet'!$B$88,BD37+BC38-BL37)))</f>
        <v>86.93866943866945</v>
      </c>
      <c r="BE38" s="13">
        <f>BD38*VLOOKUP('Données projet'!$B$11,Paramètres!$A$1:$I$89,3,0)*VLOOKUP('Données projet'!$B$11,Paramètres!$A$1:$I$89,5,0)</f>
        <v>40.687297297297299</v>
      </c>
      <c r="BF38" s="13">
        <f t="shared" si="37"/>
        <v>12.180634113994168</v>
      </c>
      <c r="BG38" s="20">
        <f t="shared" si="7"/>
        <v>92.078313874665966</v>
      </c>
      <c r="BH38" s="59">
        <f t="shared" si="8"/>
        <v>385.41164720799929</v>
      </c>
      <c r="BI38" s="59">
        <f ca="1">AVERAGE(OFFSET($BH$3,0,0,'Données projet'!$E$11+1,1))-AVERAGE(OFFSET($H$3,0,0,'Données projet'!$E$11+1,1))</f>
        <v>111.85541298746966</v>
      </c>
      <c r="BJ38" s="59">
        <f t="shared" si="38"/>
        <v>27.56942482401746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305.49230769230769</v>
      </c>
      <c r="BW38" s="12">
        <f>VLOOKUP(A38,'Données projet'!$A$113:$I$133,9,0)</f>
        <v>18.100000000000001</v>
      </c>
      <c r="BX38" s="12">
        <f t="array" ref="BX38">INDEX(BW:BW,MIN(IF(ISNUMBER(BW38:BW234),ROW(BW38:BW234),"")))</f>
        <v>18.100000000000001</v>
      </c>
      <c r="BY38" s="12">
        <f>IF('Données projet'!$A$114&gt;35,BY37+BX38-CG37,IF(A38&lt;'Données projet'!$A$114,$BV$205^A38,IF(A38='Données projet'!$A$114,'Données projet'!$B$114,BY37+BX38-CG37)))</f>
        <v>305.49230769230763</v>
      </c>
      <c r="BZ38" s="13">
        <f>BY38*VLOOKUP('Données projet'!$B$12,Paramètres!$A$1:$I$89,3,0)*VLOOKUP('Données projet'!$B$12,Paramètres!$A$1:$I$89,5,0)</f>
        <v>170.77019999999999</v>
      </c>
      <c r="CA38" s="13">
        <f t="shared" si="39"/>
        <v>43.26247735598961</v>
      </c>
      <c r="CB38" s="20">
        <f t="shared" si="10"/>
        <v>372.77357972834852</v>
      </c>
      <c r="CC38" s="59">
        <f t="shared" si="11"/>
        <v>666.10691306168178</v>
      </c>
      <c r="CD38" s="59">
        <f ca="1">AVERAGE(OFFSET($CC$3,0,0,'Données projet'!$E$12+1,1))-AVERAGE(OFFSET($H$3,0,0,'Données projet'!$E$12+1,1))</f>
        <v>253.62423410951334</v>
      </c>
      <c r="CE38" s="59">
        <f t="shared" si="40"/>
        <v>230.93438491511529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70.5</v>
      </c>
      <c r="CH38" s="16">
        <f>IF(ISNA(VLOOKUP(A38,'Données projet'!$A$113:$I$133,5,0)),0%,VLOOKUP(A38,'Données projet'!$A$113:$I$133,5,0)*VLOOKUP('Données projet'!$B$12,Paramètres!$A$1:$I$89,7,0))</f>
        <v>0.38500000000000001</v>
      </c>
      <c r="CI38" s="16">
        <f>IF(ISNA(VLOOKUP(A38,'Données projet'!$A$113:$I$133,6,0)),0%,VLOOKUP(A38,'Données projet'!$A$113:$I$133,6,0)*VLOOKUP('Données projet'!$B$12,Paramètres!$A$1:$I$89,7,0))</f>
        <v>9.240000000000001E-2</v>
      </c>
      <c r="CJ38" s="16">
        <f>IF(ISNA(VLOOKUP(A38,'Données projet'!$A$113:$I$133,7,0)),0%,VLOOKUP(A38,'Données projet'!$A$113:$I$133,7,0))</f>
        <v>0.13200000000000001</v>
      </c>
      <c r="CK38" s="21">
        <f>EXP(-LN(2)/35)*CK37+(1-EXP(-LN(2)/35))/(LN(2)/35)*CG38*CH38*VLOOKUP('Données projet'!$B$12,Paramètres!$A$1:$I$89,3,0)*0.475*44/12</f>
        <v>20.127508134058157</v>
      </c>
      <c r="CL38" s="21">
        <f>EXP(-LN(2)/25)*CL37+(1-EXP(-LN(2)/25))/(LN(2)/25)*Calculateur!CG38*Calculateur!CI38*VLOOKUP('Données projet'!$B$12,Paramètres!$A$1:$I$89,3,0)*0.475*44/12</f>
        <v>24.91471780668838</v>
      </c>
      <c r="CM38" s="21">
        <f>EXP(-LN(2)/2)*CM37+(1-EXP(-LN(2)/2))/(LN(2)/2)*CG38*CJ38*VLOOKUP('Données projet'!$B$12,Paramètres!$A$1:$I$89,3,0)*0.475*44/12</f>
        <v>7.4239734065510907</v>
      </c>
      <c r="CN38" s="22">
        <f t="shared" si="12"/>
        <v>52.466199347297625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14.690384615384611</v>
      </c>
      <c r="N39" s="13">
        <f>IF('Données projet'!$A$36&gt;35,N38+M39-V38,IF(A39&lt;'Données projet'!$A$36,$K$205^A39,IF(A39='Données projet'!$A$36,'Données projet'!$B$36,N38+M39-V38)))</f>
        <v>246.88076923076915</v>
      </c>
      <c r="O39" s="13">
        <f>N39*VLOOKUP('Données projet'!$B$9,Paramètres!$A$1:$I$89,3,0)*VLOOKUP('Données projet'!$B$9,Paramètres!$A$1:$I$89,5,0)</f>
        <v>115.54019999999996</v>
      </c>
      <c r="P39" s="13">
        <f t="shared" si="33"/>
        <v>30.632542537140463</v>
      </c>
      <c r="Q39" s="20">
        <f t="shared" si="53"/>
        <v>254.5841932521862</v>
      </c>
      <c r="R39" s="59">
        <f t="shared" si="0"/>
        <v>547.91752658551945</v>
      </c>
      <c r="S39" s="59">
        <f ca="1">AVERAGE(OFFSET($R$3,0,0,'Données projet'!$E$9+1,1))-AVERAGE(OFFSET($H$3,0,0,'Données projet'!$E$9+1,1))</f>
        <v>190.74210845597287</v>
      </c>
      <c r="T39" s="59">
        <f t="shared" si="34"/>
        <v>131.88015896015884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403.50769230769237</v>
      </c>
      <c r="AG39" s="12">
        <f>VLOOKUP(A39,'Données projet'!$A$61:$I$81,9,0)</f>
        <v>22.884615384615397</v>
      </c>
      <c r="AH39" s="12">
        <f t="array" ref="AH39">INDEX(AG:AG,MIN(IF(ISNUMBER(AG39:AG235),ROW(AG39:AG235),"")))</f>
        <v>22.884615384615397</v>
      </c>
      <c r="AI39" s="13">
        <f>IF('Données projet'!$A$62&gt;35,AI38+AH39-AQ38,IF(A39&lt;'Données projet'!$A$62,$AF$205^A39,IF(A39='Données projet'!$A$62,'Données projet'!$B$62,AI38+AH39-AQ38)))</f>
        <v>403.50769230769237</v>
      </c>
      <c r="AJ39" s="13">
        <f>AI39*VLOOKUP('Données projet'!$B$10,Paramètres!$A$1:$I$89,3,0)*VLOOKUP('Données projet'!$B$10,Paramètres!$A$1:$I$89,5,0)</f>
        <v>225.56080000000003</v>
      </c>
      <c r="AK39" s="13">
        <f t="shared" si="35"/>
        <v>55.321736658663667</v>
      </c>
      <c r="AL39" s="20">
        <f t="shared" si="4"/>
        <v>489.20375134717256</v>
      </c>
      <c r="AM39" s="59">
        <f t="shared" si="5"/>
        <v>782.53708468050581</v>
      </c>
      <c r="AN39" s="59">
        <f ca="1">AVERAGE(OFFSET($AM$3,0,0,'Données projet'!$E$10+1,1))-AVERAGE(OFFSET($H$3,0,0,'Données projet'!$E$10+1,1))</f>
        <v>278.5296012747549</v>
      </c>
      <c r="AO39" s="59">
        <f t="shared" si="36"/>
        <v>370.55343097937077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69.3</v>
      </c>
      <c r="AR39" s="16">
        <f>IF(ISNA(VLOOKUP(A39,'Données projet'!$A$61:$I$81,5,0)),0%,VLOOKUP(A39,'Données projet'!$A$61:$I$81,5,0)*VLOOKUP('Données projet'!$B$10,Paramètres!$A$1:$I$89,7,0))</f>
        <v>0.38500000000000001</v>
      </c>
      <c r="AS39" s="16">
        <f>IF(ISNA(VLOOKUP(A39,'Données projet'!$A$61:$I$81,6,0)),0%,VLOOKUP(A39,'Données projet'!$A$61:$I$81,6,0)*VLOOKUP('Données projet'!$B$10,Paramètres!$A$1:$I$89,7,0))</f>
        <v>9.240000000000001E-2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46.036190634544177</v>
      </c>
      <c r="AV39" s="21">
        <f>EXP(-LN(2)/25)*AV38+(1-EXP(-LN(2)/25))/(LN(2)/25)*Calculateur!AQ39*Calculateur!AS39*VLOOKUP('Données projet'!$B$10,Paramètres!$A$1:$I$89,3,0)*0.475*44/12</f>
        <v>20.181403317675393</v>
      </c>
      <c r="AW39" s="21">
        <f>EXP(-LN(2)/2)*AW38+(1-EXP(-LN(2)/2))/(LN(2)/2)*AQ39*AT39*VLOOKUP('Données projet'!$B$10,Paramètres!$A$1:$I$89,3,0)*0.475*44/12</f>
        <v>6.5688475705786837</v>
      </c>
      <c r="AX39" s="21">
        <f t="shared" si="6"/>
        <v>72.786441522798256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5.9646569646569647</v>
      </c>
      <c r="BD39" s="12">
        <f>IF('Données projet'!$A$88&gt;35,BD38+BC39-BL38,IF(A39&lt;'Données projet'!$A$88,$BA$205^A39,IF(A39='Données projet'!$A$88,'Données projet'!$B$88,BD38+BC39-BL38)))</f>
        <v>92.903326403326417</v>
      </c>
      <c r="BE39" s="13">
        <f>BD39*VLOOKUP('Données projet'!$B$11,Paramètres!$A$1:$I$89,3,0)*VLOOKUP('Données projet'!$B$11,Paramètres!$A$1:$I$89,5,0)</f>
        <v>43.478756756756766</v>
      </c>
      <c r="BF39" s="13">
        <f t="shared" si="37"/>
        <v>12.916169202985859</v>
      </c>
      <c r="BG39" s="20">
        <f t="shared" si="7"/>
        <v>98.221162713218405</v>
      </c>
      <c r="BH39" s="59">
        <f t="shared" si="8"/>
        <v>391.55449604655172</v>
      </c>
      <c r="BI39" s="59">
        <f ca="1">AVERAGE(OFFSET($BH$3,0,0,'Données projet'!$E$11+1,1))-AVERAGE(OFFSET($H$3,0,0,'Données projet'!$E$11+1,1))</f>
        <v>111.85541298746966</v>
      </c>
      <c r="BJ39" s="59">
        <f t="shared" si="38"/>
        <v>27.56942482401746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18.229670329670324</v>
      </c>
      <c r="BY39" s="12">
        <f>IF('Données projet'!$A$114&gt;35,BY38+BX39-CG38,IF(A39&lt;'Données projet'!$A$114,$BV$205^A39,IF(A39='Données projet'!$A$114,'Données projet'!$B$114,BY38+BX39-CG38)))</f>
        <v>253.22197802197798</v>
      </c>
      <c r="BZ39" s="13">
        <f>BY39*VLOOKUP('Données projet'!$B$12,Paramètres!$A$1:$I$89,3,0)*VLOOKUP('Données projet'!$B$12,Paramètres!$A$1:$I$89,5,0)</f>
        <v>141.55108571428568</v>
      </c>
      <c r="CA39" s="13">
        <f t="shared" si="39"/>
        <v>36.652109269178737</v>
      </c>
      <c r="CB39" s="20">
        <f t="shared" si="10"/>
        <v>310.3705645962005</v>
      </c>
      <c r="CC39" s="59">
        <f t="shared" si="11"/>
        <v>603.70389792953381</v>
      </c>
      <c r="CD39" s="59">
        <f ca="1">AVERAGE(OFFSET($CC$3,0,0,'Données projet'!$E$12+1,1))-AVERAGE(OFFSET($H$3,0,0,'Données projet'!$E$12+1,1))</f>
        <v>253.62423410951334</v>
      </c>
      <c r="CE39" s="59">
        <f t="shared" si="40"/>
        <v>230.93438491511529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19.732819976117028</v>
      </c>
      <c r="CL39" s="21">
        <f>EXP(-LN(2)/25)*CL38+(1-EXP(-LN(2)/25))/(LN(2)/25)*Calculateur!CG39*Calculateur!CI39*VLOOKUP('Données projet'!$B$12,Paramètres!$A$1:$I$89,3,0)*0.475*44/12</f>
        <v>24.233423538056421</v>
      </c>
      <c r="CM39" s="21">
        <f>EXP(-LN(2)/2)*CM38+(1-EXP(-LN(2)/2))/(LN(2)/2)*CG39*CJ39*VLOOKUP('Données projet'!$B$12,Paramètres!$A$1:$I$89,3,0)*0.475*44/12</f>
        <v>5.2495419391208706</v>
      </c>
      <c r="CN39" s="22">
        <f t="shared" si="12"/>
        <v>49.215785453294316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14.690384615384611</v>
      </c>
      <c r="N40" s="13">
        <f>IF('Données projet'!$A$36&gt;35,N39+M40-V39,IF(A40&lt;'Données projet'!$A$36,$K$205^A40,IF(A40='Données projet'!$A$36,'Données projet'!$B$36,N39+M40-V39)))</f>
        <v>261.57115384615378</v>
      </c>
      <c r="O40" s="13">
        <f>N40*VLOOKUP('Données projet'!$B$9,Paramètres!$A$1:$I$89,3,0)*VLOOKUP('Données projet'!$B$9,Paramètres!$A$1:$I$89,5,0)</f>
        <v>122.41529999999996</v>
      </c>
      <c r="P40" s="13">
        <f t="shared" si="33"/>
        <v>32.23767335088813</v>
      </c>
      <c r="Q40" s="20">
        <f t="shared" si="53"/>
        <v>269.35392858613005</v>
      </c>
      <c r="R40" s="59">
        <f t="shared" si="0"/>
        <v>562.68726191946337</v>
      </c>
      <c r="S40" s="59">
        <f ca="1">AVERAGE(OFFSET($R$3,0,0,'Données projet'!$E$9+1,1))-AVERAGE(OFFSET($H$3,0,0,'Données projet'!$E$9+1,1))</f>
        <v>190.74210845597287</v>
      </c>
      <c r="T40" s="59">
        <f t="shared" si="34"/>
        <v>131.88015896015884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22.419230769230751</v>
      </c>
      <c r="AI40" s="13">
        <f>IF('Données projet'!$A$62&gt;35,AI39+AH40-AQ39,IF(A40&lt;'Données projet'!$A$62,$AF$205^A40,IF(A40='Données projet'!$A$62,'Données projet'!$B$62,AI39+AH40-AQ39)))</f>
        <v>356.62692307692311</v>
      </c>
      <c r="AJ40" s="13">
        <f>AI40*VLOOKUP('Données projet'!$B$10,Paramètres!$A$1:$I$89,3,0)*VLOOKUP('Données projet'!$B$10,Paramètres!$A$1:$I$89,5,0)</f>
        <v>199.35445000000001</v>
      </c>
      <c r="AK40" s="13">
        <f t="shared" si="35"/>
        <v>49.60226869073324</v>
      </c>
      <c r="AL40" s="20">
        <f t="shared" si="4"/>
        <v>433.59961838636042</v>
      </c>
      <c r="AM40" s="59">
        <f t="shared" si="5"/>
        <v>726.93295171969373</v>
      </c>
      <c r="AN40" s="59">
        <f ca="1">AVERAGE(OFFSET($AM$3,0,0,'Données projet'!$E$10+1,1))-AVERAGE(OFFSET($H$3,0,0,'Données projet'!$E$10+1,1))</f>
        <v>278.5296012747549</v>
      </c>
      <c r="AO40" s="59">
        <f t="shared" si="36"/>
        <v>370.55343097937077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45.133449015504453</v>
      </c>
      <c r="AV40" s="21">
        <f>EXP(-LN(2)/25)*AV39+(1-EXP(-LN(2)/25))/(LN(2)/25)*Calculateur!AQ40*Calculateur!AS40*VLOOKUP('Données projet'!$B$10,Paramètres!$A$1:$I$89,3,0)*0.475*44/12</f>
        <v>19.629541782659683</v>
      </c>
      <c r="AW40" s="21">
        <f>EXP(-LN(2)/2)*AW39+(1-EXP(-LN(2)/2))/(LN(2)/2)*AQ40*AT40*VLOOKUP('Données projet'!$B$10,Paramètres!$A$1:$I$89,3,0)*0.475*44/12</f>
        <v>4.6448766617369657</v>
      </c>
      <c r="AX40" s="21">
        <f t="shared" si="6"/>
        <v>69.407867459901098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5.9646569646569647</v>
      </c>
      <c r="BD40" s="12">
        <f>IF('Données projet'!$A$88&gt;35,BD39+BC40-BL39,IF(A40&lt;'Données projet'!$A$88,$BA$205^A40,IF(A40='Données projet'!$A$88,'Données projet'!$B$88,BD39+BC40-BL39)))</f>
        <v>98.867983367983385</v>
      </c>
      <c r="BE40" s="13">
        <f>BD40*VLOOKUP('Données projet'!$B$11,Paramètres!$A$1:$I$89,3,0)*VLOOKUP('Données projet'!$B$11,Paramètres!$A$1:$I$89,5,0)</f>
        <v>46.27021621621622</v>
      </c>
      <c r="BF40" s="13">
        <f t="shared" si="37"/>
        <v>13.6462239989136</v>
      </c>
      <c r="BG40" s="20">
        <f t="shared" si="7"/>
        <v>104.35446670801777</v>
      </c>
      <c r="BH40" s="59">
        <f t="shared" si="8"/>
        <v>397.68780004135107</v>
      </c>
      <c r="BI40" s="59">
        <f ca="1">AVERAGE(OFFSET($BH$3,0,0,'Données projet'!$E$11+1,1))-AVERAGE(OFFSET($H$3,0,0,'Données projet'!$E$11+1,1))</f>
        <v>111.85541298746966</v>
      </c>
      <c r="BJ40" s="59">
        <f t="shared" si="38"/>
        <v>27.56942482401746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18.229670329670324</v>
      </c>
      <c r="BY40" s="12">
        <f>IF('Données projet'!$A$114&gt;35,BY39+BX40-CG39,IF(A40&lt;'Données projet'!$A$114,$BV$205^A40,IF(A40='Données projet'!$A$114,'Données projet'!$B$114,BY39+BX40-CG39)))</f>
        <v>271.45164835164832</v>
      </c>
      <c r="BZ40" s="13">
        <f>BY40*VLOOKUP('Données projet'!$B$12,Paramètres!$A$1:$I$89,3,0)*VLOOKUP('Données projet'!$B$12,Paramètres!$A$1:$I$89,5,0)</f>
        <v>151.74147142857143</v>
      </c>
      <c r="CA40" s="13">
        <f t="shared" si="39"/>
        <v>38.974074991810518</v>
      </c>
      <c r="CB40" s="20">
        <f t="shared" si="10"/>
        <v>332.16291001549854</v>
      </c>
      <c r="CC40" s="59">
        <f t="shared" si="11"/>
        <v>625.49624334883185</v>
      </c>
      <c r="CD40" s="59">
        <f ca="1">AVERAGE(OFFSET($CC$3,0,0,'Données projet'!$E$12+1,1))-AVERAGE(OFFSET($H$3,0,0,'Données projet'!$E$12+1,1))</f>
        <v>253.62423410951334</v>
      </c>
      <c r="CE40" s="59">
        <f t="shared" si="40"/>
        <v>230.93438491511529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19.345871412217118</v>
      </c>
      <c r="CL40" s="21">
        <f>EXP(-LN(2)/25)*CL39+(1-EXP(-LN(2)/25))/(LN(2)/25)*Calculateur!CG40*Calculateur!CI40*VLOOKUP('Données projet'!$B$12,Paramètres!$A$1:$I$89,3,0)*0.475*44/12</f>
        <v>23.570759297027909</v>
      </c>
      <c r="CM40" s="21">
        <f>EXP(-LN(2)/2)*CM39+(1-EXP(-LN(2)/2))/(LN(2)/2)*CG40*CJ40*VLOOKUP('Données projet'!$B$12,Paramètres!$A$1:$I$89,3,0)*0.475*44/12</f>
        <v>3.7119867032755463</v>
      </c>
      <c r="CN40" s="22">
        <f t="shared" si="12"/>
        <v>46.628617412520576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14.690384615384611</v>
      </c>
      <c r="N41" s="13">
        <f>IF('Données projet'!$A$36&gt;35,N40+M41-V40,IF(A41&lt;'Données projet'!$A$36,$K$205^A41,IF(A41='Données projet'!$A$36,'Données projet'!$B$36,N40+M41-V40)))</f>
        <v>276.26153846153841</v>
      </c>
      <c r="O41" s="13">
        <f>N41*VLOOKUP('Données projet'!$B$9,Paramètres!$A$1:$I$89,3,0)*VLOOKUP('Données projet'!$B$9,Paramètres!$A$1:$I$89,5,0)</f>
        <v>129.29039999999998</v>
      </c>
      <c r="P41" s="13">
        <f t="shared" si="33"/>
        <v>33.832339410932718</v>
      </c>
      <c r="Q41" s="20">
        <f t="shared" si="53"/>
        <v>284.10543780737447</v>
      </c>
      <c r="R41" s="59">
        <f t="shared" si="0"/>
        <v>577.43877114070779</v>
      </c>
      <c r="S41" s="59">
        <f ca="1">AVERAGE(OFFSET($R$3,0,0,'Données projet'!$E$9+1,1))-AVERAGE(OFFSET($H$3,0,0,'Données projet'!$E$9+1,1))</f>
        <v>190.74210845597287</v>
      </c>
      <c r="T41" s="59">
        <f t="shared" si="34"/>
        <v>131.88015896015884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22.419230769230751</v>
      </c>
      <c r="AI41" s="13">
        <f>IF('Données projet'!$A$62&gt;35,AI40+AH41-AQ40,IF(A41&lt;'Données projet'!$A$62,$AF$205^A41,IF(A41='Données projet'!$A$62,'Données projet'!$B$62,AI40+AH41-AQ40)))</f>
        <v>379.04615384615386</v>
      </c>
      <c r="AJ41" s="13">
        <f>AI41*VLOOKUP('Données projet'!$B$10,Paramètres!$A$1:$I$89,3,0)*VLOOKUP('Données projet'!$B$10,Paramètres!$A$1:$I$89,5,0)</f>
        <v>211.88679999999999</v>
      </c>
      <c r="AK41" s="13">
        <f t="shared" si="35"/>
        <v>52.347684082939317</v>
      </c>
      <c r="AL41" s="20">
        <f t="shared" si="4"/>
        <v>460.20839311111928</v>
      </c>
      <c r="AM41" s="59">
        <f t="shared" si="5"/>
        <v>753.54172644445259</v>
      </c>
      <c r="AN41" s="59">
        <f ca="1">AVERAGE(OFFSET($AM$3,0,0,'Données projet'!$E$10+1,1))-AVERAGE(OFFSET($H$3,0,0,'Données projet'!$E$10+1,1))</f>
        <v>278.5296012747549</v>
      </c>
      <c r="AO41" s="59">
        <f t="shared" si="36"/>
        <v>370.55343097937077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44.248409608996077</v>
      </c>
      <c r="AV41" s="21">
        <f>EXP(-LN(2)/25)*AV40+(1-EXP(-LN(2)/25))/(LN(2)/25)*Calculateur!AQ41*Calculateur!AS41*VLOOKUP('Données projet'!$B$10,Paramètres!$A$1:$I$89,3,0)*0.475*44/12</f>
        <v>19.092770930340116</v>
      </c>
      <c r="AW41" s="21">
        <f>EXP(-LN(2)/2)*AW40+(1-EXP(-LN(2)/2))/(LN(2)/2)*AQ41*AT41*VLOOKUP('Données projet'!$B$10,Paramètres!$A$1:$I$89,3,0)*0.475*44/12</f>
        <v>3.2844237852893423</v>
      </c>
      <c r="AX41" s="21">
        <f t="shared" si="6"/>
        <v>66.625604324625542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5.9646569646569647</v>
      </c>
      <c r="BD41" s="12">
        <f>IF('Données projet'!$A$88&gt;35,BD40+BC41-BL40,IF(A41&lt;'Données projet'!$A$88,$BA$205^A41,IF(A41='Données projet'!$A$88,'Données projet'!$B$88,BD40+BC41-BL40)))</f>
        <v>104.83264033264035</v>
      </c>
      <c r="BE41" s="13">
        <f>BD41*VLOOKUP('Données projet'!$B$11,Paramètres!$A$1:$I$89,3,0)*VLOOKUP('Données projet'!$B$11,Paramètres!$A$1:$I$89,5,0)</f>
        <v>49.06167567567568</v>
      </c>
      <c r="BF41" s="13">
        <f t="shared" si="37"/>
        <v>14.371166776797528</v>
      </c>
      <c r="BG41" s="20">
        <f t="shared" si="7"/>
        <v>110.47886727139083</v>
      </c>
      <c r="BH41" s="59">
        <f t="shared" si="8"/>
        <v>403.81220060472413</v>
      </c>
      <c r="BI41" s="59">
        <f ca="1">AVERAGE(OFFSET($BH$3,0,0,'Données projet'!$E$11+1,1))-AVERAGE(OFFSET($H$3,0,0,'Données projet'!$E$11+1,1))</f>
        <v>111.85541298746966</v>
      </c>
      <c r="BJ41" s="59">
        <f t="shared" si="38"/>
        <v>27.56942482401746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18.229670329670324</v>
      </c>
      <c r="BY41" s="12">
        <f>IF('Données projet'!$A$114&gt;35,BY40+BX41-CG40,IF(A41&lt;'Données projet'!$A$114,$BV$205^A41,IF(A41='Données projet'!$A$114,'Données projet'!$B$114,BY40+BX41-CG40)))</f>
        <v>289.68131868131866</v>
      </c>
      <c r="BZ41" s="13">
        <f>BY41*VLOOKUP('Données projet'!$B$12,Paramètres!$A$1:$I$89,3,0)*VLOOKUP('Données projet'!$B$12,Paramètres!$A$1:$I$89,5,0)</f>
        <v>161.93185714285713</v>
      </c>
      <c r="CA41" s="13">
        <f t="shared" si="39"/>
        <v>41.277946347593272</v>
      </c>
      <c r="CB41" s="20">
        <f t="shared" si="10"/>
        <v>353.92374107920108</v>
      </c>
      <c r="CC41" s="59">
        <f t="shared" si="11"/>
        <v>647.25707441253439</v>
      </c>
      <c r="CD41" s="59">
        <f ca="1">AVERAGE(OFFSET($CC$3,0,0,'Données projet'!$E$12+1,1))-AVERAGE(OFFSET($H$3,0,0,'Données projet'!$E$12+1,1))</f>
        <v>253.62423410951334</v>
      </c>
      <c r="CE41" s="59">
        <f t="shared" si="40"/>
        <v>230.93438491511529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18.966510673639966</v>
      </c>
      <c r="CL41" s="21">
        <f>EXP(-LN(2)/25)*CL40+(1-EXP(-LN(2)/25))/(LN(2)/25)*Calculateur!CG41*Calculateur!CI41*VLOOKUP('Données projet'!$B$12,Paramètres!$A$1:$I$89,3,0)*0.475*44/12</f>
        <v>22.926215644518322</v>
      </c>
      <c r="CM41" s="21">
        <f>EXP(-LN(2)/2)*CM40+(1-EXP(-LN(2)/2))/(LN(2)/2)*CG41*CJ41*VLOOKUP('Données projet'!$B$12,Paramètres!$A$1:$I$89,3,0)*0.475*44/12</f>
        <v>2.6247709695604358</v>
      </c>
      <c r="CN41" s="22">
        <f t="shared" si="12"/>
        <v>44.517497287718726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14.690384615384611</v>
      </c>
      <c r="N42" s="13">
        <f>IF('Données projet'!$A$36&gt;35,N41+M42-V41,IF(A42&lt;'Données projet'!$A$36,$K$205^A42,IF(A42='Données projet'!$A$36,'Données projet'!$B$36,N41+M42-V41)))</f>
        <v>290.95192307692304</v>
      </c>
      <c r="O42" s="13">
        <f>N42*VLOOKUP('Données projet'!$B$9,Paramètres!$A$1:$I$89,3,0)*VLOOKUP('Données projet'!$B$9,Paramètres!$A$1:$I$89,5,0)</f>
        <v>136.16549999999998</v>
      </c>
      <c r="P42" s="13">
        <f t="shared" si="33"/>
        <v>35.417160641070218</v>
      </c>
      <c r="Q42" s="20">
        <f t="shared" si="53"/>
        <v>298.83980061653057</v>
      </c>
      <c r="R42" s="59">
        <f t="shared" si="0"/>
        <v>592.17313394986388</v>
      </c>
      <c r="S42" s="59">
        <f ca="1">AVERAGE(OFFSET($R$3,0,0,'Données projet'!$E$9+1,1))-AVERAGE(OFFSET($H$3,0,0,'Données projet'!$E$9+1,1))</f>
        <v>190.74210845597287</v>
      </c>
      <c r="T42" s="59">
        <f t="shared" si="34"/>
        <v>131.88015896015884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22.419230769230751</v>
      </c>
      <c r="AI42" s="13">
        <f>IF('Données projet'!$A$62&gt;35,AI41+AH42-AQ41,IF(A42&lt;'Données projet'!$A$62,$AF$205^A42,IF(A42='Données projet'!$A$62,'Données projet'!$B$62,AI41+AH42-AQ41)))</f>
        <v>401.46538461538461</v>
      </c>
      <c r="AJ42" s="13">
        <f>AI42*VLOOKUP('Données projet'!$B$10,Paramètres!$A$1:$I$89,3,0)*VLOOKUP('Données projet'!$B$10,Paramètres!$A$1:$I$89,5,0)</f>
        <v>224.41915</v>
      </c>
      <c r="AK42" s="13">
        <f t="shared" si="35"/>
        <v>55.074251579267461</v>
      </c>
      <c r="AL42" s="20">
        <f t="shared" si="4"/>
        <v>486.78434108389075</v>
      </c>
      <c r="AM42" s="59">
        <f t="shared" si="5"/>
        <v>780.11767441722407</v>
      </c>
      <c r="AN42" s="59">
        <f ca="1">AVERAGE(OFFSET($AM$3,0,0,'Données projet'!$E$10+1,1))-AVERAGE(OFFSET($H$3,0,0,'Données projet'!$E$10+1,1))</f>
        <v>278.5296012747549</v>
      </c>
      <c r="AO42" s="59">
        <f t="shared" si="36"/>
        <v>370.55343097937077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43.380725285428596</v>
      </c>
      <c r="AV42" s="21">
        <f>EXP(-LN(2)/25)*AV41+(1-EXP(-LN(2)/25))/(LN(2)/25)*Calculateur!AQ42*Calculateur!AS42*VLOOKUP('Données projet'!$B$10,Paramètres!$A$1:$I$89,3,0)*0.475*44/12</f>
        <v>18.570678105204781</v>
      </c>
      <c r="AW42" s="21">
        <f>EXP(-LN(2)/2)*AW41+(1-EXP(-LN(2)/2))/(LN(2)/2)*AQ42*AT42*VLOOKUP('Données projet'!$B$10,Paramètres!$A$1:$I$89,3,0)*0.475*44/12</f>
        <v>2.3224383308684833</v>
      </c>
      <c r="AX42" s="21">
        <f t="shared" si="6"/>
        <v>64.273841721501853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5.9646569646569647</v>
      </c>
      <c r="BD42" s="12">
        <f>IF('Données projet'!$A$88&gt;35,BD41+BC42-BL41,IF(A42&lt;'Données projet'!$A$88,$BA$205^A42,IF(A42='Données projet'!$A$88,'Données projet'!$B$88,BD41+BC42-BL41)))</f>
        <v>110.79729729729732</v>
      </c>
      <c r="BE42" s="13">
        <f>BD42*VLOOKUP('Données projet'!$B$11,Paramètres!$A$1:$I$89,3,0)*VLOOKUP('Données projet'!$B$11,Paramètres!$A$1:$I$89,5,0)</f>
        <v>51.85313513513514</v>
      </c>
      <c r="BF42" s="13">
        <f t="shared" si="37"/>
        <v>15.09132153718774</v>
      </c>
      <c r="BG42" s="20">
        <f t="shared" si="7"/>
        <v>116.59492870429568</v>
      </c>
      <c r="BH42" s="59">
        <f t="shared" si="8"/>
        <v>409.928262037629</v>
      </c>
      <c r="BI42" s="59">
        <f ca="1">AVERAGE(OFFSET($BH$3,0,0,'Données projet'!$E$11+1,1))-AVERAGE(OFFSET($H$3,0,0,'Données projet'!$E$11+1,1))</f>
        <v>111.85541298746966</v>
      </c>
      <c r="BJ42" s="59">
        <f t="shared" si="38"/>
        <v>27.56942482401746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18.229670329670324</v>
      </c>
      <c r="BY42" s="12">
        <f>IF('Données projet'!$A$114&gt;35,BY41+BX42-CG41,IF(A42&lt;'Données projet'!$A$114,$BV$205^A42,IF(A42='Données projet'!$A$114,'Données projet'!$B$114,BY41+BX42-CG41)))</f>
        <v>307.910989010989</v>
      </c>
      <c r="BZ42" s="13">
        <f>BY42*VLOOKUP('Données projet'!$B$12,Paramètres!$A$1:$I$89,3,0)*VLOOKUP('Données projet'!$B$12,Paramètres!$A$1:$I$89,5,0)</f>
        <v>172.12224285714285</v>
      </c>
      <c r="CA42" s="13">
        <f t="shared" si="39"/>
        <v>43.564991640658711</v>
      </c>
      <c r="CB42" s="20">
        <f t="shared" si="10"/>
        <v>375.65526675033772</v>
      </c>
      <c r="CC42" s="59">
        <f t="shared" si="11"/>
        <v>668.98860008367103</v>
      </c>
      <c r="CD42" s="59">
        <f ca="1">AVERAGE(OFFSET($CC$3,0,0,'Données projet'!$E$12+1,1))-AVERAGE(OFFSET($H$3,0,0,'Données projet'!$E$12+1,1))</f>
        <v>253.62423410951334</v>
      </c>
      <c r="CE42" s="59">
        <f t="shared" si="40"/>
        <v>230.93438491511529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18.594588967759112</v>
      </c>
      <c r="CL42" s="21">
        <f>EXP(-LN(2)/25)*CL41+(1-EXP(-LN(2)/25))/(LN(2)/25)*Calculateur!CG42*Calculateur!CI42*VLOOKUP('Données projet'!$B$12,Paramètres!$A$1:$I$89,3,0)*0.475*44/12</f>
        <v>22.299297072081686</v>
      </c>
      <c r="CM42" s="21">
        <f>EXP(-LN(2)/2)*CM41+(1-EXP(-LN(2)/2))/(LN(2)/2)*CG42*CJ42*VLOOKUP('Données projet'!$B$12,Paramètres!$A$1:$I$89,3,0)*0.475*44/12</f>
        <v>1.8559933516377733</v>
      </c>
      <c r="CN42" s="22">
        <f t="shared" si="12"/>
        <v>42.749879391478565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14.690384615384611</v>
      </c>
      <c r="N43" s="13">
        <f>IF('Données projet'!$A$36&gt;35,N42+M43-V42,IF(A43&lt;'Données projet'!$A$36,$K$205^A43,IF(A43='Données projet'!$A$36,'Données projet'!$B$36,N42+M43-V42)))</f>
        <v>305.64230769230767</v>
      </c>
      <c r="O43" s="13">
        <f>N43*VLOOKUP('Données projet'!$B$9,Paramètres!$A$1:$I$89,3,0)*VLOOKUP('Données projet'!$B$9,Paramètres!$A$1:$I$89,5,0)</f>
        <v>143.04059999999998</v>
      </c>
      <c r="P43" s="13">
        <f t="shared" si="33"/>
        <v>36.992690828109559</v>
      </c>
      <c r="Q43" s="20">
        <f t="shared" si="53"/>
        <v>313.55798152562414</v>
      </c>
      <c r="R43" s="59">
        <f t="shared" si="0"/>
        <v>606.89131485895746</v>
      </c>
      <c r="S43" s="59">
        <f ca="1">AVERAGE(OFFSET($R$3,0,0,'Données projet'!$E$9+1,1))-AVERAGE(OFFSET($H$3,0,0,'Données projet'!$E$9+1,1))</f>
        <v>190.74210845597287</v>
      </c>
      <c r="T43" s="59">
        <f t="shared" si="34"/>
        <v>131.88015896015884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22.419230769230751</v>
      </c>
      <c r="AI43" s="13">
        <f>IF('Données projet'!$A$62&gt;35,AI42+AH43-AQ42,IF(A43&lt;'Données projet'!$A$62,$AF$205^A43,IF(A43='Données projet'!$A$62,'Données projet'!$B$62,AI42+AH43-AQ42)))</f>
        <v>423.88461538461536</v>
      </c>
      <c r="AJ43" s="13">
        <f>AI43*VLOOKUP('Données projet'!$B$10,Paramètres!$A$1:$I$89,3,0)*VLOOKUP('Données projet'!$B$10,Paramètres!$A$1:$I$89,5,0)</f>
        <v>236.95150000000001</v>
      </c>
      <c r="AK43" s="13">
        <f t="shared" si="35"/>
        <v>57.783143668102753</v>
      </c>
      <c r="AL43" s="20">
        <f t="shared" si="4"/>
        <v>513.32950438861235</v>
      </c>
      <c r="AM43" s="59">
        <f t="shared" si="5"/>
        <v>806.66283772194561</v>
      </c>
      <c r="AN43" s="59">
        <f ca="1">AVERAGE(OFFSET($AM$3,0,0,'Données projet'!$E$10+1,1))-AVERAGE(OFFSET($H$3,0,0,'Données projet'!$E$10+1,1))</f>
        <v>278.5296012747549</v>
      </c>
      <c r="AO43" s="59">
        <f t="shared" si="36"/>
        <v>370.55343097937077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42.530055722211095</v>
      </c>
      <c r="AV43" s="21">
        <f>EXP(-LN(2)/25)*AV42+(1-EXP(-LN(2)/25))/(LN(2)/25)*Calculateur!AQ43*Calculateur!AS43*VLOOKUP('Données projet'!$B$10,Paramètres!$A$1:$I$89,3,0)*0.475*44/12</f>
        <v>18.062861935828437</v>
      </c>
      <c r="AW43" s="21">
        <f>EXP(-LN(2)/2)*AW42+(1-EXP(-LN(2)/2))/(LN(2)/2)*AQ43*AT43*VLOOKUP('Données projet'!$B$10,Paramètres!$A$1:$I$89,3,0)*0.475*44/12</f>
        <v>1.6422118926446714</v>
      </c>
      <c r="AX43" s="21">
        <f t="shared" si="6"/>
        <v>62.235129550684206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5.9646569646569647</v>
      </c>
      <c r="BD43" s="12">
        <f>IF('Données projet'!$A$88&gt;35,BD42+BC43-BL42,IF(A43&lt;'Données projet'!$A$88,$BA$205^A43,IF(A43='Données projet'!$A$88,'Données projet'!$B$88,BD42+BC43-BL42)))</f>
        <v>116.76195426195429</v>
      </c>
      <c r="BE43" s="13">
        <f>BD43*VLOOKUP('Données projet'!$B$11,Paramètres!$A$1:$I$89,3,0)*VLOOKUP('Données projet'!$B$11,Paramètres!$A$1:$I$89,5,0)</f>
        <v>54.644594594594601</v>
      </c>
      <c r="BF43" s="13">
        <f t="shared" si="37"/>
        <v>15.806975425961753</v>
      </c>
      <c r="BG43" s="20">
        <f t="shared" si="7"/>
        <v>122.70315111913563</v>
      </c>
      <c r="BH43" s="59">
        <f t="shared" si="8"/>
        <v>416.03648445246893</v>
      </c>
      <c r="BI43" s="59">
        <f ca="1">AVERAGE(OFFSET($BH$3,0,0,'Données projet'!$E$11+1,1))-AVERAGE(OFFSET($H$3,0,0,'Données projet'!$E$11+1,1))</f>
        <v>111.85541298746966</v>
      </c>
      <c r="BJ43" s="59">
        <f t="shared" si="38"/>
        <v>27.56942482401746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18.229670329670324</v>
      </c>
      <c r="BY43" s="12">
        <f>IF('Données projet'!$A$114&gt;35,BY42+BX43-CG42,IF(A43&lt;'Données projet'!$A$114,$BV$205^A43,IF(A43='Données projet'!$A$114,'Données projet'!$B$114,BY42+BX43-CG42)))</f>
        <v>326.14065934065934</v>
      </c>
      <c r="BZ43" s="13">
        <f>BY43*VLOOKUP('Données projet'!$B$12,Paramètres!$A$1:$I$89,3,0)*VLOOKUP('Données projet'!$B$12,Paramètres!$A$1:$I$89,5,0)</f>
        <v>182.31262857142858</v>
      </c>
      <c r="CA43" s="13">
        <f t="shared" si="39"/>
        <v>45.836320512875403</v>
      </c>
      <c r="CB43" s="20">
        <f t="shared" si="10"/>
        <v>397.35941965516275</v>
      </c>
      <c r="CC43" s="59">
        <f t="shared" si="11"/>
        <v>690.69275298849607</v>
      </c>
      <c r="CD43" s="59">
        <f ca="1">AVERAGE(OFFSET($CC$3,0,0,'Données projet'!$E$12+1,1))-AVERAGE(OFFSET($H$3,0,0,'Données projet'!$E$12+1,1))</f>
        <v>253.62423410951334</v>
      </c>
      <c r="CE43" s="59">
        <f t="shared" si="40"/>
        <v>230.93438491511529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18.229960419680737</v>
      </c>
      <c r="CL43" s="21">
        <f>EXP(-LN(2)/25)*CL42+(1-EXP(-LN(2)/25))/(LN(2)/25)*Calculateur!CG43*Calculateur!CI43*VLOOKUP('Données projet'!$B$12,Paramètres!$A$1:$I$89,3,0)*0.475*44/12</f>
        <v>21.689521620976546</v>
      </c>
      <c r="CM43" s="21">
        <f>EXP(-LN(2)/2)*CM42+(1-EXP(-LN(2)/2))/(LN(2)/2)*CG43*CJ43*VLOOKUP('Données projet'!$B$12,Paramètres!$A$1:$I$89,3,0)*0.475*44/12</f>
        <v>1.3123854847802181</v>
      </c>
      <c r="CN43" s="22">
        <f t="shared" si="12"/>
        <v>41.231867525437501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14.690384615384611</v>
      </c>
      <c r="N44" s="13">
        <f>IF('Données projet'!$A$36&gt;35,N43+M44-V43,IF(A44&lt;'Données projet'!$A$36,$K$205^A44,IF(A44='Données projet'!$A$36,'Données projet'!$B$36,N43+M44-V43)))</f>
        <v>320.3326923076923</v>
      </c>
      <c r="O44" s="13">
        <f>N44*VLOOKUP('Données projet'!$B$9,Paramètres!$A$1:$I$89,3,0)*VLOOKUP('Données projet'!$B$9,Paramètres!$A$1:$I$89,5,0)</f>
        <v>149.91569999999999</v>
      </c>
      <c r="P44" s="13">
        <f t="shared" si="33"/>
        <v>38.559427516613091</v>
      </c>
      <c r="Q44" s="20">
        <f t="shared" si="53"/>
        <v>328.26084709143441</v>
      </c>
      <c r="R44" s="59">
        <f t="shared" si="0"/>
        <v>621.59418042476773</v>
      </c>
      <c r="S44" s="59">
        <f ca="1">AVERAGE(OFFSET($R$3,0,0,'Données projet'!$E$9+1,1))-AVERAGE(OFFSET($H$3,0,0,'Données projet'!$E$9+1,1))</f>
        <v>190.74210845597287</v>
      </c>
      <c r="T44" s="59">
        <f t="shared" si="34"/>
        <v>131.88015896015884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22.419230769230751</v>
      </c>
      <c r="AI44" s="13">
        <f>IF('Données projet'!$A$62&gt;35,AI43+AH44-AQ43,IF(A44&lt;'Données projet'!$A$62,$AF$205^A44,IF(A44='Données projet'!$A$62,'Données projet'!$B$62,AI43+AH44-AQ43)))</f>
        <v>446.30384615384611</v>
      </c>
      <c r="AJ44" s="13">
        <f>AI44*VLOOKUP('Données projet'!$B$10,Paramètres!$A$1:$I$89,3,0)*VLOOKUP('Données projet'!$B$10,Paramètres!$A$1:$I$89,5,0)</f>
        <v>249.48384999999996</v>
      </c>
      <c r="AK44" s="13">
        <f t="shared" si="35"/>
        <v>60.475401807280001</v>
      </c>
      <c r="AL44" s="20">
        <f t="shared" si="4"/>
        <v>539.8456968976792</v>
      </c>
      <c r="AM44" s="59">
        <f t="shared" si="5"/>
        <v>833.17903023101258</v>
      </c>
      <c r="AN44" s="59">
        <f ca="1">AVERAGE(OFFSET($AM$3,0,0,'Données projet'!$E$10+1,1))-AVERAGE(OFFSET($H$3,0,0,'Données projet'!$E$10+1,1))</f>
        <v>278.5296012747549</v>
      </c>
      <c r="AO44" s="59">
        <f t="shared" si="36"/>
        <v>370.55343097937077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41.696067270271087</v>
      </c>
      <c r="AV44" s="21">
        <f>EXP(-LN(2)/25)*AV43+(1-EXP(-LN(2)/25))/(LN(2)/25)*Calculateur!AQ44*Calculateur!AS44*VLOOKUP('Données projet'!$B$10,Paramètres!$A$1:$I$89,3,0)*0.475*44/12</f>
        <v>17.568932026308584</v>
      </c>
      <c r="AW44" s="21">
        <f>EXP(-LN(2)/2)*AW43+(1-EXP(-LN(2)/2))/(LN(2)/2)*AQ44*AT44*VLOOKUP('Données projet'!$B$10,Paramètres!$A$1:$I$89,3,0)*0.475*44/12</f>
        <v>1.1612191654342419</v>
      </c>
      <c r="AX44" s="21">
        <f t="shared" si="6"/>
        <v>60.426218462013914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5.9646569646569647</v>
      </c>
      <c r="BD44" s="12">
        <f>IF('Données projet'!$A$88&gt;35,BD43+BC44-BL43,IF(A44&lt;'Données projet'!$A$88,$BA$205^A44,IF(A44='Données projet'!$A$88,'Données projet'!$B$88,BD43+BC44-BL43)))</f>
        <v>122.72661122661125</v>
      </c>
      <c r="BE44" s="13">
        <f>BD44*VLOOKUP('Données projet'!$B$11,Paramètres!$A$1:$I$89,3,0)*VLOOKUP('Données projet'!$B$11,Paramètres!$A$1:$I$89,5,0)</f>
        <v>57.436054054054061</v>
      </c>
      <c r="BF44" s="13">
        <f t="shared" si="37"/>
        <v>16.518384594841802</v>
      </c>
      <c r="BG44" s="20">
        <f t="shared" si="7"/>
        <v>128.80398064682694</v>
      </c>
      <c r="BH44" s="59">
        <f t="shared" si="8"/>
        <v>422.13731398016023</v>
      </c>
      <c r="BI44" s="59">
        <f ca="1">AVERAGE(OFFSET($BH$3,0,0,'Données projet'!$E$11+1,1))-AVERAGE(OFFSET($H$3,0,0,'Données projet'!$E$11+1,1))</f>
        <v>111.85541298746966</v>
      </c>
      <c r="BJ44" s="59">
        <f t="shared" si="38"/>
        <v>27.56942482401746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18.229670329670324</v>
      </c>
      <c r="BY44" s="12">
        <f>IF('Données projet'!$A$114&gt;35,BY43+BX44-CG43,IF(A44&lt;'Données projet'!$A$114,$BV$205^A44,IF(A44='Données projet'!$A$114,'Données projet'!$B$114,BY43+BX44-CG43)))</f>
        <v>344.37032967032968</v>
      </c>
      <c r="BZ44" s="13">
        <f>BY44*VLOOKUP('Données projet'!$B$12,Paramètres!$A$1:$I$89,3,0)*VLOOKUP('Données projet'!$B$12,Paramètres!$A$1:$I$89,5,0)</f>
        <v>192.50301428571427</v>
      </c>
      <c r="CA44" s="13">
        <f t="shared" si="39"/>
        <v>48.092911552862631</v>
      </c>
      <c r="CB44" s="20">
        <f t="shared" si="10"/>
        <v>419.03790416885477</v>
      </c>
      <c r="CC44" s="59">
        <f t="shared" si="11"/>
        <v>712.37123750218802</v>
      </c>
      <c r="CD44" s="59">
        <f ca="1">AVERAGE(OFFSET($CC$3,0,0,'Données projet'!$E$12+1,1))-AVERAGE(OFFSET($H$3,0,0,'Données projet'!$E$12+1,1))</f>
        <v>253.62423410951334</v>
      </c>
      <c r="CE44" s="59">
        <f t="shared" si="40"/>
        <v>230.93438491511529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17.872482015028726</v>
      </c>
      <c r="CL44" s="21">
        <f>EXP(-LN(2)/25)*CL43+(1-EXP(-LN(2)/25))/(LN(2)/25)*Calculateur!CG44*Calculateur!CI44*VLOOKUP('Données projet'!$B$12,Paramètres!$A$1:$I$89,3,0)*0.475*44/12</f>
        <v>21.096420511648571</v>
      </c>
      <c r="CM44" s="21">
        <f>EXP(-LN(2)/2)*CM43+(1-EXP(-LN(2)/2))/(LN(2)/2)*CG44*CJ44*VLOOKUP('Données projet'!$B$12,Paramètres!$A$1:$I$89,3,0)*0.475*44/12</f>
        <v>0.9279966758188869</v>
      </c>
      <c r="CN44" s="22">
        <f t="shared" si="12"/>
        <v>39.896899202496186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335.02307692307687</v>
      </c>
      <c r="L45" s="12">
        <f>VLOOKUP(A45,'Données projet'!$A$35:$I$55,9,0)</f>
        <v>14.690384615384611</v>
      </c>
      <c r="M45" s="12">
        <f t="array" ref="M45">INDEX(L:L,MIN(IF(ISNUMBER(L45:L241),ROW(L45:L241),"")))</f>
        <v>14.690384615384611</v>
      </c>
      <c r="N45" s="13">
        <f>IF('Données projet'!$A$36&gt;35,N44+M45-V44,IF(A45&lt;'Données projet'!$A$36,$K$205^A45,IF(A45='Données projet'!$A$36,'Données projet'!$B$36,N44+M45-V44)))</f>
        <v>335.02307692307693</v>
      </c>
      <c r="O45" s="13">
        <f>N45*VLOOKUP('Données projet'!$B$9,Paramètres!$A$1:$I$89,3,0)*VLOOKUP('Données projet'!$B$9,Paramètres!$A$1:$I$89,5,0)</f>
        <v>156.79079999999999</v>
      </c>
      <c r="P45" s="13">
        <f t="shared" si="33"/>
        <v>40.117820037225911</v>
      </c>
      <c r="Q45" s="20">
        <f t="shared" si="53"/>
        <v>342.94917989816844</v>
      </c>
      <c r="R45" s="59">
        <f t="shared" si="0"/>
        <v>636.28251323150175</v>
      </c>
      <c r="S45" s="59">
        <f ca="1">AVERAGE(OFFSET($R$3,0,0,'Données projet'!$E$9+1,1))-AVERAGE(OFFSET($H$3,0,0,'Données projet'!$E$9+1,1))</f>
        <v>190.74210845597287</v>
      </c>
      <c r="T45" s="59">
        <f t="shared" si="34"/>
        <v>131.88015896015884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104.98461538461537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0.30800000000000005</v>
      </c>
      <c r="Y45" s="16">
        <f>IF(ISNA(VLOOKUP(A45,'Données projet'!$A$35:$I$55,7,0)),0%,VLOOKUP(A45,'Données projet'!$A$35:$I$55,7,0))</f>
        <v>0.44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19.995728411199782</v>
      </c>
      <c r="AB45" s="21">
        <f>EXP(-LN(2)/2)*AB44+(1-EXP(-LN(2)/2))/(LN(2)/2)*V45*Y45*VLOOKUP('Données projet'!$B$9,Paramètres!$A$1:$I$89,3,0)*0.475*44/12</f>
        <v>24.477086932279665</v>
      </c>
      <c r="AC45" s="22">
        <f t="shared" si="3"/>
        <v>44.472815343479446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468.72307692307686</v>
      </c>
      <c r="AG45" s="12">
        <f>VLOOKUP(A45,'Données projet'!$A$61:$I$81,9,0)</f>
        <v>22.419230769230751</v>
      </c>
      <c r="AH45" s="12">
        <f t="array" ref="AH45">INDEX(AG:AG,MIN(IF(ISNUMBER(AG45:AG241),ROW(AG45:AG241),"")))</f>
        <v>22.419230769230751</v>
      </c>
      <c r="AI45" s="13">
        <f>IF('Données projet'!$A$62&gt;35,AI44+AH45-AQ44,IF(A45&lt;'Données projet'!$A$62,$AF$205^A45,IF(A45='Données projet'!$A$62,'Données projet'!$B$62,AI44+AH45-AQ44)))</f>
        <v>468.72307692307686</v>
      </c>
      <c r="AJ45" s="13">
        <f>AI45*VLOOKUP('Données projet'!$B$10,Paramètres!$A$1:$I$89,3,0)*VLOOKUP('Données projet'!$B$10,Paramètres!$A$1:$I$89,5,0)</f>
        <v>262.01619999999997</v>
      </c>
      <c r="AK45" s="13">
        <f t="shared" si="35"/>
        <v>63.151956912854622</v>
      </c>
      <c r="AL45" s="20">
        <f t="shared" si="4"/>
        <v>566.33453995655509</v>
      </c>
      <c r="AM45" s="59">
        <f t="shared" si="5"/>
        <v>859.66787328988835</v>
      </c>
      <c r="AN45" s="59">
        <f ca="1">AVERAGE(OFFSET($AM$3,0,0,'Données projet'!$E$10+1,1))-AVERAGE(OFFSET($H$3,0,0,'Données projet'!$E$10+1,1))</f>
        <v>278.5296012747549</v>
      </c>
      <c r="AO45" s="59">
        <f t="shared" si="36"/>
        <v>370.55343097937077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73.392307692307682</v>
      </c>
      <c r="AR45" s="16">
        <f>IF(ISNA(VLOOKUP(A45,'Données projet'!$A$61:$I$81,5,0)),0%,VLOOKUP(A45,'Données projet'!$A$61:$I$81,5,0)*VLOOKUP('Données projet'!$B$10,Paramètres!$A$1:$I$89,7,0))</f>
        <v>0.38500000000000001</v>
      </c>
      <c r="AS45" s="16">
        <f>IF(ISNA(VLOOKUP(A45,'Données projet'!$A$61:$I$81,6,0)),0%,VLOOKUP(A45,'Données projet'!$A$61:$I$81,6,0)*VLOOKUP('Données projet'!$B$10,Paramètres!$A$1:$I$89,7,0))</f>
        <v>9.240000000000001E-2</v>
      </c>
      <c r="AT45" s="16">
        <f>IF(ISNA(VLOOKUP(A45,'Données projet'!$A$61:$I$81,7,0)),0%,VLOOKUP(A45,'Données projet'!$A$61:$I$81,7,0))</f>
        <v>0.13200000000000001</v>
      </c>
      <c r="AU45" s="21">
        <f>EXP(-LN(2)/35)*AU44+(1-EXP(-LN(2)/35))/(LN(2)/35)*AQ45*AR45*VLOOKUP('Données projet'!$B$10,Paramètres!$A$1:$I$89,3,0)*0.475*44/12</f>
        <v>61.831684880697594</v>
      </c>
      <c r="AV45" s="21">
        <f>EXP(-LN(2)/25)*AV44+(1-EXP(-LN(2)/25))/(LN(2)/25)*Calculateur!AQ45*Calculateur!AS45*VLOOKUP('Données projet'!$B$10,Paramètres!$A$1:$I$89,3,0)*0.475*44/12</f>
        <v>22.097488925021114</v>
      </c>
      <c r="AW45" s="21">
        <f>EXP(-LN(2)/2)*AW44+(1-EXP(-LN(2)/2))/(LN(2)/2)*AQ45*AT45*VLOOKUP('Données projet'!$B$10,Paramètres!$A$1:$I$89,3,0)*0.475*44/12</f>
        <v>6.9526777981796624</v>
      </c>
      <c r="AX45" s="21">
        <f t="shared" si="6"/>
        <v>90.881851603898369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5.9646569646569647</v>
      </c>
      <c r="BD45" s="12">
        <f>IF('Données projet'!$A$88&gt;35,BD44+BC45-BL44,IF(A45&lt;'Données projet'!$A$88,$BA$205^A45,IF(A45='Données projet'!$A$88,'Données projet'!$B$88,BD44+BC45-BL44)))</f>
        <v>128.69126819126822</v>
      </c>
      <c r="BE45" s="13">
        <f>BD45*VLOOKUP('Données projet'!$B$11,Paramètres!$A$1:$I$89,3,0)*VLOOKUP('Données projet'!$B$11,Paramètres!$A$1:$I$89,5,0)</f>
        <v>60.227513513513529</v>
      </c>
      <c r="BF45" s="13">
        <f t="shared" si="37"/>
        <v>17.225778890281475</v>
      </c>
      <c r="BG45" s="20">
        <f t="shared" si="7"/>
        <v>134.89781760327631</v>
      </c>
      <c r="BH45" s="59">
        <f t="shared" si="8"/>
        <v>428.23115093660965</v>
      </c>
      <c r="BI45" s="59">
        <f ca="1">AVERAGE(OFFSET($BH$3,0,0,'Données projet'!$E$11+1,1))-AVERAGE(OFFSET($H$3,0,0,'Données projet'!$E$11+1,1))</f>
        <v>111.85541298746966</v>
      </c>
      <c r="BJ45" s="59">
        <f t="shared" si="38"/>
        <v>27.56942482401746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362.59999999999997</v>
      </c>
      <c r="BW45" s="12">
        <f>VLOOKUP(A45,'Données projet'!$A$113:$I$133,9,0)</f>
        <v>18.229670329670324</v>
      </c>
      <c r="BX45" s="12">
        <f t="array" ref="BX45">INDEX(BW:BW,MIN(IF(ISNUMBER(BW45:BW241),ROW(BW45:BW241),"")))</f>
        <v>18.229670329670324</v>
      </c>
      <c r="BY45" s="12">
        <f>IF('Données projet'!$A$114&gt;35,BY44+BX45-CG44,IF(A45&lt;'Données projet'!$A$114,$BV$205^A45,IF(A45='Données projet'!$A$114,'Données projet'!$B$114,BY44+BX45-CG44)))</f>
        <v>362.6</v>
      </c>
      <c r="BZ45" s="13">
        <f>BY45*VLOOKUP('Données projet'!$B$12,Paramètres!$A$1:$I$89,3,0)*VLOOKUP('Données projet'!$B$12,Paramètres!$A$1:$I$89,5,0)</f>
        <v>202.69340000000003</v>
      </c>
      <c r="CA45" s="13">
        <f t="shared" si="39"/>
        <v>50.335633892078647</v>
      </c>
      <c r="CB45" s="20">
        <f t="shared" si="10"/>
        <v>440.69223402870369</v>
      </c>
      <c r="CC45" s="59">
        <f t="shared" si="11"/>
        <v>734.02556736203701</v>
      </c>
      <c r="CD45" s="59">
        <f ca="1">AVERAGE(OFFSET($CC$3,0,0,'Données projet'!$E$12+1,1))-AVERAGE(OFFSET($H$3,0,0,'Données projet'!$E$12+1,1))</f>
        <v>253.62423410951334</v>
      </c>
      <c r="CE45" s="59">
        <f t="shared" si="40"/>
        <v>230.93438491511529</v>
      </c>
      <c r="CF45" s="15">
        <f>IF(ISNA(VLOOKUP(A45,'Données projet'!$A$113:$I$133,3,0)),0,VLOOKUP(A45,'Données projet'!$A$113:$I$133,3,0))</f>
        <v>4</v>
      </c>
      <c r="CG45" s="15">
        <f>IF(ISNA(VLOOKUP(A45,'Données projet'!$A$113:$I$133,4,0)),0,VLOOKUP(A45,'Données projet'!$A$113:$I$133,4,0))</f>
        <v>80.669230769230765</v>
      </c>
      <c r="CH45" s="16">
        <f>IF(ISNA(VLOOKUP(A45,'Données projet'!$A$113:$I$133,5,0)),0%,VLOOKUP(A45,'Données projet'!$A$113:$I$133,5,0)*VLOOKUP('Données projet'!$B$12,Paramètres!$A$1:$I$89,7,0))</f>
        <v>0.38500000000000001</v>
      </c>
      <c r="CI45" s="16">
        <f>IF(ISNA(VLOOKUP(A45,'Données projet'!$A$113:$I$133,6,0)),0%,VLOOKUP(A45,'Données projet'!$A$113:$I$133,6,0)*VLOOKUP('Données projet'!$B$12,Paramètres!$A$1:$I$89,7,0))</f>
        <v>9.240000000000001E-2</v>
      </c>
      <c r="CJ45" s="16">
        <f>IF(ISNA(VLOOKUP(A45,'Données projet'!$A$113:$I$133,7,0)),0%,VLOOKUP(A45,'Données projet'!$A$113:$I$133,7,0))</f>
        <v>0.13200000000000001</v>
      </c>
      <c r="CK45" s="21">
        <f>EXP(-LN(2)/35)*CK44+(1-EXP(-LN(2)/35))/(LN(2)/35)*CG45*CH45*VLOOKUP('Données projet'!$B$12,Paramètres!$A$1:$I$89,3,0)*0.475*44/12</f>
        <v>40.552802174715566</v>
      </c>
      <c r="CL45" s="21">
        <f>EXP(-LN(2)/25)*CL44+(1-EXP(-LN(2)/25))/(LN(2)/25)*Calculateur!CG45*Calculateur!CI45*VLOOKUP('Données projet'!$B$12,Paramètres!$A$1:$I$89,3,0)*0.475*44/12</f>
        <v>26.025163617090385</v>
      </c>
      <c r="CM45" s="21">
        <f>EXP(-LN(2)/2)*CM44+(1-EXP(-LN(2)/2))/(LN(2)/2)*CG45*CJ45*VLOOKUP('Données projet'!$B$12,Paramètres!$A$1:$I$89,3,0)*0.475*44/12</f>
        <v>7.3957162735113524</v>
      </c>
      <c r="CN45" s="22">
        <f t="shared" si="12"/>
        <v>73.973682065317306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14.989423076923082</v>
      </c>
      <c r="N46" s="13">
        <f>IF('Données projet'!$A$36&gt;35,N45+M46-V45,IF(A46&lt;'Données projet'!$A$36,$K$205^A46,IF(A46='Données projet'!$A$36,'Données projet'!$B$36,N45+M46-V45)))</f>
        <v>245.02788461538461</v>
      </c>
      <c r="O46" s="13">
        <f>N46*VLOOKUP('Données projet'!$B$9,Paramètres!$A$1:$I$89,3,0)*VLOOKUP('Données projet'!$B$9,Paramètres!$A$1:$I$89,5,0)</f>
        <v>114.67305</v>
      </c>
      <c r="P46" s="13">
        <f t="shared" si="33"/>
        <v>30.429311489148546</v>
      </c>
      <c r="Q46" s="20">
        <f t="shared" si="53"/>
        <v>252.71994626026705</v>
      </c>
      <c r="R46" s="59">
        <f t="shared" si="0"/>
        <v>546.05327959360034</v>
      </c>
      <c r="S46" s="59">
        <f ca="1">AVERAGE(OFFSET($R$3,0,0,'Données projet'!$E$9+1,1))-AVERAGE(OFFSET($H$3,0,0,'Données projet'!$E$9+1,1))</f>
        <v>190.74210845597287</v>
      </c>
      <c r="T46" s="59">
        <f t="shared" si="34"/>
        <v>131.88015896015884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19.448944166265868</v>
      </c>
      <c r="AB46" s="21">
        <f>EXP(-LN(2)/2)*AB45+(1-EXP(-LN(2)/2))/(LN(2)/2)*V46*Y46*VLOOKUP('Données projet'!$B$9,Paramètres!$A$1:$I$89,3,0)*0.475*44/12</f>
        <v>17.307914153507578</v>
      </c>
      <c r="AC46" s="22">
        <f t="shared" si="3"/>
        <v>36.756858319773443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21.625641025641034</v>
      </c>
      <c r="AI46" s="13">
        <f>IF('Données projet'!$A$62&gt;35,AI45+AH46-AQ45,IF(A46&lt;'Données projet'!$A$62,$AF$205^A46,IF(A46='Données projet'!$A$62,'Données projet'!$B$62,AI45+AH46-AQ45)))</f>
        <v>416.95641025641021</v>
      </c>
      <c r="AJ46" s="13">
        <f>AI46*VLOOKUP('Données projet'!$B$10,Paramètres!$A$1:$I$89,3,0)*VLOOKUP('Données projet'!$B$10,Paramètres!$A$1:$I$89,5,0)</f>
        <v>233.0786333333333</v>
      </c>
      <c r="AK46" s="13">
        <f t="shared" si="35"/>
        <v>56.947838023653489</v>
      </c>
      <c r="AL46" s="20">
        <f t="shared" si="4"/>
        <v>505.1294376134187</v>
      </c>
      <c r="AM46" s="59">
        <f t="shared" si="5"/>
        <v>798.46277094675202</v>
      </c>
      <c r="AN46" s="59">
        <f ca="1">AVERAGE(OFFSET($AM$3,0,0,'Données projet'!$E$10+1,1))-AVERAGE(OFFSET($H$3,0,0,'Données projet'!$E$10+1,1))</f>
        <v>278.5296012747549</v>
      </c>
      <c r="AO46" s="59">
        <f t="shared" si="36"/>
        <v>370.55343097937077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60.619203253790985</v>
      </c>
      <c r="AV46" s="21">
        <f>EXP(-LN(2)/25)*AV45+(1-EXP(-LN(2)/25))/(LN(2)/25)*Calculateur!AQ46*Calculateur!AS46*VLOOKUP('Données projet'!$B$10,Paramètres!$A$1:$I$89,3,0)*0.475*44/12</f>
        <v>21.493231928309974</v>
      </c>
      <c r="AW46" s="21">
        <f>EXP(-LN(2)/2)*AW45+(1-EXP(-LN(2)/2))/(LN(2)/2)*AQ46*AT46*VLOOKUP('Données projet'!$B$10,Paramètres!$A$1:$I$89,3,0)*0.475*44/12</f>
        <v>4.9162856184979935</v>
      </c>
      <c r="AX46" s="21">
        <f t="shared" si="6"/>
        <v>87.028720800598961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5.9646569646569647</v>
      </c>
      <c r="BD46" s="12">
        <f>IF('Données projet'!$A$88&gt;35,BD45+BC46-BL45,IF(A46&lt;'Données projet'!$A$88,$BA$205^A46,IF(A46='Données projet'!$A$88,'Données projet'!$B$88,BD45+BC46-BL45)))</f>
        <v>134.65592515592519</v>
      </c>
      <c r="BE46" s="13">
        <f>BD46*VLOOKUP('Données projet'!$B$11,Paramètres!$A$1:$I$89,3,0)*VLOOKUP('Données projet'!$B$11,Paramètres!$A$1:$I$89,5,0)</f>
        <v>63.018972972972989</v>
      </c>
      <c r="BF46" s="13">
        <f t="shared" si="37"/>
        <v>17.929365648464145</v>
      </c>
      <c r="BG46" s="20">
        <f t="shared" si="7"/>
        <v>140.98502309900297</v>
      </c>
      <c r="BH46" s="59">
        <f t="shared" si="8"/>
        <v>434.31835643233626</v>
      </c>
      <c r="BI46" s="59">
        <f ca="1">AVERAGE(OFFSET($BH$3,0,0,'Données projet'!$E$11+1,1))-AVERAGE(OFFSET($H$3,0,0,'Données projet'!$E$11+1,1))</f>
        <v>111.85541298746966</v>
      </c>
      <c r="BJ46" s="59">
        <f t="shared" si="38"/>
        <v>27.56942482401746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17.519780219780223</v>
      </c>
      <c r="BY46" s="12">
        <f>IF('Données projet'!$A$114&gt;35,BY45+BX46-CG45,IF(A46&lt;'Données projet'!$A$114,$BV$205^A46,IF(A46='Données projet'!$A$114,'Données projet'!$B$114,BY45+BX46-CG45)))</f>
        <v>299.45054945054949</v>
      </c>
      <c r="BZ46" s="13">
        <f>BY46*VLOOKUP('Données projet'!$B$12,Paramètres!$A$1:$I$89,3,0)*VLOOKUP('Données projet'!$B$12,Paramètres!$A$1:$I$89,5,0)</f>
        <v>167.3928571428572</v>
      </c>
      <c r="CA46" s="13">
        <f t="shared" si="39"/>
        <v>42.505586135425617</v>
      </c>
      <c r="CB46" s="20">
        <f t="shared" si="10"/>
        <v>365.57312204300916</v>
      </c>
      <c r="CC46" s="59">
        <f t="shared" si="11"/>
        <v>658.90645537634248</v>
      </c>
      <c r="CD46" s="59">
        <f ca="1">AVERAGE(OFFSET($CC$3,0,0,'Données projet'!$E$12+1,1))-AVERAGE(OFFSET($H$3,0,0,'Données projet'!$E$12+1,1))</f>
        <v>253.62423410951334</v>
      </c>
      <c r="CE46" s="59">
        <f t="shared" si="40"/>
        <v>230.93438491511529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39.757586458836364</v>
      </c>
      <c r="CL46" s="21">
        <f>EXP(-LN(2)/25)*CL45+(1-EXP(-LN(2)/25))/(LN(2)/25)*Calculateur!CG46*Calculateur!CI46*VLOOKUP('Données projet'!$B$12,Paramètres!$A$1:$I$89,3,0)*0.475*44/12</f>
        <v>25.313504149377174</v>
      </c>
      <c r="CM46" s="21">
        <f>EXP(-LN(2)/2)*CM45+(1-EXP(-LN(2)/2))/(LN(2)/2)*CG46*CJ46*VLOOKUP('Données projet'!$B$12,Paramètres!$A$1:$I$89,3,0)*0.475*44/12</f>
        <v>5.2295611287315813</v>
      </c>
      <c r="CN46" s="22">
        <f t="shared" si="12"/>
        <v>70.300651736945113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14.989423076923082</v>
      </c>
      <c r="N47" s="13">
        <f>IF('Données projet'!$A$36&gt;35,N46+M47-V46,IF(A47&lt;'Données projet'!$A$36,$K$205^A47,IF(A47='Données projet'!$A$36,'Données projet'!$B$36,N46+M47-V46)))</f>
        <v>260.01730769230767</v>
      </c>
      <c r="O47" s="13">
        <f>N47*VLOOKUP('Données projet'!$B$9,Paramètres!$A$1:$I$89,3,0)*VLOOKUP('Données projet'!$B$9,Paramètres!$A$1:$I$89,5,0)</f>
        <v>121.68809999999999</v>
      </c>
      <c r="P47" s="13">
        <f t="shared" si="33"/>
        <v>32.068400221328496</v>
      </c>
      <c r="Q47" s="20">
        <f t="shared" si="53"/>
        <v>267.79257121881375</v>
      </c>
      <c r="R47" s="59">
        <f t="shared" si="0"/>
        <v>561.12590455214706</v>
      </c>
      <c r="S47" s="59">
        <f ca="1">AVERAGE(OFFSET($R$3,0,0,'Données projet'!$E$9+1,1))-AVERAGE(OFFSET($H$3,0,0,'Données projet'!$E$9+1,1))</f>
        <v>190.74210845597287</v>
      </c>
      <c r="T47" s="59">
        <f t="shared" si="34"/>
        <v>131.88015896015884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18.917111765263805</v>
      </c>
      <c r="AB47" s="21">
        <f>EXP(-LN(2)/2)*AB46+(1-EXP(-LN(2)/2))/(LN(2)/2)*V47*Y47*VLOOKUP('Données projet'!$B$9,Paramètres!$A$1:$I$89,3,0)*0.475*44/12</f>
        <v>12.238543466139832</v>
      </c>
      <c r="AC47" s="22">
        <f t="shared" si="3"/>
        <v>31.155655231403635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21.625641025641034</v>
      </c>
      <c r="AI47" s="13">
        <f>IF('Données projet'!$A$62&gt;35,AI46+AH47-AQ46,IF(A47&lt;'Données projet'!$A$62,$AF$205^A47,IF(A47='Données projet'!$A$62,'Données projet'!$B$62,AI46+AH47-AQ46)))</f>
        <v>438.58205128205122</v>
      </c>
      <c r="AJ47" s="13">
        <f>AI47*VLOOKUP('Données projet'!$B$10,Paramètres!$A$1:$I$89,3,0)*VLOOKUP('Données projet'!$B$10,Paramètres!$A$1:$I$89,5,0)</f>
        <v>245.16736666666665</v>
      </c>
      <c r="AK47" s="13">
        <f t="shared" si="35"/>
        <v>59.549932468183236</v>
      </c>
      <c r="AL47" s="20">
        <f t="shared" si="4"/>
        <v>530.71596265986352</v>
      </c>
      <c r="AM47" s="59">
        <f t="shared" si="5"/>
        <v>824.04929599319689</v>
      </c>
      <c r="AN47" s="59">
        <f ca="1">AVERAGE(OFFSET($AM$3,0,0,'Données projet'!$E$10+1,1))-AVERAGE(OFFSET($H$3,0,0,'Données projet'!$E$10+1,1))</f>
        <v>278.5296012747549</v>
      </c>
      <c r="AO47" s="59">
        <f t="shared" si="36"/>
        <v>370.55343097937077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59.430497652047244</v>
      </c>
      <c r="AV47" s="21">
        <f>EXP(-LN(2)/25)*AV46+(1-EXP(-LN(2)/25))/(LN(2)/25)*Calculateur!AQ47*Calculateur!AS47*VLOOKUP('Données projet'!$B$10,Paramètres!$A$1:$I$89,3,0)*0.475*44/12</f>
        <v>20.905498370950394</v>
      </c>
      <c r="AW47" s="21">
        <f>EXP(-LN(2)/2)*AW46+(1-EXP(-LN(2)/2))/(LN(2)/2)*AQ47*AT47*VLOOKUP('Données projet'!$B$10,Paramètres!$A$1:$I$89,3,0)*0.475*44/12</f>
        <v>3.4763388990898312</v>
      </c>
      <c r="AX47" s="21">
        <f t="shared" si="6"/>
        <v>83.812334922087459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5.9646569646569647</v>
      </c>
      <c r="BD47" s="12">
        <f>IF('Données projet'!$A$88&gt;35,BD46+BC47-BL46,IF(A47&lt;'Données projet'!$A$88,$BA$205^A47,IF(A47='Données projet'!$A$88,'Données projet'!$B$88,BD46+BC47-BL46)))</f>
        <v>140.62058212058216</v>
      </c>
      <c r="BE47" s="13">
        <f>BD47*VLOOKUP('Données projet'!$B$11,Paramètres!$A$1:$I$89,3,0)*VLOOKUP('Données projet'!$B$11,Paramètres!$A$1:$I$89,5,0)</f>
        <v>65.810432432432449</v>
      </c>
      <c r="BF47" s="13">
        <f t="shared" si="37"/>
        <v>18.629332798908688</v>
      </c>
      <c r="BG47" s="20">
        <f t="shared" si="7"/>
        <v>147.06592444458582</v>
      </c>
      <c r="BH47" s="59">
        <f t="shared" si="8"/>
        <v>440.39925777791916</v>
      </c>
      <c r="BI47" s="59">
        <f ca="1">AVERAGE(OFFSET($BH$3,0,0,'Données projet'!$E$11+1,1))-AVERAGE(OFFSET($H$3,0,0,'Données projet'!$E$11+1,1))</f>
        <v>111.85541298746966</v>
      </c>
      <c r="BJ47" s="59">
        <f t="shared" si="38"/>
        <v>27.56942482401746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17.519780219780223</v>
      </c>
      <c r="BY47" s="12">
        <f>IF('Données projet'!$A$114&gt;35,BY46+BX47-CG46,IF(A47&lt;'Données projet'!$A$114,$BV$205^A47,IF(A47='Données projet'!$A$114,'Données projet'!$B$114,BY46+BX47-CG46)))</f>
        <v>316.9703296703297</v>
      </c>
      <c r="BZ47" s="13">
        <f>BY47*VLOOKUP('Données projet'!$B$12,Paramètres!$A$1:$I$89,3,0)*VLOOKUP('Données projet'!$B$12,Paramètres!$A$1:$I$89,5,0)</f>
        <v>177.18641428571431</v>
      </c>
      <c r="CA47" s="13">
        <f t="shared" si="39"/>
        <v>44.695642380138821</v>
      </c>
      <c r="CB47" s="20">
        <f t="shared" si="10"/>
        <v>386.44458202636088</v>
      </c>
      <c r="CC47" s="59">
        <f t="shared" si="11"/>
        <v>679.77791535969413</v>
      </c>
      <c r="CD47" s="59">
        <f ca="1">AVERAGE(OFFSET($CC$3,0,0,'Données projet'!$E$12+1,1))-AVERAGE(OFFSET($H$3,0,0,'Données projet'!$E$12+1,1))</f>
        <v>253.62423410951334</v>
      </c>
      <c r="CE47" s="59">
        <f t="shared" si="40"/>
        <v>230.93438491511529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38.977964438111862</v>
      </c>
      <c r="CL47" s="21">
        <f>EXP(-LN(2)/25)*CL46+(1-EXP(-LN(2)/25))/(LN(2)/25)*Calculateur!CG47*Calculateur!CI47*VLOOKUP('Données projet'!$B$12,Paramètres!$A$1:$I$89,3,0)*0.475*44/12</f>
        <v>24.621305047233125</v>
      </c>
      <c r="CM47" s="21">
        <f>EXP(-LN(2)/2)*CM46+(1-EXP(-LN(2)/2))/(LN(2)/2)*CG47*CJ47*VLOOKUP('Données projet'!$B$12,Paramètres!$A$1:$I$89,3,0)*0.475*44/12</f>
        <v>3.6978581367556771</v>
      </c>
      <c r="CN47" s="22">
        <f t="shared" si="12"/>
        <v>67.297127622100675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14.989423076923082</v>
      </c>
      <c r="N48" s="13">
        <f>IF('Données projet'!$A$36&gt;35,N47+M48-V47,IF(A48&lt;'Données projet'!$A$36,$K$205^A48,IF(A48='Données projet'!$A$36,'Données projet'!$B$36,N47+M48-V47)))</f>
        <v>275.00673076923073</v>
      </c>
      <c r="O48" s="13">
        <f>N48*VLOOKUP('Données projet'!$B$9,Paramètres!$A$1:$I$89,3,0)*VLOOKUP('Données projet'!$B$9,Paramètres!$A$1:$I$89,5,0)</f>
        <v>128.70314999999999</v>
      </c>
      <c r="P48" s="13">
        <f t="shared" si="33"/>
        <v>33.696520742668326</v>
      </c>
      <c r="Q48" s="20">
        <f t="shared" si="53"/>
        <v>282.84609321014727</v>
      </c>
      <c r="R48" s="59">
        <f t="shared" si="0"/>
        <v>576.17942654348053</v>
      </c>
      <c r="S48" s="59">
        <f ca="1">AVERAGE(OFFSET($R$3,0,0,'Données projet'!$E$9+1,1))-AVERAGE(OFFSET($H$3,0,0,'Données projet'!$E$9+1,1))</f>
        <v>190.74210845597287</v>
      </c>
      <c r="T48" s="59">
        <f t="shared" si="34"/>
        <v>131.88015896015884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18.399822349234995</v>
      </c>
      <c r="AB48" s="21">
        <f>EXP(-LN(2)/2)*AB47+(1-EXP(-LN(2)/2))/(LN(2)/2)*V48*Y48*VLOOKUP('Données projet'!$B$9,Paramètres!$A$1:$I$89,3,0)*0.475*44/12</f>
        <v>8.6539570767537892</v>
      </c>
      <c r="AC48" s="22">
        <f t="shared" si="3"/>
        <v>27.053779425988786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21.625641025641034</v>
      </c>
      <c r="AI48" s="13">
        <f>IF('Données projet'!$A$62&gt;35,AI47+AH48-AQ47,IF(A48&lt;'Données projet'!$A$62,$AF$205^A48,IF(A48='Données projet'!$A$62,'Données projet'!$B$62,AI47+AH48-AQ47)))</f>
        <v>460.20769230769224</v>
      </c>
      <c r="AJ48" s="13">
        <f>AI48*VLOOKUP('Données projet'!$B$10,Paramètres!$A$1:$I$89,3,0)*VLOOKUP('Données projet'!$B$10,Paramètres!$A$1:$I$89,5,0)</f>
        <v>257.25609999999995</v>
      </c>
      <c r="AK48" s="13">
        <f t="shared" si="35"/>
        <v>62.137128695600659</v>
      </c>
      <c r="AL48" s="20">
        <f t="shared" si="4"/>
        <v>556.27653997817106</v>
      </c>
      <c r="AM48" s="59">
        <f t="shared" si="5"/>
        <v>849.60987331150432</v>
      </c>
      <c r="AN48" s="59">
        <f ca="1">AVERAGE(OFFSET($AM$3,0,0,'Données projet'!$E$10+1,1))-AVERAGE(OFFSET($H$3,0,0,'Données projet'!$E$10+1,1))</f>
        <v>278.5296012747549</v>
      </c>
      <c r="AO48" s="59">
        <f t="shared" si="36"/>
        <v>370.55343097937077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58.265101842114873</v>
      </c>
      <c r="AV48" s="21">
        <f>EXP(-LN(2)/25)*AV47+(1-EXP(-LN(2)/25))/(LN(2)/25)*Calculateur!AQ48*Calculateur!AS48*VLOOKUP('Données projet'!$B$10,Paramètres!$A$1:$I$89,3,0)*0.475*44/12</f>
        <v>20.333836418624376</v>
      </c>
      <c r="AW48" s="21">
        <f>EXP(-LN(2)/2)*AW47+(1-EXP(-LN(2)/2))/(LN(2)/2)*AQ48*AT48*VLOOKUP('Données projet'!$B$10,Paramètres!$A$1:$I$89,3,0)*0.475*44/12</f>
        <v>2.4581428092489968</v>
      </c>
      <c r="AX48" s="21">
        <f t="shared" si="6"/>
        <v>81.057081069988243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5.9646569646569647</v>
      </c>
      <c r="BD48" s="12">
        <f>IF('Données projet'!$A$88&gt;35,BD47+BC48-BL47,IF(A48&lt;'Données projet'!$A$88,$BA$205^A48,IF(A48='Données projet'!$A$88,'Données projet'!$B$88,BD47+BC48-BL47)))</f>
        <v>146.58523908523912</v>
      </c>
      <c r="BE48" s="13">
        <f>BD48*VLOOKUP('Données projet'!$B$11,Paramètres!$A$1:$I$89,3,0)*VLOOKUP('Données projet'!$B$11,Paramètres!$A$1:$I$89,5,0)</f>
        <v>68.60189189189191</v>
      </c>
      <c r="BF48" s="13">
        <f t="shared" si="37"/>
        <v>19.325851426650821</v>
      </c>
      <c r="BG48" s="20">
        <f t="shared" si="7"/>
        <v>153.14081961312857</v>
      </c>
      <c r="BH48" s="59">
        <f t="shared" si="8"/>
        <v>446.47415294646191</v>
      </c>
      <c r="BI48" s="59">
        <f ca="1">AVERAGE(OFFSET($BH$3,0,0,'Données projet'!$E$11+1,1))-AVERAGE(OFFSET($H$3,0,0,'Données projet'!$E$11+1,1))</f>
        <v>111.85541298746966</v>
      </c>
      <c r="BJ48" s="59">
        <f t="shared" si="38"/>
        <v>27.56942482401746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17.519780219780223</v>
      </c>
      <c r="BY48" s="12">
        <f>IF('Données projet'!$A$114&gt;35,BY47+BX48-CG47,IF(A48&lt;'Données projet'!$A$114,$BV$205^A48,IF(A48='Données projet'!$A$114,'Données projet'!$B$114,BY47+BX48-CG47)))</f>
        <v>334.49010989010992</v>
      </c>
      <c r="BZ48" s="13">
        <f>BY48*VLOOKUP('Données projet'!$B$12,Paramètres!$A$1:$I$89,3,0)*VLOOKUP('Données projet'!$B$12,Paramètres!$A$1:$I$89,5,0)</f>
        <v>186.97997142857147</v>
      </c>
      <c r="CA48" s="13">
        <f t="shared" si="39"/>
        <v>46.871646064498115</v>
      </c>
      <c r="CB48" s="20">
        <f t="shared" si="10"/>
        <v>407.29156713376284</v>
      </c>
      <c r="CC48" s="59">
        <f t="shared" si="11"/>
        <v>700.62490046709615</v>
      </c>
      <c r="CD48" s="59">
        <f ca="1">AVERAGE(OFFSET($CC$3,0,0,'Données projet'!$E$12+1,1))-AVERAGE(OFFSET($H$3,0,0,'Données projet'!$E$12+1,1))</f>
        <v>253.62423410951334</v>
      </c>
      <c r="CE48" s="59">
        <f t="shared" si="40"/>
        <v>230.93438491511529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38.213630329691284</v>
      </c>
      <c r="CL48" s="21">
        <f>EXP(-LN(2)/25)*CL47+(1-EXP(-LN(2)/25))/(LN(2)/25)*Calculateur!CG48*Calculateur!CI48*VLOOKUP('Données projet'!$B$12,Paramètres!$A$1:$I$89,3,0)*0.475*44/12</f>
        <v>23.948034165938378</v>
      </c>
      <c r="CM48" s="21">
        <f>EXP(-LN(2)/2)*CM47+(1-EXP(-LN(2)/2))/(LN(2)/2)*CG48*CJ48*VLOOKUP('Données projet'!$B$12,Paramètres!$A$1:$I$89,3,0)*0.475*44/12</f>
        <v>2.6147805643657911</v>
      </c>
      <c r="CN48" s="22">
        <f t="shared" si="12"/>
        <v>64.776445059995453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14.989423076923082</v>
      </c>
      <c r="N49" s="13">
        <f>IF('Données projet'!$A$36&gt;35,N48+M49-V48,IF(A49&lt;'Données projet'!$A$36,$K$205^A49,IF(A49='Données projet'!$A$36,'Données projet'!$B$36,N48+M49-V48)))</f>
        <v>289.99615384615379</v>
      </c>
      <c r="O49" s="13">
        <f>N49*VLOOKUP('Données projet'!$B$9,Paramètres!$A$1:$I$89,3,0)*VLOOKUP('Données projet'!$B$9,Paramètres!$A$1:$I$89,5,0)</f>
        <v>135.71819999999997</v>
      </c>
      <c r="P49" s="13">
        <f t="shared" si="33"/>
        <v>35.314339034341074</v>
      </c>
      <c r="Q49" s="20">
        <f t="shared" si="53"/>
        <v>297.88167215147729</v>
      </c>
      <c r="R49" s="59">
        <f t="shared" si="0"/>
        <v>591.2150054848106</v>
      </c>
      <c r="S49" s="59">
        <f ca="1">AVERAGE(OFFSET($R$3,0,0,'Données projet'!$E$9+1,1))-AVERAGE(OFFSET($H$3,0,0,'Données projet'!$E$9+1,1))</f>
        <v>190.74210845597287</v>
      </c>
      <c r="T49" s="59">
        <f t="shared" si="34"/>
        <v>131.88015896015884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17.896678239490559</v>
      </c>
      <c r="AB49" s="21">
        <f>EXP(-LN(2)/2)*AB48+(1-EXP(-LN(2)/2))/(LN(2)/2)*V49*Y49*VLOOKUP('Données projet'!$B$9,Paramètres!$A$1:$I$89,3,0)*0.475*44/12</f>
        <v>6.1192717330699162</v>
      </c>
      <c r="AC49" s="22">
        <f t="shared" si="3"/>
        <v>24.015949972560474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21.625641025641034</v>
      </c>
      <c r="AI49" s="13">
        <f>IF('Données projet'!$A$62&gt;35,AI48+AH49-AQ48,IF(A49&lt;'Données projet'!$A$62,$AF$205^A49,IF(A49='Données projet'!$A$62,'Données projet'!$B$62,AI48+AH49-AQ48)))</f>
        <v>481.83333333333326</v>
      </c>
      <c r="AJ49" s="13">
        <f>AI49*VLOOKUP('Données projet'!$B$10,Paramètres!$A$1:$I$89,3,0)*VLOOKUP('Données projet'!$B$10,Paramètres!$A$1:$I$89,5,0)</f>
        <v>269.34483333333333</v>
      </c>
      <c r="AK49" s="13">
        <f t="shared" si="35"/>
        <v>64.710206731812576</v>
      </c>
      <c r="AL49" s="20">
        <f t="shared" si="4"/>
        <v>581.81252811346246</v>
      </c>
      <c r="AM49" s="59">
        <f t="shared" si="5"/>
        <v>875.14586144679583</v>
      </c>
      <c r="AN49" s="59">
        <f ca="1">AVERAGE(OFFSET($AM$3,0,0,'Données projet'!$E$10+1,1))-AVERAGE(OFFSET($H$3,0,0,'Données projet'!$E$10+1,1))</f>
        <v>278.5296012747549</v>
      </c>
      <c r="AO49" s="59">
        <f t="shared" si="36"/>
        <v>370.55343097937077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57.122558733194019</v>
      </c>
      <c r="AV49" s="21">
        <f>EXP(-LN(2)/25)*AV48+(1-EXP(-LN(2)/25))/(LN(2)/25)*Calculateur!AQ49*Calculateur!AS49*VLOOKUP('Données projet'!$B$10,Paramètres!$A$1:$I$89,3,0)*0.475*44/12</f>
        <v>19.77780659244711</v>
      </c>
      <c r="AW49" s="21">
        <f>EXP(-LN(2)/2)*AW48+(1-EXP(-LN(2)/2))/(LN(2)/2)*AQ49*AT49*VLOOKUP('Données projet'!$B$10,Paramètres!$A$1:$I$89,3,0)*0.475*44/12</f>
        <v>1.7381694495449156</v>
      </c>
      <c r="AX49" s="21">
        <f t="shared" si="6"/>
        <v>78.638534775186045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5.9646569646569647</v>
      </c>
      <c r="BD49" s="12">
        <f>IF('Données projet'!$A$88&gt;35,BD48+BC49-BL48,IF(A49&lt;'Données projet'!$A$88,$BA$205^A49,IF(A49='Données projet'!$A$88,'Données projet'!$B$88,BD48+BC49-BL48)))</f>
        <v>152.54989604989609</v>
      </c>
      <c r="BE49" s="13">
        <f>BD49*VLOOKUP('Données projet'!$B$11,Paramètres!$A$1:$I$89,3,0)*VLOOKUP('Données projet'!$B$11,Paramètres!$A$1:$I$89,5,0)</f>
        <v>71.39335135135137</v>
      </c>
      <c r="BF49" s="13">
        <f t="shared" si="37"/>
        <v>20.019077905652733</v>
      </c>
      <c r="BG49" s="20">
        <f t="shared" si="7"/>
        <v>159.20998095594879</v>
      </c>
      <c r="BH49" s="59">
        <f t="shared" si="8"/>
        <v>452.54331428928208</v>
      </c>
      <c r="BI49" s="59">
        <f ca="1">AVERAGE(OFFSET($BH$3,0,0,'Données projet'!$E$11+1,1))-AVERAGE(OFFSET($H$3,0,0,'Données projet'!$E$11+1,1))</f>
        <v>111.85541298746966</v>
      </c>
      <c r="BJ49" s="59">
        <f t="shared" si="38"/>
        <v>27.56942482401746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17.519780219780223</v>
      </c>
      <c r="BY49" s="12">
        <f>IF('Données projet'!$A$114&gt;35,BY48+BX49-CG48,IF(A49&lt;'Données projet'!$A$114,$BV$205^A49,IF(A49='Données projet'!$A$114,'Données projet'!$B$114,BY48+BX49-CG48)))</f>
        <v>352.00989010989014</v>
      </c>
      <c r="BZ49" s="13">
        <f>BY49*VLOOKUP('Données projet'!$B$12,Paramètres!$A$1:$I$89,3,0)*VLOOKUP('Données projet'!$B$12,Paramètres!$A$1:$I$89,5,0)</f>
        <v>196.77352857142859</v>
      </c>
      <c r="CA49" s="13">
        <f t="shared" si="39"/>
        <v>49.034417171503861</v>
      </c>
      <c r="CB49" s="20">
        <f t="shared" si="10"/>
        <v>428.11550550227395</v>
      </c>
      <c r="CC49" s="59">
        <f t="shared" si="11"/>
        <v>721.44883883560726</v>
      </c>
      <c r="CD49" s="59">
        <f ca="1">AVERAGE(OFFSET($CC$3,0,0,'Données projet'!$E$12+1,1))-AVERAGE(OFFSET($H$3,0,0,'Données projet'!$E$12+1,1))</f>
        <v>253.62423410951334</v>
      </c>
      <c r="CE49" s="59">
        <f t="shared" si="40"/>
        <v>230.93438491511529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37.464284346939067</v>
      </c>
      <c r="CL49" s="21">
        <f>EXP(-LN(2)/25)*CL48+(1-EXP(-LN(2)/25))/(LN(2)/25)*Calculateur!CG49*Calculateur!CI49*VLOOKUP('Données projet'!$B$12,Paramètres!$A$1:$I$89,3,0)*0.475*44/12</f>
        <v>23.29317391229841</v>
      </c>
      <c r="CM49" s="21">
        <f>EXP(-LN(2)/2)*CM48+(1-EXP(-LN(2)/2))/(LN(2)/2)*CG49*CJ49*VLOOKUP('Données projet'!$B$12,Paramètres!$A$1:$I$89,3,0)*0.475*44/12</f>
        <v>1.8489290683778388</v>
      </c>
      <c r="CN49" s="22">
        <f t="shared" si="12"/>
        <v>62.606387327615323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14.989423076923082</v>
      </c>
      <c r="N50" s="13">
        <f>IF('Données projet'!$A$36&gt;35,N49+M50-V49,IF(A50&lt;'Données projet'!$A$36,$K$205^A50,IF(A50='Données projet'!$A$36,'Données projet'!$B$36,N49+M50-V49)))</f>
        <v>304.98557692307685</v>
      </c>
      <c r="O50" s="13">
        <f>N50*VLOOKUP('Données projet'!$B$9,Paramètres!$A$1:$I$89,3,0)*VLOOKUP('Données projet'!$B$9,Paramètres!$A$1:$I$89,5,0)</f>
        <v>142.73324999999997</v>
      </c>
      <c r="P50" s="13">
        <f t="shared" si="33"/>
        <v>36.922448341951835</v>
      </c>
      <c r="Q50" s="20">
        <f t="shared" si="53"/>
        <v>312.90034127889936</v>
      </c>
      <c r="R50" s="59">
        <f t="shared" si="0"/>
        <v>606.23367461223268</v>
      </c>
      <c r="S50" s="59">
        <f ca="1">AVERAGE(OFFSET($R$3,0,0,'Données projet'!$E$9+1,1))-AVERAGE(OFFSET($H$3,0,0,'Données projet'!$E$9+1,1))</f>
        <v>190.74210845597287</v>
      </c>
      <c r="T50" s="59">
        <f t="shared" si="34"/>
        <v>131.88015896015884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17.407292631886286</v>
      </c>
      <c r="AB50" s="21">
        <f>EXP(-LN(2)/2)*AB49+(1-EXP(-LN(2)/2))/(LN(2)/2)*V50*Y50*VLOOKUP('Données projet'!$B$9,Paramètres!$A$1:$I$89,3,0)*0.475*44/12</f>
        <v>4.3269785383768946</v>
      </c>
      <c r="AC50" s="22">
        <f t="shared" si="3"/>
        <v>21.734271170263181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21.625641025641034</v>
      </c>
      <c r="AI50" s="13">
        <f>IF('Données projet'!$A$62&gt;35,AI49+AH50-AQ49,IF(A50&lt;'Données projet'!$A$62,$AF$205^A50,IF(A50='Données projet'!$A$62,'Données projet'!$B$62,AI49+AH50-AQ49)))</f>
        <v>503.45897435897427</v>
      </c>
      <c r="AJ50" s="13">
        <f>AI50*VLOOKUP('Données projet'!$B$10,Paramètres!$A$1:$I$89,3,0)*VLOOKUP('Données projet'!$B$10,Paramètres!$A$1:$I$89,5,0)</f>
        <v>281.43356666666659</v>
      </c>
      <c r="AK50" s="13">
        <f t="shared" si="35"/>
        <v>67.26987262617007</v>
      </c>
      <c r="AL50" s="20">
        <f t="shared" si="4"/>
        <v>607.32515676835726</v>
      </c>
      <c r="AM50" s="59">
        <f t="shared" si="5"/>
        <v>900.65849010169063</v>
      </c>
      <c r="AN50" s="59">
        <f ca="1">AVERAGE(OFFSET($AM$3,0,0,'Données projet'!$E$10+1,1))-AVERAGE(OFFSET($H$3,0,0,'Données projet'!$E$10+1,1))</f>
        <v>278.5296012747549</v>
      </c>
      <c r="AO50" s="59">
        <f t="shared" si="36"/>
        <v>370.55343097937077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56.002420197756614</v>
      </c>
      <c r="AV50" s="21">
        <f>EXP(-LN(2)/25)*AV49+(1-EXP(-LN(2)/25))/(LN(2)/25)*Calculateur!AQ50*Calculateur!AS50*VLOOKUP('Données projet'!$B$10,Paramètres!$A$1:$I$89,3,0)*0.475*44/12</f>
        <v>19.236981431106997</v>
      </c>
      <c r="AW50" s="21">
        <f>EXP(-LN(2)/2)*AW49+(1-EXP(-LN(2)/2))/(LN(2)/2)*AQ50*AT50*VLOOKUP('Données projet'!$B$10,Paramètres!$A$1:$I$89,3,0)*0.475*44/12</f>
        <v>1.2290714046244984</v>
      </c>
      <c r="AX50" s="21">
        <f t="shared" si="6"/>
        <v>76.46847303348811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5.9646569646569647</v>
      </c>
      <c r="BD50" s="12">
        <f>IF('Données projet'!$A$88&gt;35,BD49+BC50-BL49,IF(A50&lt;'Données projet'!$A$88,$BA$205^A50,IF(A50='Données projet'!$A$88,'Données projet'!$B$88,BD49+BC50-BL49)))</f>
        <v>158.51455301455306</v>
      </c>
      <c r="BE50" s="13">
        <f>BD50*VLOOKUP('Données projet'!$B$11,Paramètres!$A$1:$I$89,3,0)*VLOOKUP('Données projet'!$B$11,Paramètres!$A$1:$I$89,5,0)</f>
        <v>74.184810810810831</v>
      </c>
      <c r="BF50" s="13">
        <f t="shared" si="37"/>
        <v>20.709155689162358</v>
      </c>
      <c r="BG50" s="20">
        <f t="shared" si="7"/>
        <v>165.27365832078661</v>
      </c>
      <c r="BH50" s="59">
        <f t="shared" si="8"/>
        <v>458.60699165411995</v>
      </c>
      <c r="BI50" s="59">
        <f ca="1">AVERAGE(OFFSET($BH$3,0,0,'Données projet'!$E$11+1,1))-AVERAGE(OFFSET($H$3,0,0,'Données projet'!$E$11+1,1))</f>
        <v>111.85541298746966</v>
      </c>
      <c r="BJ50" s="59">
        <f t="shared" si="38"/>
        <v>27.56942482401746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17.519780219780223</v>
      </c>
      <c r="BY50" s="12">
        <f>IF('Données projet'!$A$114&gt;35,BY49+BX50-CG49,IF(A50&lt;'Données projet'!$A$114,$BV$205^A50,IF(A50='Données projet'!$A$114,'Données projet'!$B$114,BY49+BX50-CG49)))</f>
        <v>369.52967032967035</v>
      </c>
      <c r="BZ50" s="13">
        <f>BY50*VLOOKUP('Données projet'!$B$12,Paramètres!$A$1:$I$89,3,0)*VLOOKUP('Données projet'!$B$12,Paramètres!$A$1:$I$89,5,0)</f>
        <v>206.56708571428572</v>
      </c>
      <c r="CA50" s="13">
        <f t="shared" si="39"/>
        <v>51.184689450990696</v>
      </c>
      <c r="CB50" s="20">
        <f t="shared" si="10"/>
        <v>448.91767507952301</v>
      </c>
      <c r="CC50" s="59">
        <f t="shared" si="11"/>
        <v>742.25100841285632</v>
      </c>
      <c r="CD50" s="59">
        <f ca="1">AVERAGE(OFFSET($CC$3,0,0,'Données projet'!$E$12+1,1))-AVERAGE(OFFSET($H$3,0,0,'Données projet'!$E$12+1,1))</f>
        <v>253.62423410951334</v>
      </c>
      <c r="CE50" s="59">
        <f t="shared" si="40"/>
        <v>230.93438491511529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36.729632581852698</v>
      </c>
      <c r="CL50" s="21">
        <f>EXP(-LN(2)/25)*CL49+(1-EXP(-LN(2)/25))/(LN(2)/25)*Calculateur!CG50*Calculateur!CI50*VLOOKUP('Données projet'!$B$12,Paramètres!$A$1:$I$89,3,0)*0.475*44/12</f>
        <v>22.656220846731831</v>
      </c>
      <c r="CM50" s="21">
        <f>EXP(-LN(2)/2)*CM49+(1-EXP(-LN(2)/2))/(LN(2)/2)*CG50*CJ50*VLOOKUP('Données projet'!$B$12,Paramètres!$A$1:$I$89,3,0)*0.475*44/12</f>
        <v>1.3073902821828958</v>
      </c>
      <c r="CN50" s="22">
        <f t="shared" si="12"/>
        <v>60.693243710767419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14.989423076923082</v>
      </c>
      <c r="N51" s="13">
        <f>IF('Données projet'!$A$36&gt;35,N50+M51-V50,IF(A51&lt;'Données projet'!$A$36,$K$205^A51,IF(A51='Données projet'!$A$36,'Données projet'!$B$36,N50+M51-V50)))</f>
        <v>319.97499999999991</v>
      </c>
      <c r="O51" s="13">
        <f>N51*VLOOKUP('Données projet'!$B$9,Paramètres!$A$1:$I$89,3,0)*VLOOKUP('Données projet'!$B$9,Paramètres!$A$1:$I$89,5,0)</f>
        <v>149.74829999999994</v>
      </c>
      <c r="P51" s="13">
        <f t="shared" si="33"/>
        <v>38.521380303068611</v>
      </c>
      <c r="Q51" s="20">
        <f t="shared" si="53"/>
        <v>327.90302652784436</v>
      </c>
      <c r="R51" s="59">
        <f t="shared" si="0"/>
        <v>621.23635986117768</v>
      </c>
      <c r="S51" s="59">
        <f ca="1">AVERAGE(OFFSET($R$3,0,0,'Données projet'!$E$9+1,1))-AVERAGE(OFFSET($H$3,0,0,'Données projet'!$E$9+1,1))</f>
        <v>190.74210845597287</v>
      </c>
      <c r="T51" s="59">
        <f t="shared" si="34"/>
        <v>131.88015896015884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16.931289299457621</v>
      </c>
      <c r="AB51" s="21">
        <f>EXP(-LN(2)/2)*AB50+(1-EXP(-LN(2)/2))/(LN(2)/2)*V51*Y51*VLOOKUP('Données projet'!$B$9,Paramètres!$A$1:$I$89,3,0)*0.475*44/12</f>
        <v>3.0596358665349581</v>
      </c>
      <c r="AC51" s="22">
        <f t="shared" si="3"/>
        <v>19.990925165992579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525.0846153846154</v>
      </c>
      <c r="AG51" s="12">
        <f>VLOOKUP(A51,'Données projet'!$A$61:$I$81,9,0)</f>
        <v>21.625641025641034</v>
      </c>
      <c r="AH51" s="12">
        <f t="array" ref="AH51">INDEX(AG:AG,MIN(IF(ISNUMBER(AG51:AG247),ROW(AG51:AG247),"")))</f>
        <v>21.625641025641034</v>
      </c>
      <c r="AI51" s="13">
        <f>IF('Données projet'!$A$62&gt;35,AI50+AH51-AQ50,IF(A51&lt;'Données projet'!$A$62,$AF$205^A51,IF(A51='Données projet'!$A$62,'Données projet'!$B$62,AI50+AH51-AQ50)))</f>
        <v>525.08461538461529</v>
      </c>
      <c r="AJ51" s="13">
        <f>AI51*VLOOKUP('Données projet'!$B$10,Paramètres!$A$1:$I$89,3,0)*VLOOKUP('Données projet'!$B$10,Paramètres!$A$1:$I$89,5,0)</f>
        <v>293.52229999999997</v>
      </c>
      <c r="AK51" s="13">
        <f t="shared" si="35"/>
        <v>69.816768342057628</v>
      </c>
      <c r="AL51" s="20">
        <f t="shared" si="4"/>
        <v>632.81554402908364</v>
      </c>
      <c r="AM51" s="59">
        <f t="shared" si="5"/>
        <v>926.1488773624169</v>
      </c>
      <c r="AN51" s="59">
        <f ca="1">AVERAGE(OFFSET($AM$3,0,0,'Données projet'!$E$10+1,1))-AVERAGE(OFFSET($H$3,0,0,'Données projet'!$E$10+1,1))</f>
        <v>278.5296012747549</v>
      </c>
      <c r="AO51" s="59">
        <f t="shared" si="36"/>
        <v>370.55343097937077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81.330769230769235</v>
      </c>
      <c r="AR51" s="16">
        <f>IF(ISNA(VLOOKUP(A51,'Données projet'!$A$61:$I$81,5,0)),0%,VLOOKUP(A51,'Données projet'!$A$61:$I$81,5,0)*VLOOKUP('Données projet'!$B$10,Paramètres!$A$1:$I$89,7,0))</f>
        <v>0.38500000000000001</v>
      </c>
      <c r="AS51" s="16">
        <f>IF(ISNA(VLOOKUP(A51,'Données projet'!$A$61:$I$81,6,0)),0%,VLOOKUP(A51,'Données projet'!$A$61:$I$81,6,0)*VLOOKUP('Données projet'!$B$10,Paramètres!$A$1:$I$89,7,0))</f>
        <v>9.240000000000001E-2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78.12390248786032</v>
      </c>
      <c r="AV51" s="21">
        <f>EXP(-LN(2)/25)*AV50+(1-EXP(-LN(2)/25))/(LN(2)/25)*Calculateur!AQ51*Calculateur!AS51*VLOOKUP('Données projet'!$B$10,Paramètres!$A$1:$I$89,3,0)*0.475*44/12</f>
        <v>24.261720592795644</v>
      </c>
      <c r="AW51" s="21">
        <f>EXP(-LN(2)/2)*AW50+(1-EXP(-LN(2)/2))/(LN(2)/2)*AQ51*AT51*VLOOKUP('Données projet'!$B$10,Paramètres!$A$1:$I$89,3,0)*0.475*44/12</f>
        <v>7.6638765903722392</v>
      </c>
      <c r="AX51" s="21">
        <f t="shared" si="6"/>
        <v>110.0494996710282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5.9646569646569647</v>
      </c>
      <c r="BD51" s="12">
        <f>IF('Données projet'!$A$88&gt;35,BD50+BC51-BL50,IF(A51&lt;'Données projet'!$A$88,$BA$205^A51,IF(A51='Données projet'!$A$88,'Données projet'!$B$88,BD50+BC51-BL50)))</f>
        <v>164.47920997921003</v>
      </c>
      <c r="BE51" s="13">
        <f>BD51*VLOOKUP('Données projet'!$B$11,Paramètres!$A$1:$I$89,3,0)*VLOOKUP('Données projet'!$B$11,Paramètres!$A$1:$I$89,5,0)</f>
        <v>76.976270270270291</v>
      </c>
      <c r="BF51" s="13">
        <f t="shared" si="37"/>
        <v>21.396216823021721</v>
      </c>
      <c r="BG51" s="20">
        <f t="shared" si="7"/>
        <v>171.33208168748357</v>
      </c>
      <c r="BH51" s="59">
        <f t="shared" si="8"/>
        <v>464.66541502081691</v>
      </c>
      <c r="BI51" s="59">
        <f ca="1">AVERAGE(OFFSET($BH$3,0,0,'Données projet'!$E$11+1,1))-AVERAGE(OFFSET($H$3,0,0,'Données projet'!$E$11+1,1))</f>
        <v>111.85541298746966</v>
      </c>
      <c r="BJ51" s="59">
        <f t="shared" si="38"/>
        <v>27.56942482401746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17.519780219780223</v>
      </c>
      <c r="BY51" s="12">
        <f>IF('Données projet'!$A$114&gt;35,BY50+BX51-CG50,IF(A51&lt;'Données projet'!$A$114,$BV$205^A51,IF(A51='Données projet'!$A$114,'Données projet'!$B$114,BY50+BX51-CG50)))</f>
        <v>387.04945054945057</v>
      </c>
      <c r="BZ51" s="13">
        <f>BY51*VLOOKUP('Données projet'!$B$12,Paramètres!$A$1:$I$89,3,0)*VLOOKUP('Données projet'!$B$12,Paramètres!$A$1:$I$89,5,0)</f>
        <v>216.36064285714286</v>
      </c>
      <c r="CA51" s="13">
        <f t="shared" si="39"/>
        <v>53.323123145592824</v>
      </c>
      <c r="CB51" s="20">
        <f t="shared" si="10"/>
        <v>469.69922578809798</v>
      </c>
      <c r="CC51" s="59">
        <f t="shared" si="11"/>
        <v>763.03255912143129</v>
      </c>
      <c r="CD51" s="59">
        <f ca="1">AVERAGE(OFFSET($CC$3,0,0,'Données projet'!$E$12+1,1))-AVERAGE(OFFSET($H$3,0,0,'Données projet'!$E$12+1,1))</f>
        <v>253.62423410951334</v>
      </c>
      <c r="CE51" s="59">
        <f t="shared" si="40"/>
        <v>230.93438491511529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36.009386889786342</v>
      </c>
      <c r="CL51" s="21">
        <f>EXP(-LN(2)/25)*CL50+(1-EXP(-LN(2)/25))/(LN(2)/25)*Calculateur!CG51*Calculateur!CI51*VLOOKUP('Données projet'!$B$12,Paramètres!$A$1:$I$89,3,0)*0.475*44/12</f>
        <v>22.036685296239074</v>
      </c>
      <c r="CM51" s="21">
        <f>EXP(-LN(2)/2)*CM50+(1-EXP(-LN(2)/2))/(LN(2)/2)*CG51*CJ51*VLOOKUP('Données projet'!$B$12,Paramètres!$A$1:$I$89,3,0)*0.475*44/12</f>
        <v>0.92446453418891961</v>
      </c>
      <c r="CN51" s="22">
        <f t="shared" si="12"/>
        <v>58.970536720214334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14.989423076923082</v>
      </c>
      <c r="N52" s="13">
        <f>IF('Données projet'!$A$36&gt;35,N51+M52-V51,IF(A52&lt;'Données projet'!$A$36,$K$205^A52,IF(A52='Données projet'!$A$36,'Données projet'!$B$36,N51+M52-V51)))</f>
        <v>334.96442307692297</v>
      </c>
      <c r="O52" s="13">
        <f>N52*VLOOKUP('Données projet'!$B$9,Paramètres!$A$1:$I$89,3,0)*VLOOKUP('Données projet'!$B$9,Paramètres!$A$1:$I$89,5,0)</f>
        <v>156.76334999999995</v>
      </c>
      <c r="P52" s="13">
        <f t="shared" si="33"/>
        <v>40.111613930623022</v>
      </c>
      <c r="Q52" s="20">
        <f t="shared" si="53"/>
        <v>342.8905621791684</v>
      </c>
      <c r="R52" s="59">
        <f t="shared" si="0"/>
        <v>636.22389551250171</v>
      </c>
      <c r="S52" s="59">
        <f ca="1">AVERAGE(OFFSET($R$3,0,0,'Données projet'!$E$9+1,1))-AVERAGE(OFFSET($H$3,0,0,'Données projet'!$E$9+1,1))</f>
        <v>190.74210845597287</v>
      </c>
      <c r="T52" s="59">
        <f t="shared" si="34"/>
        <v>131.88015896015884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16.468302303186146</v>
      </c>
      <c r="AB52" s="21">
        <f>EXP(-LN(2)/2)*AB51+(1-EXP(-LN(2)/2))/(LN(2)/2)*V52*Y52*VLOOKUP('Données projet'!$B$9,Paramètres!$A$1:$I$89,3,0)*0.475*44/12</f>
        <v>2.1634892691884473</v>
      </c>
      <c r="AC52" s="22">
        <f t="shared" si="3"/>
        <v>18.631791572374592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20.507692307692299</v>
      </c>
      <c r="AI52" s="13">
        <f>IF('Données projet'!$A$62&gt;35,AI51+AH52-AQ51,IF(A52&lt;'Données projet'!$A$62,$AF$205^A52,IF(A52='Données projet'!$A$62,'Données projet'!$B$62,AI51+AH52-AQ51)))</f>
        <v>464.26153846153835</v>
      </c>
      <c r="AJ52" s="13">
        <f>AI52*VLOOKUP('Données projet'!$B$10,Paramètres!$A$1:$I$89,3,0)*VLOOKUP('Données projet'!$B$10,Paramètres!$A$1:$I$89,5,0)</f>
        <v>259.52219999999994</v>
      </c>
      <c r="AK52" s="13">
        <f t="shared" si="35"/>
        <v>62.620519404058925</v>
      </c>
      <c r="AL52" s="20">
        <f t="shared" si="4"/>
        <v>561.06523629540254</v>
      </c>
      <c r="AM52" s="59">
        <f t="shared" si="5"/>
        <v>854.39856962873591</v>
      </c>
      <c r="AN52" s="59">
        <f ca="1">AVERAGE(OFFSET($AM$3,0,0,'Données projet'!$E$10+1,1))-AVERAGE(OFFSET($H$3,0,0,'Données projet'!$E$10+1,1))</f>
        <v>278.5296012747549</v>
      </c>
      <c r="AO52" s="59">
        <f t="shared" si="36"/>
        <v>370.55343097937077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76.591940410948766</v>
      </c>
      <c r="AV52" s="21">
        <f>EXP(-LN(2)/25)*AV51+(1-EXP(-LN(2)/25))/(LN(2)/25)*Calculateur!AQ52*Calculateur!AS52*VLOOKUP('Données projet'!$B$10,Paramètres!$A$1:$I$89,3,0)*0.475*44/12</f>
        <v>23.598282567317213</v>
      </c>
      <c r="AW52" s="21">
        <f>EXP(-LN(2)/2)*AW51+(1-EXP(-LN(2)/2))/(LN(2)/2)*AQ52*AT52*VLOOKUP('Données projet'!$B$10,Paramètres!$A$1:$I$89,3,0)*0.475*44/12</f>
        <v>5.4191791072290476</v>
      </c>
      <c r="AX52" s="21">
        <f t="shared" si="6"/>
        <v>105.60940208549502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5.9646569646569647</v>
      </c>
      <c r="BD52" s="12">
        <f>IF('Données projet'!$A$88&gt;35,BD51+BC52-BL51,IF(A52&lt;'Données projet'!$A$88,$BA$205^A52,IF(A52='Données projet'!$A$88,'Données projet'!$B$88,BD51+BC52-BL51)))</f>
        <v>170.44386694386699</v>
      </c>
      <c r="BE52" s="13">
        <f>BD52*VLOOKUP('Données projet'!$B$11,Paramètres!$A$1:$I$89,3,0)*VLOOKUP('Données projet'!$B$11,Paramètres!$A$1:$I$89,5,0)</f>
        <v>79.767729729729751</v>
      </c>
      <c r="BF52" s="13">
        <f t="shared" si="37"/>
        <v>22.080383233292153</v>
      </c>
      <c r="BG52" s="20">
        <f t="shared" si="7"/>
        <v>177.38546341059646</v>
      </c>
      <c r="BH52" s="59">
        <f t="shared" si="8"/>
        <v>470.71879674392977</v>
      </c>
      <c r="BI52" s="59">
        <f ca="1">AVERAGE(OFFSET($BH$3,0,0,'Données projet'!$E$11+1,1))-AVERAGE(OFFSET($H$3,0,0,'Données projet'!$E$11+1,1))</f>
        <v>111.85541298746966</v>
      </c>
      <c r="BJ52" s="59">
        <f t="shared" si="38"/>
        <v>27.56942482401746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>
        <f>VLOOKUP(A52,'Données projet'!$A$113:$I$133,2,0)</f>
        <v>404.56923076923078</v>
      </c>
      <c r="BW52" s="12">
        <f>VLOOKUP(A52,'Données projet'!$A$113:$I$133,9,0)</f>
        <v>17.519780219780223</v>
      </c>
      <c r="BX52" s="12">
        <f t="array" ref="BX52">INDEX(BW:BW,MIN(IF(ISNUMBER(BW52:BW248),ROW(BW52:BW248),"")))</f>
        <v>17.519780219780223</v>
      </c>
      <c r="BY52" s="12">
        <f>IF('Données projet'!$A$114&gt;35,BY51+BX52-CG51,IF(A52&lt;'Données projet'!$A$114,$BV$205^A52,IF(A52='Données projet'!$A$114,'Données projet'!$B$114,BY51+BX52-CG51)))</f>
        <v>404.56923076923078</v>
      </c>
      <c r="BZ52" s="13">
        <f>BY52*VLOOKUP('Données projet'!$B$12,Paramètres!$A$1:$I$89,3,0)*VLOOKUP('Données projet'!$B$12,Paramètres!$A$1:$I$89,5,0)</f>
        <v>226.1542</v>
      </c>
      <c r="CA52" s="13">
        <f t="shared" si="39"/>
        <v>55.450315347427015</v>
      </c>
      <c r="CB52" s="20">
        <f t="shared" si="10"/>
        <v>490.46119756343541</v>
      </c>
      <c r="CC52" s="59">
        <f t="shared" si="11"/>
        <v>783.79453089676872</v>
      </c>
      <c r="CD52" s="59">
        <f ca="1">AVERAGE(OFFSET($CC$3,0,0,'Données projet'!$E$12+1,1))-AVERAGE(OFFSET($H$3,0,0,'Données projet'!$E$12+1,1))</f>
        <v>253.62423410951334</v>
      </c>
      <c r="CE52" s="59">
        <f t="shared" si="40"/>
        <v>230.93438491511529</v>
      </c>
      <c r="CF52" s="15">
        <f>IF(ISNA(VLOOKUP(A52,'Données projet'!$A$113:$I$133,3,0)),0,VLOOKUP(A52,'Données projet'!$A$113:$I$133,3,0))</f>
        <v>5</v>
      </c>
      <c r="CG52" s="15">
        <f>IF(ISNA(VLOOKUP(A52,'Données projet'!$A$113:$I$133,4,0)),0,VLOOKUP(A52,'Données projet'!$A$113:$I$133,4,0))</f>
        <v>90.453846153846158</v>
      </c>
      <c r="CH52" s="16">
        <f>IF(ISNA(VLOOKUP(A52,'Données projet'!$A$113:$I$133,5,0)),0%,VLOOKUP(A52,'Données projet'!$A$113:$I$133,5,0)*VLOOKUP('Données projet'!$B$12,Paramètres!$A$1:$I$89,7,0))</f>
        <v>0.38500000000000001</v>
      </c>
      <c r="CI52" s="16">
        <f>IF(ISNA(VLOOKUP(A52,'Données projet'!$A$113:$I$133,6,0)),0%,VLOOKUP(A52,'Données projet'!$A$113:$I$133,6,0)*VLOOKUP('Données projet'!$B$12,Paramètres!$A$1:$I$89,7,0))</f>
        <v>9.240000000000001E-2</v>
      </c>
      <c r="CJ52" s="16">
        <f>IF(ISNA(VLOOKUP(A52,'Données projet'!$A$113:$I$133,7,0)),0%,VLOOKUP(A52,'Données projet'!$A$113:$I$133,7,0))</f>
        <v>0.13200000000000001</v>
      </c>
      <c r="CK52" s="21">
        <f>EXP(-LN(2)/35)*CK51+(1-EXP(-LN(2)/35))/(LN(2)/35)*CG52*CH52*VLOOKUP('Données projet'!$B$12,Paramètres!$A$1:$I$89,3,0)*0.475*44/12</f>
        <v>61.127527531305603</v>
      </c>
      <c r="CL52" s="21">
        <f>EXP(-LN(2)/25)*CL51+(1-EXP(-LN(2)/25))/(LN(2)/25)*Calculateur!CG52*Calculateur!CI52*VLOOKUP('Données projet'!$B$12,Paramètres!$A$1:$I$89,3,0)*0.475*44/12</f>
        <v>27.607510848175917</v>
      </c>
      <c r="CM52" s="21">
        <f>EXP(-LN(2)/2)*CM51+(1-EXP(-LN(2)/2))/(LN(2)/2)*CG52*CJ52*VLOOKUP('Données projet'!$B$12,Paramètres!$A$1:$I$89,3,0)*0.475*44/12</f>
        <v>8.2106758984533919</v>
      </c>
      <c r="CN52" s="22">
        <f t="shared" si="12"/>
        <v>96.945714277934911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349.95384615384614</v>
      </c>
      <c r="L53" s="12">
        <f>VLOOKUP(A53,'Données projet'!$A$35:$I$55,9,0)</f>
        <v>14.989423076923082</v>
      </c>
      <c r="M53" s="12">
        <f t="array" ref="M53">INDEX(L:L,MIN(IF(ISNUMBER(L53:L249),ROW(L53:L249),"")))</f>
        <v>14.989423076923082</v>
      </c>
      <c r="N53" s="13">
        <f>IF('Données projet'!$A$36&gt;35,N52+M53-V52,IF(A53&lt;'Données projet'!$A$36,$K$205^A53,IF(A53='Données projet'!$A$36,'Données projet'!$B$36,N52+M53-V52)))</f>
        <v>349.95384615384603</v>
      </c>
      <c r="O53" s="13">
        <f>N53*VLOOKUP('Données projet'!$B$9,Paramètres!$A$1:$I$89,3,0)*VLOOKUP('Données projet'!$B$9,Paramètres!$A$1:$I$89,5,0)</f>
        <v>163.77839999999995</v>
      </c>
      <c r="P53" s="13">
        <f t="shared" si="33"/>
        <v>41.693582942883204</v>
      </c>
      <c r="Q53" s="20">
        <f t="shared" si="53"/>
        <v>357.86370362552151</v>
      </c>
      <c r="R53" s="59">
        <f t="shared" si="0"/>
        <v>651.19703695885482</v>
      </c>
      <c r="S53" s="59">
        <f ca="1">AVERAGE(OFFSET($R$3,0,0,'Données projet'!$E$9+1,1))-AVERAGE(OFFSET($H$3,0,0,'Données projet'!$E$9+1,1))</f>
        <v>190.74210845597287</v>
      </c>
      <c r="T53" s="59">
        <f t="shared" si="34"/>
        <v>131.88015896015884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100.66923076923077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9.240000000000001E-2</v>
      </c>
      <c r="Y53" s="16">
        <f>IF(ISNA(VLOOKUP(A53,'Données projet'!$A$35:$I$55,7,0)),0%,VLOOKUP(A53,'Données projet'!$A$35:$I$55,7,0))</f>
        <v>0.13200000000000001</v>
      </c>
      <c r="Z53" s="21">
        <f>EXP(-LN(2)/35)*Z52+(1-EXP(-LN(2)/35))/(LN(2)/35)*V53*W53*VLOOKUP('Données projet'!$B$9,Paramètres!$A$1:$I$89,3,0)*0.475*44/12</f>
        <v>24.061998153275443</v>
      </c>
      <c r="AA53" s="21">
        <f>EXP(-LN(2)/25)*AA52+(1-EXP(-LN(2)/25))/(LN(2)/25)*Calculateur!V53*Calculateur!X53*VLOOKUP('Données projet'!$B$9,Paramètres!$A$1:$I$89,3,0)*0.475*44/12</f>
        <v>21.770117366244563</v>
      </c>
      <c r="AB53" s="21">
        <f>EXP(-LN(2)/2)*AB52+(1-EXP(-LN(2)/2))/(LN(2)/2)*V53*Y53*VLOOKUP('Données projet'!$B$9,Paramètres!$A$1:$I$89,3,0)*0.475*44/12</f>
        <v>8.5711053750042332</v>
      </c>
      <c r="AC53" s="22">
        <f t="shared" si="3"/>
        <v>54.403220894524239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20.507692307692299</v>
      </c>
      <c r="AI53" s="13">
        <f>IF('Données projet'!$A$62&gt;35,AI52+AH53-AQ52,IF(A53&lt;'Données projet'!$A$62,$AF$205^A53,IF(A53='Données projet'!$A$62,'Données projet'!$B$62,AI52+AH53-AQ52)))</f>
        <v>484.76923076923066</v>
      </c>
      <c r="AJ53" s="13">
        <f>AI53*VLOOKUP('Données projet'!$B$10,Paramètres!$A$1:$I$89,3,0)*VLOOKUP('Données projet'!$B$10,Paramètres!$A$1:$I$89,5,0)</f>
        <v>270.98599999999993</v>
      </c>
      <c r="AK53" s="13">
        <f t="shared" si="35"/>
        <v>65.058478958733772</v>
      </c>
      <c r="AL53" s="20">
        <f t="shared" si="4"/>
        <v>585.27746751979453</v>
      </c>
      <c r="AM53" s="59">
        <f t="shared" si="5"/>
        <v>878.61080085312778</v>
      </c>
      <c r="AN53" s="59">
        <f ca="1">AVERAGE(OFFSET($AM$3,0,0,'Données projet'!$E$10+1,1))-AVERAGE(OFFSET($H$3,0,0,'Données projet'!$E$10+1,1))</f>
        <v>278.5296012747549</v>
      </c>
      <c r="AO53" s="59">
        <f t="shared" si="36"/>
        <v>370.55343097937077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75.090019175960848</v>
      </c>
      <c r="AV53" s="21">
        <f>EXP(-LN(2)/25)*AV52+(1-EXP(-LN(2)/25))/(LN(2)/25)*Calculateur!AQ53*Calculateur!AS53*VLOOKUP('Données projet'!$B$10,Paramètres!$A$1:$I$89,3,0)*0.475*44/12</f>
        <v>22.952986289534177</v>
      </c>
      <c r="AW53" s="21">
        <f>EXP(-LN(2)/2)*AW52+(1-EXP(-LN(2)/2))/(LN(2)/2)*AQ53*AT53*VLOOKUP('Données projet'!$B$10,Paramètres!$A$1:$I$89,3,0)*0.475*44/12</f>
        <v>3.8319382951861205</v>
      </c>
      <c r="AX53" s="21">
        <f t="shared" si="6"/>
        <v>101.87494376068115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5.9646569646569647</v>
      </c>
      <c r="BD53" s="12">
        <f>IF('Données projet'!$A$88&gt;35,BD52+BC53-BL52,IF(A53&lt;'Données projet'!$A$88,$BA$205^A53,IF(A53='Données projet'!$A$88,'Données projet'!$B$88,BD52+BC53-BL52)))</f>
        <v>176.40852390852396</v>
      </c>
      <c r="BE53" s="13">
        <f>BD53*VLOOKUP('Données projet'!$B$11,Paramètres!$A$1:$I$89,3,0)*VLOOKUP('Données projet'!$B$11,Paramètres!$A$1:$I$89,5,0)</f>
        <v>82.559189189189212</v>
      </c>
      <c r="BF53" s="13">
        <f t="shared" si="37"/>
        <v>22.761767828574133</v>
      </c>
      <c r="BG53" s="20">
        <f t="shared" si="7"/>
        <v>183.43400013927115</v>
      </c>
      <c r="BH53" s="59">
        <f t="shared" si="8"/>
        <v>476.76733347260449</v>
      </c>
      <c r="BI53" s="59">
        <f ca="1">AVERAGE(OFFSET($BH$3,0,0,'Données projet'!$E$11+1,1))-AVERAGE(OFFSET($H$3,0,0,'Données projet'!$E$11+1,1))</f>
        <v>111.85541298746966</v>
      </c>
      <c r="BJ53" s="59">
        <f t="shared" si="38"/>
        <v>27.56942482401746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16.227472527472521</v>
      </c>
      <c r="BY53" s="12">
        <f>IF('Données projet'!$A$114&gt;35,BY52+BX53-CG52,IF(A53&lt;'Données projet'!$A$114,$BV$205^A53,IF(A53='Données projet'!$A$114,'Données projet'!$B$114,BY52+BX53-CG52)))</f>
        <v>330.34285714285716</v>
      </c>
      <c r="BZ53" s="13">
        <f>BY53*VLOOKUP('Données projet'!$B$12,Paramètres!$A$1:$I$89,3,0)*VLOOKUP('Données projet'!$B$12,Paramètres!$A$1:$I$89,5,0)</f>
        <v>184.66165714285717</v>
      </c>
      <c r="CA53" s="13">
        <f t="shared" si="39"/>
        <v>46.357770619215231</v>
      </c>
      <c r="CB53" s="20">
        <f t="shared" si="10"/>
        <v>402.35883668560945</v>
      </c>
      <c r="CC53" s="59">
        <f t="shared" si="11"/>
        <v>695.69217001894276</v>
      </c>
      <c r="CD53" s="59">
        <f ca="1">AVERAGE(OFFSET($CC$3,0,0,'Données projet'!$E$12+1,1))-AVERAGE(OFFSET($H$3,0,0,'Données projet'!$E$12+1,1))</f>
        <v>253.62423410951334</v>
      </c>
      <c r="CE53" s="59">
        <f t="shared" si="40"/>
        <v>230.93438491511529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59.928854000526997</v>
      </c>
      <c r="CL53" s="21">
        <f>EXP(-LN(2)/25)*CL52+(1-EXP(-LN(2)/25))/(LN(2)/25)*Calculateur!CG53*Calculateur!CI53*VLOOKUP('Données projet'!$B$12,Paramètres!$A$1:$I$89,3,0)*0.475*44/12</f>
        <v>26.852582012216647</v>
      </c>
      <c r="CM53" s="21">
        <f>EXP(-LN(2)/2)*CM52+(1-EXP(-LN(2)/2))/(LN(2)/2)*CG53*CJ53*VLOOKUP('Données projet'!$B$12,Paramètres!$A$1:$I$89,3,0)*0.475*44/12</f>
        <v>5.8058246059213428</v>
      </c>
      <c r="CN53" s="22">
        <f t="shared" si="12"/>
        <v>92.587260618664985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14.254807692307693</v>
      </c>
      <c r="N54" s="13">
        <f>IF('Données projet'!$A$36&gt;35,N53+M54-V53,IF(A54&lt;'Données projet'!$A$36,$K$205^A54,IF(A54='Données projet'!$A$36,'Données projet'!$B$36,N53+M54-V53)))</f>
        <v>263.53942307692296</v>
      </c>
      <c r="O54" s="13">
        <f>N54*VLOOKUP('Données projet'!$B$9,Paramètres!$A$1:$I$89,3,0)*VLOOKUP('Données projet'!$B$9,Paramètres!$A$1:$I$89,5,0)</f>
        <v>123.33644999999993</v>
      </c>
      <c r="P54" s="13">
        <f t="shared" si="33"/>
        <v>32.451925084991807</v>
      </c>
      <c r="Q54" s="20">
        <f t="shared" si="53"/>
        <v>271.33141993969394</v>
      </c>
      <c r="R54" s="59">
        <f t="shared" si="0"/>
        <v>564.66475327302726</v>
      </c>
      <c r="S54" s="59">
        <f ca="1">AVERAGE(OFFSET($R$3,0,0,'Données projet'!$E$9+1,1))-AVERAGE(OFFSET($H$3,0,0,'Données projet'!$E$9+1,1))</f>
        <v>190.74210845597287</v>
      </c>
      <c r="T54" s="59">
        <f t="shared" si="34"/>
        <v>131.88015896015884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23.590157045859414</v>
      </c>
      <c r="AA54" s="21">
        <f>EXP(-LN(2)/25)*AA53+(1-EXP(-LN(2)/25))/(LN(2)/25)*Calculateur!V54*Calculateur!X54*VLOOKUP('Données projet'!$B$9,Paramètres!$A$1:$I$89,3,0)*0.475*44/12</f>
        <v>21.174812362023889</v>
      </c>
      <c r="AB54" s="21">
        <f>EXP(-LN(2)/2)*AB53+(1-EXP(-LN(2)/2))/(LN(2)/2)*V54*Y54*VLOOKUP('Données projet'!$B$9,Paramètres!$A$1:$I$89,3,0)*0.475*44/12</f>
        <v>6.0606867329299599</v>
      </c>
      <c r="AC54" s="22">
        <f t="shared" si="3"/>
        <v>50.825656140813258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20.507692307692299</v>
      </c>
      <c r="AI54" s="13">
        <f>IF('Données projet'!$A$62&gt;35,AI53+AH54-AQ53,IF(A54&lt;'Données projet'!$A$62,$AF$205^A54,IF(A54='Données projet'!$A$62,'Données projet'!$B$62,AI53+AH54-AQ53)))</f>
        <v>505.27692307692297</v>
      </c>
      <c r="AJ54" s="13">
        <f>AI54*VLOOKUP('Données projet'!$B$10,Paramètres!$A$1:$I$89,3,0)*VLOOKUP('Données projet'!$B$10,Paramètres!$A$1:$I$89,5,0)</f>
        <v>282.44979999999998</v>
      </c>
      <c r="AK54" s="13">
        <f t="shared" si="35"/>
        <v>67.484459274997945</v>
      </c>
      <c r="AL54" s="20">
        <f t="shared" si="4"/>
        <v>609.46883490395464</v>
      </c>
      <c r="AM54" s="59">
        <f t="shared" si="5"/>
        <v>902.80216823728802</v>
      </c>
      <c r="AN54" s="59">
        <f ca="1">AVERAGE(OFFSET($AM$3,0,0,'Données projet'!$E$10+1,1))-AVERAGE(OFFSET($H$3,0,0,'Données projet'!$E$10+1,1))</f>
        <v>278.5296012747549</v>
      </c>
      <c r="AO54" s="59">
        <f t="shared" si="36"/>
        <v>370.55343097937077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73.617549700309539</v>
      </c>
      <c r="AV54" s="21">
        <f>EXP(-LN(2)/25)*AV53+(1-EXP(-LN(2)/25))/(LN(2)/25)*Calculateur!AQ54*Calculateur!AS54*VLOOKUP('Données projet'!$B$10,Paramètres!$A$1:$I$89,3,0)*0.475*44/12</f>
        <v>22.325335672401774</v>
      </c>
      <c r="AW54" s="21">
        <f>EXP(-LN(2)/2)*AW53+(1-EXP(-LN(2)/2))/(LN(2)/2)*AQ54*AT54*VLOOKUP('Données projet'!$B$10,Paramètres!$A$1:$I$89,3,0)*0.475*44/12</f>
        <v>2.7095895536145242</v>
      </c>
      <c r="AX54" s="21">
        <f t="shared" si="6"/>
        <v>98.652474926325837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5.9646569646569647</v>
      </c>
      <c r="BD54" s="12">
        <f>IF('Données projet'!$A$88&gt;35,BD53+BC54-BL53,IF(A54&lt;'Données projet'!$A$88,$BA$205^A54,IF(A54='Données projet'!$A$88,'Données projet'!$B$88,BD53+BC54-BL53)))</f>
        <v>182.37318087318093</v>
      </c>
      <c r="BE54" s="13">
        <f>BD54*VLOOKUP('Données projet'!$B$11,Paramètres!$A$1:$I$89,3,0)*VLOOKUP('Données projet'!$B$11,Paramètres!$A$1:$I$89,5,0)</f>
        <v>85.350648648648672</v>
      </c>
      <c r="BF54" s="13">
        <f t="shared" si="37"/>
        <v>23.440475449054311</v>
      </c>
      <c r="BG54" s="20">
        <f t="shared" si="7"/>
        <v>189.47787447016603</v>
      </c>
      <c r="BH54" s="59">
        <f t="shared" si="8"/>
        <v>482.81120780349931</v>
      </c>
      <c r="BI54" s="59">
        <f ca="1">AVERAGE(OFFSET($BH$3,0,0,'Données projet'!$E$11+1,1))-AVERAGE(OFFSET($H$3,0,0,'Données projet'!$E$11+1,1))</f>
        <v>111.85541298746966</v>
      </c>
      <c r="BJ54" s="59">
        <f t="shared" si="38"/>
        <v>27.56942482401746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16.227472527472521</v>
      </c>
      <c r="BY54" s="12">
        <f>IF('Données projet'!$A$114&gt;35,BY53+BX54-CG53,IF(A54&lt;'Données projet'!$A$114,$BV$205^A54,IF(A54='Données projet'!$A$114,'Données projet'!$B$114,BY53+BX54-CG53)))</f>
        <v>346.57032967032967</v>
      </c>
      <c r="BZ54" s="13">
        <f>BY54*VLOOKUP('Données projet'!$B$12,Paramètres!$A$1:$I$89,3,0)*VLOOKUP('Données projet'!$B$12,Paramètres!$A$1:$I$89,5,0)</f>
        <v>193.73281428571428</v>
      </c>
      <c r="CA54" s="13">
        <f t="shared" si="39"/>
        <v>48.364288285880846</v>
      </c>
      <c r="CB54" s="20">
        <f t="shared" si="10"/>
        <v>421.65245364552817</v>
      </c>
      <c r="CC54" s="59">
        <f t="shared" si="11"/>
        <v>714.98578697886148</v>
      </c>
      <c r="CD54" s="59">
        <f ca="1">AVERAGE(OFFSET($CC$3,0,0,'Données projet'!$E$12+1,1))-AVERAGE(OFFSET($H$3,0,0,'Données projet'!$E$12+1,1))</f>
        <v>253.62423410951334</v>
      </c>
      <c r="CE54" s="59">
        <f t="shared" si="40"/>
        <v>230.93438491511529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58.753685726568293</v>
      </c>
      <c r="CL54" s="21">
        <f>EXP(-LN(2)/25)*CL53+(1-EXP(-LN(2)/25))/(LN(2)/25)*Calculateur!CG54*Calculateur!CI54*VLOOKUP('Données projet'!$B$12,Paramètres!$A$1:$I$89,3,0)*0.475*44/12</f>
        <v>26.118296744976668</v>
      </c>
      <c r="CM54" s="21">
        <f>EXP(-LN(2)/2)*CM53+(1-EXP(-LN(2)/2))/(LN(2)/2)*CG54*CJ54*VLOOKUP('Données projet'!$B$12,Paramètres!$A$1:$I$89,3,0)*0.475*44/12</f>
        <v>4.1053379492266968</v>
      </c>
      <c r="CN54" s="22">
        <f t="shared" si="12"/>
        <v>88.977320420771647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14.254807692307693</v>
      </c>
      <c r="N55" s="13">
        <f>IF('Données projet'!$A$36&gt;35,N54+M55-V54,IF(A55&lt;'Données projet'!$A$36,$K$205^A55,IF(A55='Données projet'!$A$36,'Données projet'!$B$36,N54+M55-V54)))</f>
        <v>277.79423076923064</v>
      </c>
      <c r="O55" s="13">
        <f>N55*VLOOKUP('Données projet'!$B$9,Paramètres!$A$1:$I$89,3,0)*VLOOKUP('Données projet'!$B$9,Paramètres!$A$1:$I$89,5,0)</f>
        <v>130.00769999999994</v>
      </c>
      <c r="P55" s="13">
        <f t="shared" si="33"/>
        <v>33.99813857013887</v>
      </c>
      <c r="Q55" s="20">
        <f t="shared" si="53"/>
        <v>285.64350217632511</v>
      </c>
      <c r="R55" s="59">
        <f t="shared" si="0"/>
        <v>578.97683550965849</v>
      </c>
      <c r="S55" s="59">
        <f ca="1">AVERAGE(OFFSET($R$3,0,0,'Données projet'!$E$9+1,1))-AVERAGE(OFFSET($H$3,0,0,'Données projet'!$E$9+1,1))</f>
        <v>190.74210845597287</v>
      </c>
      <c r="T55" s="59">
        <f t="shared" si="34"/>
        <v>131.88015896015884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23.127568454765154</v>
      </c>
      <c r="AA55" s="21">
        <f>EXP(-LN(2)/25)*AA54+(1-EXP(-LN(2)/25))/(LN(2)/25)*Calculateur!V55*Calculateur!X55*VLOOKUP('Données projet'!$B$9,Paramètres!$A$1:$I$89,3,0)*0.475*44/12</f>
        <v>20.595786004449359</v>
      </c>
      <c r="AB55" s="21">
        <f>EXP(-LN(2)/2)*AB54+(1-EXP(-LN(2)/2))/(LN(2)/2)*V55*Y55*VLOOKUP('Données projet'!$B$9,Paramètres!$A$1:$I$89,3,0)*0.475*44/12</f>
        <v>4.2855526875021166</v>
      </c>
      <c r="AC55" s="22">
        <f t="shared" si="3"/>
        <v>48.008907146716631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20.507692307692299</v>
      </c>
      <c r="AI55" s="13">
        <f>IF('Données projet'!$A$62&gt;35,AI54+AH55-AQ54,IF(A55&lt;'Données projet'!$A$62,$AF$205^A55,IF(A55='Données projet'!$A$62,'Données projet'!$B$62,AI54+AH55-AQ54)))</f>
        <v>525.78461538461522</v>
      </c>
      <c r="AJ55" s="13">
        <f>AI55*VLOOKUP('Données projet'!$B$10,Paramètres!$A$1:$I$89,3,0)*VLOOKUP('Données projet'!$B$10,Paramètres!$A$1:$I$89,5,0)</f>
        <v>293.91359999999992</v>
      </c>
      <c r="AK55" s="13">
        <f t="shared" si="35"/>
        <v>69.899002171586702</v>
      </c>
      <c r="AL55" s="20">
        <f t="shared" si="4"/>
        <v>633.64028211551329</v>
      </c>
      <c r="AM55" s="59">
        <f t="shared" si="5"/>
        <v>926.97361544884666</v>
      </c>
      <c r="AN55" s="59">
        <f ca="1">AVERAGE(OFFSET($AM$3,0,0,'Données projet'!$E$10+1,1))-AVERAGE(OFFSET($H$3,0,0,'Données projet'!$E$10+1,1))</f>
        <v>278.5296012747549</v>
      </c>
      <c r="AO55" s="59">
        <f t="shared" si="36"/>
        <v>370.55343097937077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72.173954452958057</v>
      </c>
      <c r="AV55" s="21">
        <f>EXP(-LN(2)/25)*AV54+(1-EXP(-LN(2)/25))/(LN(2)/25)*Calculateur!AQ55*Calculateur!AS55*VLOOKUP('Données projet'!$B$10,Paramètres!$A$1:$I$89,3,0)*0.475*44/12</f>
        <v>21.714848194401569</v>
      </c>
      <c r="AW55" s="21">
        <f>EXP(-LN(2)/2)*AW54+(1-EXP(-LN(2)/2))/(LN(2)/2)*AQ55*AT55*VLOOKUP('Données projet'!$B$10,Paramètres!$A$1:$I$89,3,0)*0.475*44/12</f>
        <v>1.9159691475930605</v>
      </c>
      <c r="AX55" s="21">
        <f t="shared" si="6"/>
        <v>95.804771794952686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5.9646569646569647</v>
      </c>
      <c r="BD55" s="12">
        <f>IF('Données projet'!$A$88&gt;35,BD54+BC55-BL54,IF(A55&lt;'Données projet'!$A$88,$BA$205^A55,IF(A55='Données projet'!$A$88,'Données projet'!$B$88,BD54+BC55-BL54)))</f>
        <v>188.3378378378379</v>
      </c>
      <c r="BE55" s="13">
        <f>BD55*VLOOKUP('Données projet'!$B$11,Paramètres!$A$1:$I$89,3,0)*VLOOKUP('Données projet'!$B$11,Paramètres!$A$1:$I$89,5,0)</f>
        <v>88.142108108108133</v>
      </c>
      <c r="BF55" s="13">
        <f t="shared" si="37"/>
        <v>24.116603687907421</v>
      </c>
      <c r="BG55" s="20">
        <f t="shared" si="7"/>
        <v>195.51725637806041</v>
      </c>
      <c r="BH55" s="59">
        <f t="shared" si="8"/>
        <v>488.8505897113937</v>
      </c>
      <c r="BI55" s="59">
        <f ca="1">AVERAGE(OFFSET($BH$3,0,0,'Données projet'!$E$11+1,1))-AVERAGE(OFFSET($H$3,0,0,'Données projet'!$E$11+1,1))</f>
        <v>111.85541298746966</v>
      </c>
      <c r="BJ55" s="59">
        <f t="shared" si="38"/>
        <v>27.56942482401746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16.227472527472521</v>
      </c>
      <c r="BY55" s="12">
        <f>IF('Données projet'!$A$114&gt;35,BY54+BX55-CG54,IF(A55&lt;'Données projet'!$A$114,$BV$205^A55,IF(A55='Données projet'!$A$114,'Données projet'!$B$114,BY54+BX55-CG54)))</f>
        <v>362.79780219780218</v>
      </c>
      <c r="BZ55" s="13">
        <f>BY55*VLOOKUP('Données projet'!$B$12,Paramètres!$A$1:$I$89,3,0)*VLOOKUP('Données projet'!$B$12,Paramètres!$A$1:$I$89,5,0)</f>
        <v>202.80397142857143</v>
      </c>
      <c r="CA55" s="13">
        <f t="shared" si="39"/>
        <v>50.359895566849602</v>
      </c>
      <c r="CB55" s="20">
        <f t="shared" si="10"/>
        <v>440.92706835035824</v>
      </c>
      <c r="CC55" s="59">
        <f t="shared" si="11"/>
        <v>734.2604016836915</v>
      </c>
      <c r="CD55" s="59">
        <f ca="1">AVERAGE(OFFSET($CC$3,0,0,'Données projet'!$E$12+1,1))-AVERAGE(OFFSET($H$3,0,0,'Données projet'!$E$12+1,1))</f>
        <v>253.62423410951334</v>
      </c>
      <c r="CE55" s="59">
        <f t="shared" si="40"/>
        <v>230.93438491511529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57.601561785680047</v>
      </c>
      <c r="CL55" s="21">
        <f>EXP(-LN(2)/25)*CL54+(1-EXP(-LN(2)/25))/(LN(2)/25)*Calculateur!CG55*Calculateur!CI55*VLOOKUP('Données projet'!$B$12,Paramètres!$A$1:$I$89,3,0)*0.475*44/12</f>
        <v>25.404090546983749</v>
      </c>
      <c r="CM55" s="21">
        <f>EXP(-LN(2)/2)*CM54+(1-EXP(-LN(2)/2))/(LN(2)/2)*CG55*CJ55*VLOOKUP('Données projet'!$B$12,Paramètres!$A$1:$I$89,3,0)*0.475*44/12</f>
        <v>2.9029123029606718</v>
      </c>
      <c r="CN55" s="22">
        <f t="shared" si="12"/>
        <v>85.908564635624472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14.254807692307693</v>
      </c>
      <c r="N56" s="13">
        <f>IF('Données projet'!$A$36&gt;35,N55+M56-V55,IF(A56&lt;'Données projet'!$A$36,$K$205^A56,IF(A56='Données projet'!$A$36,'Données projet'!$B$36,N55+M56-V55)))</f>
        <v>292.04903846153832</v>
      </c>
      <c r="O56" s="13">
        <f>N56*VLOOKUP('Données projet'!$B$9,Paramètres!$A$1:$I$89,3,0)*VLOOKUP('Données projet'!$B$9,Paramètres!$A$1:$I$89,5,0)</f>
        <v>136.67894999999993</v>
      </c>
      <c r="P56" s="13">
        <f t="shared" si="33"/>
        <v>35.535139810553957</v>
      </c>
      <c r="Q56" s="20">
        <f t="shared" si="53"/>
        <v>299.93953975338138</v>
      </c>
      <c r="R56" s="59">
        <f t="shared" si="0"/>
        <v>593.27287308671475</v>
      </c>
      <c r="S56" s="59">
        <f ca="1">AVERAGE(OFFSET($R$3,0,0,'Données projet'!$E$9+1,1))-AVERAGE(OFFSET($H$3,0,0,'Données projet'!$E$9+1,1))</f>
        <v>190.74210845597287</v>
      </c>
      <c r="T56" s="59">
        <f t="shared" si="34"/>
        <v>131.88015896015884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22.674050943791073</v>
      </c>
      <c r="AA56" s="21">
        <f>EXP(-LN(2)/25)*AA55+(1-EXP(-LN(2)/25))/(LN(2)/25)*Calculateur!V56*Calculateur!X56*VLOOKUP('Données projet'!$B$9,Paramètres!$A$1:$I$89,3,0)*0.475*44/12</f>
        <v>20.032593153072376</v>
      </c>
      <c r="AB56" s="21">
        <f>EXP(-LN(2)/2)*AB55+(1-EXP(-LN(2)/2))/(LN(2)/2)*V56*Y56*VLOOKUP('Données projet'!$B$9,Paramètres!$A$1:$I$89,3,0)*0.475*44/12</f>
        <v>3.0303433664649799</v>
      </c>
      <c r="AC56" s="22">
        <f t="shared" si="3"/>
        <v>45.736987463328433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20.507692307692299</v>
      </c>
      <c r="AI56" s="13">
        <f>IF('Données projet'!$A$62&gt;35,AI55+AH56-AQ55,IF(A56&lt;'Données projet'!$A$62,$AF$205^A56,IF(A56='Données projet'!$A$62,'Données projet'!$B$62,AI55+AH56-AQ55)))</f>
        <v>546.29230769230753</v>
      </c>
      <c r="AJ56" s="13">
        <f>AI56*VLOOKUP('Données projet'!$B$10,Paramètres!$A$1:$I$89,3,0)*VLOOKUP('Données projet'!$B$10,Paramètres!$A$1:$I$89,5,0)</f>
        <v>305.37739999999991</v>
      </c>
      <c r="AK56" s="13">
        <f t="shared" si="35"/>
        <v>72.302604807906476</v>
      </c>
      <c r="AL56" s="20">
        <f t="shared" si="4"/>
        <v>657.79267504043685</v>
      </c>
      <c r="AM56" s="59">
        <f t="shared" si="5"/>
        <v>951.12600837377022</v>
      </c>
      <c r="AN56" s="59">
        <f ca="1">AVERAGE(OFFSET($AM$3,0,0,'Données projet'!$E$10+1,1))-AVERAGE(OFFSET($H$3,0,0,'Données projet'!$E$10+1,1))</f>
        <v>278.5296012747549</v>
      </c>
      <c r="AO56" s="59">
        <f t="shared" si="36"/>
        <v>370.55343097937077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70.758667227900972</v>
      </c>
      <c r="AV56" s="21">
        <f>EXP(-LN(2)/25)*AV55+(1-EXP(-LN(2)/25))/(LN(2)/25)*Calculateur!AQ56*Calculateur!AS56*VLOOKUP('Données projet'!$B$10,Paramètres!$A$1:$I$89,3,0)*0.475*44/12</f>
        <v>21.121054528591422</v>
      </c>
      <c r="AW56" s="21">
        <f>EXP(-LN(2)/2)*AW55+(1-EXP(-LN(2)/2))/(LN(2)/2)*AQ56*AT56*VLOOKUP('Données projet'!$B$10,Paramètres!$A$1:$I$89,3,0)*0.475*44/12</f>
        <v>1.3547947768072623</v>
      </c>
      <c r="AX56" s="21">
        <f t="shared" si="6"/>
        <v>93.234516533299654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5.9646569646569647</v>
      </c>
      <c r="BD56" s="12">
        <f>IF('Données projet'!$A$88&gt;35,BD55+BC56-BL55,IF(A56&lt;'Données projet'!$A$88,$BA$205^A56,IF(A56='Données projet'!$A$88,'Données projet'!$B$88,BD55+BC56-BL55)))</f>
        <v>194.30249480249486</v>
      </c>
      <c r="BE56" s="13">
        <f>BD56*VLOOKUP('Données projet'!$B$11,Paramètres!$A$1:$I$89,3,0)*VLOOKUP('Données projet'!$B$11,Paramètres!$A$1:$I$89,5,0)</f>
        <v>90.933567567567593</v>
      </c>
      <c r="BF56" s="13">
        <f t="shared" si="37"/>
        <v>24.79024360572015</v>
      </c>
      <c r="BG56" s="20">
        <f t="shared" si="7"/>
        <v>201.55230446014284</v>
      </c>
      <c r="BH56" s="59">
        <f t="shared" si="8"/>
        <v>494.88563779347612</v>
      </c>
      <c r="BI56" s="59">
        <f ca="1">AVERAGE(OFFSET($BH$3,0,0,'Données projet'!$E$11+1,1))-AVERAGE(OFFSET($H$3,0,0,'Données projet'!$E$11+1,1))</f>
        <v>111.85541298746966</v>
      </c>
      <c r="BJ56" s="59">
        <f t="shared" si="38"/>
        <v>27.56942482401746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16.227472527472521</v>
      </c>
      <c r="BY56" s="12">
        <f>IF('Données projet'!$A$114&gt;35,BY55+BX56-CG55,IF(A56&lt;'Données projet'!$A$114,$BV$205^A56,IF(A56='Données projet'!$A$114,'Données projet'!$B$114,BY55+BX56-CG55)))</f>
        <v>379.0252747252747</v>
      </c>
      <c r="BZ56" s="13">
        <f>BY56*VLOOKUP('Données projet'!$B$12,Paramètres!$A$1:$I$89,3,0)*VLOOKUP('Données projet'!$B$12,Paramètres!$A$1:$I$89,5,0)</f>
        <v>211.87512857142855</v>
      </c>
      <c r="CA56" s="13">
        <f t="shared" si="39"/>
        <v>52.345136228066686</v>
      </c>
      <c r="CB56" s="20">
        <f t="shared" si="10"/>
        <v>460.18362785912086</v>
      </c>
      <c r="CC56" s="59">
        <f t="shared" si="11"/>
        <v>753.51696119245412</v>
      </c>
      <c r="CD56" s="59">
        <f ca="1">AVERAGE(OFFSET($CC$3,0,0,'Données projet'!$E$12+1,1))-AVERAGE(OFFSET($H$3,0,0,'Données projet'!$E$12+1,1))</f>
        <v>253.62423410951334</v>
      </c>
      <c r="CE56" s="59">
        <f t="shared" si="40"/>
        <v>230.93438491511529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56.472030292546407</v>
      </c>
      <c r="CL56" s="21">
        <f>EXP(-LN(2)/25)*CL55+(1-EXP(-LN(2)/25))/(LN(2)/25)*Calculateur!CG56*Calculateur!CI56*VLOOKUP('Données projet'!$B$12,Paramètres!$A$1:$I$89,3,0)*0.475*44/12</f>
        <v>24.709414355033417</v>
      </c>
      <c r="CM56" s="21">
        <f>EXP(-LN(2)/2)*CM55+(1-EXP(-LN(2)/2))/(LN(2)/2)*CG56*CJ56*VLOOKUP('Données projet'!$B$12,Paramètres!$A$1:$I$89,3,0)*0.475*44/12</f>
        <v>2.0526689746133489</v>
      </c>
      <c r="CN56" s="22">
        <f t="shared" si="12"/>
        <v>83.234113622193178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14.254807692307693</v>
      </c>
      <c r="N57" s="13">
        <f>IF('Données projet'!$A$36&gt;35,N56+M57-V56,IF(A57&lt;'Données projet'!$A$36,$K$205^A57,IF(A57='Données projet'!$A$36,'Données projet'!$B$36,N56+M57-V56)))</f>
        <v>306.303846153846</v>
      </c>
      <c r="O57" s="13">
        <f>N57*VLOOKUP('Données projet'!$B$9,Paramètres!$A$1:$I$89,3,0)*VLOOKUP('Données projet'!$B$9,Paramètres!$A$1:$I$89,5,0)</f>
        <v>143.35019999999992</v>
      </c>
      <c r="P57" s="13">
        <f t="shared" si="33"/>
        <v>37.063429775262271</v>
      </c>
      <c r="Q57" s="20">
        <f t="shared" si="53"/>
        <v>314.22040519191495</v>
      </c>
      <c r="R57" s="59">
        <f t="shared" si="0"/>
        <v>607.55373852524826</v>
      </c>
      <c r="S57" s="59">
        <f ca="1">AVERAGE(OFFSET($R$3,0,0,'Données projet'!$E$9+1,1))-AVERAGE(OFFSET($H$3,0,0,'Données projet'!$E$9+1,1))</f>
        <v>190.74210845597287</v>
      </c>
      <c r="T57" s="59">
        <f t="shared" si="34"/>
        <v>131.88015896015884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22.229426634588826</v>
      </c>
      <c r="AA57" s="21">
        <f>EXP(-LN(2)/25)*AA56+(1-EXP(-LN(2)/25))/(LN(2)/25)*Calculateur!V57*Calculateur!X57*VLOOKUP('Données projet'!$B$9,Paramètres!$A$1:$I$89,3,0)*0.475*44/12</f>
        <v>19.484800839833323</v>
      </c>
      <c r="AB57" s="21">
        <f>EXP(-LN(2)/2)*AB56+(1-EXP(-LN(2)/2))/(LN(2)/2)*V57*Y57*VLOOKUP('Données projet'!$B$9,Paramètres!$A$1:$I$89,3,0)*0.475*44/12</f>
        <v>2.1427763437510583</v>
      </c>
      <c r="AC57" s="22">
        <f t="shared" si="3"/>
        <v>43.857003818173204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566.79999999999995</v>
      </c>
      <c r="AG57" s="12">
        <f>VLOOKUP(A57,'Données projet'!$A$61:$I$81,9,0)</f>
        <v>20.507692307692299</v>
      </c>
      <c r="AH57" s="12">
        <f t="array" ref="AH57">INDEX(AG:AG,MIN(IF(ISNUMBER(AG57:AG253),ROW(AG57:AG253),"")))</f>
        <v>20.507692307692299</v>
      </c>
      <c r="AI57" s="13">
        <f>IF('Données projet'!$A$62&gt;35,AI56+AH57-AQ56,IF(A57&lt;'Données projet'!$A$62,$AF$205^A57,IF(A57='Données projet'!$A$62,'Données projet'!$B$62,AI56+AH57-AQ56)))</f>
        <v>566.79999999999984</v>
      </c>
      <c r="AJ57" s="13">
        <f>AI57*VLOOKUP('Données projet'!$B$10,Paramètres!$A$1:$I$89,3,0)*VLOOKUP('Données projet'!$B$10,Paramètres!$A$1:$I$89,5,0)</f>
        <v>316.8411999999999</v>
      </c>
      <c r="AK57" s="13">
        <f t="shared" si="35"/>
        <v>74.695724902330795</v>
      </c>
      <c r="AL57" s="20">
        <f t="shared" si="4"/>
        <v>681.92681087155927</v>
      </c>
      <c r="AM57" s="59">
        <f t="shared" si="5"/>
        <v>975.26014420489264</v>
      </c>
      <c r="AN57" s="59">
        <f ca="1">AVERAGE(OFFSET($AM$3,0,0,'Données projet'!$E$10+1,1))-AVERAGE(OFFSET($H$3,0,0,'Données projet'!$E$10+1,1))</f>
        <v>278.5296012747549</v>
      </c>
      <c r="AO57" s="59">
        <f t="shared" si="36"/>
        <v>370.55343097937077</v>
      </c>
      <c r="AP57" s="15">
        <f>IF(ISNA(VLOOKUP(A57,'Données projet'!$A$61:$I$81,3,0)),0,VLOOKUP(A57,'Données projet'!$A$61:$I$81,3,0))</f>
        <v>7</v>
      </c>
      <c r="AQ57" s="15">
        <f>IF(ISNA(VLOOKUP(A57,'Données projet'!$A$61:$I$81,4,0)),0,VLOOKUP(A57,'Données projet'!$A$61:$I$81,4,0))</f>
        <v>566.79999999999995</v>
      </c>
      <c r="AR57" s="16">
        <f>IF(ISNA(VLOOKUP(A57,'Données projet'!$A$61:$I$81,5,0)),0%,VLOOKUP(A57,'Données projet'!$A$61:$I$81,5,0)*VLOOKUP('Données projet'!$B$10,Paramètres!$A$1:$I$89,7,0))</f>
        <v>0.38500000000000001</v>
      </c>
      <c r="AS57" s="16">
        <f>IF(ISNA(VLOOKUP(A57,'Données projet'!$A$61:$I$81,6,0)),0%,VLOOKUP(A57,'Données projet'!$A$61:$I$81,6,0)*VLOOKUP('Données projet'!$B$10,Paramètres!$A$1:$I$89,7,0))</f>
        <v>9.240000000000001E-2</v>
      </c>
      <c r="AT57" s="16">
        <f>IF(ISNA(VLOOKUP(A57,'Données projet'!$A$61:$I$81,7,0)),0%,VLOOKUP(A57,'Données projet'!$A$61:$I$81,7,0))</f>
        <v>0.13200000000000001</v>
      </c>
      <c r="AU57" s="21">
        <f>EXP(-LN(2)/35)*AU56+(1-EXP(-LN(2)/35))/(LN(2)/35)*AQ57*AR57*VLOOKUP('Données projet'!$B$10,Paramètres!$A$1:$I$89,3,0)*0.475*44/12</f>
        <v>231.19058838852931</v>
      </c>
      <c r="AV57" s="21">
        <f>EXP(-LN(2)/25)*AV56+(1-EXP(-LN(2)/25))/(LN(2)/25)*Calculateur!AQ57*Calculateur!AS57*VLOOKUP('Données projet'!$B$10,Paramètres!$A$1:$I$89,3,0)*0.475*44/12</f>
        <v>59.227252728732921</v>
      </c>
      <c r="AW57" s="21">
        <f>EXP(-LN(2)/2)*AW56+(1-EXP(-LN(2)/2))/(LN(2)/2)*AQ57*AT57*VLOOKUP('Données projet'!$B$10,Paramètres!$A$1:$I$89,3,0)*0.475*44/12</f>
        <v>48.311379430966142</v>
      </c>
      <c r="AX57" s="21">
        <f t="shared" si="6"/>
        <v>338.7292205482284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5.9646569646569647</v>
      </c>
      <c r="BD57" s="12">
        <f>IF('Données projet'!$A$88&gt;35,BD56+BC57-BL56,IF(A57&lt;'Données projet'!$A$88,$BA$205^A57,IF(A57='Données projet'!$A$88,'Données projet'!$B$88,BD56+BC57-BL56)))</f>
        <v>200.26715176715183</v>
      </c>
      <c r="BE57" s="13">
        <f>BD57*VLOOKUP('Données projet'!$B$11,Paramètres!$A$1:$I$89,3,0)*VLOOKUP('Données projet'!$B$11,Paramètres!$A$1:$I$89,5,0)</f>
        <v>93.725027027027053</v>
      </c>
      <c r="BF57" s="13">
        <f t="shared" si="37"/>
        <v>25.461480354725186</v>
      </c>
      <c r="BG57" s="20">
        <f t="shared" si="7"/>
        <v>207.58316702321846</v>
      </c>
      <c r="BH57" s="59">
        <f t="shared" si="8"/>
        <v>500.91650035655175</v>
      </c>
      <c r="BI57" s="59">
        <f ca="1">AVERAGE(OFFSET($BH$3,0,0,'Données projet'!$E$11+1,1))-AVERAGE(OFFSET($H$3,0,0,'Données projet'!$E$11+1,1))</f>
        <v>111.85541298746966</v>
      </c>
      <c r="BJ57" s="59">
        <f t="shared" si="38"/>
        <v>27.56942482401746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16.227472527472521</v>
      </c>
      <c r="BY57" s="12">
        <f>IF('Données projet'!$A$114&gt;35,BY56+BX57-CG56,IF(A57&lt;'Données projet'!$A$114,$BV$205^A57,IF(A57='Données projet'!$A$114,'Données projet'!$B$114,BY56+BX57-CG56)))</f>
        <v>395.25274725274721</v>
      </c>
      <c r="BZ57" s="13">
        <f>BY57*VLOOKUP('Données projet'!$B$12,Paramètres!$A$1:$I$89,3,0)*VLOOKUP('Données projet'!$B$12,Paramètres!$A$1:$I$89,5,0)</f>
        <v>220.94628571428569</v>
      </c>
      <c r="CA57" s="13">
        <f t="shared" si="39"/>
        <v>54.320504840756463</v>
      </c>
      <c r="CB57" s="20">
        <f t="shared" si="10"/>
        <v>479.42299355003178</v>
      </c>
      <c r="CC57" s="59">
        <f t="shared" si="11"/>
        <v>772.75632688336509</v>
      </c>
      <c r="CD57" s="59">
        <f ca="1">AVERAGE(OFFSET($CC$3,0,0,'Données projet'!$E$12+1,1))-AVERAGE(OFFSET($H$3,0,0,'Données projet'!$E$12+1,1))</f>
        <v>253.62423410951334</v>
      </c>
      <c r="CE57" s="59">
        <f t="shared" si="40"/>
        <v>230.93438491511529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55.364648223046935</v>
      </c>
      <c r="CL57" s="21">
        <f>EXP(-LN(2)/25)*CL56+(1-EXP(-LN(2)/25))/(LN(2)/25)*Calculateur!CG57*Calculateur!CI57*VLOOKUP('Données projet'!$B$12,Paramètres!$A$1:$I$89,3,0)*0.475*44/12</f>
        <v>24.033734120083402</v>
      </c>
      <c r="CM57" s="21">
        <f>EXP(-LN(2)/2)*CM56+(1-EXP(-LN(2)/2))/(LN(2)/2)*CG57*CJ57*VLOOKUP('Données projet'!$B$12,Paramètres!$A$1:$I$89,3,0)*0.475*44/12</f>
        <v>1.4514561514803361</v>
      </c>
      <c r="CN57" s="22">
        <f t="shared" si="12"/>
        <v>80.84983849461068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14.254807692307693</v>
      </c>
      <c r="N58" s="13">
        <f>IF('Données projet'!$A$36&gt;35,N57+M58-V57,IF(A58&lt;'Données projet'!$A$36,$K$205^A58,IF(A58='Données projet'!$A$36,'Données projet'!$B$36,N57+M58-V57)))</f>
        <v>320.55865384615367</v>
      </c>
      <c r="O58" s="13">
        <f>N58*VLOOKUP('Données projet'!$B$9,Paramètres!$A$1:$I$89,3,0)*VLOOKUP('Données projet'!$B$9,Paramètres!$A$1:$I$89,5,0)</f>
        <v>150.02144999999993</v>
      </c>
      <c r="P58" s="13">
        <f t="shared" si="33"/>
        <v>38.583460169756968</v>
      </c>
      <c r="Q58" s="20">
        <f t="shared" si="53"/>
        <v>328.48688521232657</v>
      </c>
      <c r="R58" s="59">
        <f t="shared" si="0"/>
        <v>621.82021854565983</v>
      </c>
      <c r="S58" s="59">
        <f ca="1">AVERAGE(OFFSET($R$3,0,0,'Données projet'!$E$9+1,1))-AVERAGE(OFFSET($H$3,0,0,'Données projet'!$E$9+1,1))</f>
        <v>190.74210845597287</v>
      </c>
      <c r="T58" s="59">
        <f t="shared" si="34"/>
        <v>131.88015896015884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21.793521136895986</v>
      </c>
      <c r="AA58" s="21">
        <f>EXP(-LN(2)/25)*AA57+(1-EXP(-LN(2)/25))/(LN(2)/25)*Calculateur!V58*Calculateur!X58*VLOOKUP('Données projet'!$B$9,Paramètres!$A$1:$I$89,3,0)*0.475*44/12</f>
        <v>18.951987936206937</v>
      </c>
      <c r="AB58" s="21">
        <f>EXP(-LN(2)/2)*AB57+(1-EXP(-LN(2)/2))/(LN(2)/2)*V58*Y58*VLOOKUP('Données projet'!$B$9,Paramètres!$A$1:$I$89,3,0)*0.475*44/12</f>
        <v>1.51517168323249</v>
      </c>
      <c r="AC58" s="22">
        <f t="shared" si="3"/>
        <v>42.260680756335411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-1.1368683772161603E-13</v>
      </c>
      <c r="AJ58" s="13">
        <f>AI58*VLOOKUP('Données projet'!$B$10,Paramètres!$A$1:$I$89,3,0)*VLOOKUP('Données projet'!$B$10,Paramètres!$A$1:$I$89,5,0)</f>
        <v>-6.3550942286383367E-14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278.5296012747549</v>
      </c>
      <c r="AO58" s="59">
        <f t="shared" si="36"/>
        <v>370.55343097937077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226.65708196256534</v>
      </c>
      <c r="AV58" s="21">
        <f>EXP(-LN(2)/25)*AV57+(1-EXP(-LN(2)/25))/(LN(2)/25)*Calculateur!AQ58*Calculateur!AS58*VLOOKUP('Données projet'!$B$10,Paramètres!$A$1:$I$89,3,0)*0.475*44/12</f>
        <v>57.607680388239864</v>
      </c>
      <c r="AW58" s="21">
        <f>EXP(-LN(2)/2)*AW57+(1-EXP(-LN(2)/2))/(LN(2)/2)*AQ58*AT58*VLOOKUP('Données projet'!$B$10,Paramètres!$A$1:$I$89,3,0)*0.475*44/12</f>
        <v>34.161304004112452</v>
      </c>
      <c r="AX58" s="21">
        <f t="shared" si="6"/>
        <v>318.42606635491768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5.9646569646569647</v>
      </c>
      <c r="BD58" s="12">
        <f>IF('Données projet'!$A$88&gt;35,BD57+BC58-BL57,IF(A58&lt;'Données projet'!$A$88,$BA$205^A58,IF(A58='Données projet'!$A$88,'Données projet'!$B$88,BD57+BC58-BL57)))</f>
        <v>206.2318087318088</v>
      </c>
      <c r="BE58" s="13">
        <f>BD58*VLOOKUP('Données projet'!$B$11,Paramètres!$A$1:$I$89,3,0)*VLOOKUP('Données projet'!$B$11,Paramètres!$A$1:$I$89,5,0)</f>
        <v>96.516486486486528</v>
      </c>
      <c r="BF58" s="13">
        <f t="shared" si="37"/>
        <v>26.130393726578561</v>
      </c>
      <c r="BG58" s="20">
        <f t="shared" si="7"/>
        <v>213.60998303775503</v>
      </c>
      <c r="BH58" s="59">
        <f t="shared" si="8"/>
        <v>506.94331637108837</v>
      </c>
      <c r="BI58" s="59">
        <f ca="1">AVERAGE(OFFSET($BH$3,0,0,'Données projet'!$E$11+1,1))-AVERAGE(OFFSET($H$3,0,0,'Données projet'!$E$11+1,1))</f>
        <v>111.85541298746966</v>
      </c>
      <c r="BJ58" s="59">
        <f t="shared" si="38"/>
        <v>27.56942482401746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16.227472527472521</v>
      </c>
      <c r="BY58" s="12">
        <f>IF('Données projet'!$A$114&gt;35,BY57+BX58-CG57,IF(A58&lt;'Données projet'!$A$114,$BV$205^A58,IF(A58='Données projet'!$A$114,'Données projet'!$B$114,BY57+BX58-CG57)))</f>
        <v>411.48021978021973</v>
      </c>
      <c r="BZ58" s="13">
        <f>BY58*VLOOKUP('Données projet'!$B$12,Paramètres!$A$1:$I$89,3,0)*VLOOKUP('Données projet'!$B$12,Paramètres!$A$1:$I$89,5,0)</f>
        <v>230.01744285714284</v>
      </c>
      <c r="CA58" s="13">
        <f t="shared" si="39"/>
        <v>56.286453068022915</v>
      </c>
      <c r="CB58" s="20">
        <f t="shared" si="10"/>
        <v>498.64595206966368</v>
      </c>
      <c r="CC58" s="59">
        <f t="shared" si="11"/>
        <v>791.97928540299699</v>
      </c>
      <c r="CD58" s="59">
        <f ca="1">AVERAGE(OFFSET($CC$3,0,0,'Données projet'!$E$12+1,1))-AVERAGE(OFFSET($H$3,0,0,'Données projet'!$E$12+1,1))</f>
        <v>253.62423410951334</v>
      </c>
      <c r="CE58" s="59">
        <f t="shared" si="40"/>
        <v>230.93438491511529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54.278981240493977</v>
      </c>
      <c r="CL58" s="21">
        <f>EXP(-LN(2)/25)*CL57+(1-EXP(-LN(2)/25))/(LN(2)/25)*Calculateur!CG58*Calculateur!CI58*VLOOKUP('Données projet'!$B$12,Paramètres!$A$1:$I$89,3,0)*0.475*44/12</f>
        <v>23.376530396690573</v>
      </c>
      <c r="CM58" s="21">
        <f>EXP(-LN(2)/2)*CM57+(1-EXP(-LN(2)/2))/(LN(2)/2)*CG58*CJ58*VLOOKUP('Données projet'!$B$12,Paramètres!$A$1:$I$89,3,0)*0.475*44/12</f>
        <v>1.0263344873066744</v>
      </c>
      <c r="CN58" s="22">
        <f t="shared" si="12"/>
        <v>78.681846124491216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14.254807692307693</v>
      </c>
      <c r="N59" s="13">
        <f>IF('Données projet'!$A$36&gt;35,N58+M59-V58,IF(A59&lt;'Données projet'!$A$36,$K$205^A59,IF(A59='Données projet'!$A$36,'Données projet'!$B$36,N58+M59-V58)))</f>
        <v>334.81346153846135</v>
      </c>
      <c r="O59" s="13">
        <f>N59*VLOOKUP('Données projet'!$B$9,Paramètres!$A$1:$I$89,3,0)*VLOOKUP('Données projet'!$B$9,Paramètres!$A$1:$I$89,5,0)</f>
        <v>156.69269999999992</v>
      </c>
      <c r="P59" s="13">
        <f t="shared" si="33"/>
        <v>40.095640254763687</v>
      </c>
      <c r="Q59" s="20">
        <f t="shared" si="53"/>
        <v>342.73969261037996</v>
      </c>
      <c r="R59" s="59">
        <f t="shared" si="0"/>
        <v>636.07302594371322</v>
      </c>
      <c r="S59" s="59">
        <f ca="1">AVERAGE(OFFSET($R$3,0,0,'Données projet'!$E$9+1,1))-AVERAGE(OFFSET($H$3,0,0,'Données projet'!$E$9+1,1))</f>
        <v>190.74210845597287</v>
      </c>
      <c r="T59" s="59">
        <f t="shared" si="34"/>
        <v>131.88015896015884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21.366163480136802</v>
      </c>
      <c r="AA59" s="21">
        <f>EXP(-LN(2)/25)*AA58+(1-EXP(-LN(2)/25))/(LN(2)/25)*Calculateur!V59*Calculateur!X59*VLOOKUP('Données projet'!$B$9,Paramètres!$A$1:$I$89,3,0)*0.475*44/12</f>
        <v>18.433744829449626</v>
      </c>
      <c r="AB59" s="21">
        <f>EXP(-LN(2)/2)*AB58+(1-EXP(-LN(2)/2))/(LN(2)/2)*V59*Y59*VLOOKUP('Données projet'!$B$9,Paramètres!$A$1:$I$89,3,0)*0.475*44/12</f>
        <v>1.0713881718755291</v>
      </c>
      <c r="AC59" s="22">
        <f t="shared" si="3"/>
        <v>40.871296481461954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-1.1368683772161603E-13</v>
      </c>
      <c r="AJ59" s="13">
        <f>AI59*VLOOKUP('Données projet'!$B$10,Paramètres!$A$1:$I$89,3,0)*VLOOKUP('Données projet'!$B$10,Paramètres!$A$1:$I$89,5,0)</f>
        <v>-6.3550942286383367E-14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278.5296012747549</v>
      </c>
      <c r="AO59" s="59">
        <f t="shared" si="36"/>
        <v>370.55343097937077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222.21247483244866</v>
      </c>
      <c r="AV59" s="21">
        <f>EXP(-LN(2)/25)*AV58+(1-EXP(-LN(2)/25))/(LN(2)/25)*Calculateur!AQ59*Calculateur!AS59*VLOOKUP('Données projet'!$B$10,Paramètres!$A$1:$I$89,3,0)*0.475*44/12</f>
        <v>56.032395338567198</v>
      </c>
      <c r="AW59" s="21">
        <f>EXP(-LN(2)/2)*AW58+(1-EXP(-LN(2)/2))/(LN(2)/2)*AQ59*AT59*VLOOKUP('Données projet'!$B$10,Paramètres!$A$1:$I$89,3,0)*0.475*44/12</f>
        <v>24.155689715483074</v>
      </c>
      <c r="AX59" s="21">
        <f t="shared" si="6"/>
        <v>302.40055988649891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5.9646569646569647</v>
      </c>
      <c r="BD59" s="12">
        <f>IF('Données projet'!$A$88&gt;35,BD58+BC59-BL58,IF(A59&lt;'Données projet'!$A$88,$BA$205^A59,IF(A59='Données projet'!$A$88,'Données projet'!$B$88,BD58+BC59-BL58)))</f>
        <v>212.19646569646576</v>
      </c>
      <c r="BE59" s="13">
        <f>BD59*VLOOKUP('Données projet'!$B$11,Paramètres!$A$1:$I$89,3,0)*VLOOKUP('Données projet'!$B$11,Paramètres!$A$1:$I$89,5,0)</f>
        <v>99.307945945945974</v>
      </c>
      <c r="BF59" s="13">
        <f t="shared" si="37"/>
        <v>26.797058634984154</v>
      </c>
      <c r="BG59" s="20">
        <f t="shared" si="7"/>
        <v>219.6328829784533</v>
      </c>
      <c r="BH59" s="59">
        <f t="shared" si="8"/>
        <v>512.96621631178664</v>
      </c>
      <c r="BI59" s="59">
        <f ca="1">AVERAGE(OFFSET($BH$3,0,0,'Données projet'!$E$11+1,1))-AVERAGE(OFFSET($H$3,0,0,'Données projet'!$E$11+1,1))</f>
        <v>111.85541298746966</v>
      </c>
      <c r="BJ59" s="59">
        <f t="shared" si="38"/>
        <v>27.56942482401746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>
        <f>VLOOKUP(A59,'Données projet'!$A$113:$I$133,2,0)</f>
        <v>427.7076923076923</v>
      </c>
      <c r="BW59" s="12">
        <f>VLOOKUP(A59,'Données projet'!$A$113:$I$133,9,0)</f>
        <v>16.227472527472521</v>
      </c>
      <c r="BX59" s="12">
        <f t="array" ref="BX59">INDEX(BW:BW,MIN(IF(ISNUMBER(BW59:BW255),ROW(BW59:BW255),"")))</f>
        <v>16.227472527472521</v>
      </c>
      <c r="BY59" s="12">
        <f>IF('Données projet'!$A$114&gt;35,BY58+BX59-CG58,IF(A59&lt;'Données projet'!$A$114,$BV$205^A59,IF(A59='Données projet'!$A$114,'Données projet'!$B$114,BY58+BX59-CG58)))</f>
        <v>427.70769230769224</v>
      </c>
      <c r="BZ59" s="13">
        <f>BY59*VLOOKUP('Données projet'!$B$12,Paramètres!$A$1:$I$89,3,0)*VLOOKUP('Données projet'!$B$12,Paramètres!$A$1:$I$89,5,0)</f>
        <v>239.08859999999996</v>
      </c>
      <c r="CA59" s="13">
        <f t="shared" si="39"/>
        <v>58.243394931850105</v>
      </c>
      <c r="CB59" s="20">
        <f t="shared" si="10"/>
        <v>517.85322450630554</v>
      </c>
      <c r="CC59" s="59">
        <f t="shared" si="11"/>
        <v>811.18655783963891</v>
      </c>
      <c r="CD59" s="59">
        <f ca="1">AVERAGE(OFFSET($CC$3,0,0,'Données projet'!$E$12+1,1))-AVERAGE(OFFSET($H$3,0,0,'Données projet'!$E$12+1,1))</f>
        <v>253.62423410951334</v>
      </c>
      <c r="CE59" s="59">
        <f t="shared" si="40"/>
        <v>230.93438491511529</v>
      </c>
      <c r="CF59" s="15">
        <f>IF(ISNA(VLOOKUP(A59,'Données projet'!$A$113:$I$133,3,0)),0,VLOOKUP(A59,'Données projet'!$A$113:$I$133,3,0))</f>
        <v>6</v>
      </c>
      <c r="CG59" s="15">
        <f>IF(ISNA(VLOOKUP(A59,'Données projet'!$A$113:$I$133,4,0)),0,VLOOKUP(A59,'Données projet'!$A$113:$I$133,4,0))</f>
        <v>75.869230769230768</v>
      </c>
      <c r="CH59" s="16">
        <f>IF(ISNA(VLOOKUP(A59,'Données projet'!$A$113:$I$133,5,0)),0%,VLOOKUP(A59,'Données projet'!$A$113:$I$133,5,0)*VLOOKUP('Données projet'!$B$12,Paramètres!$A$1:$I$89,7,0))</f>
        <v>0.38500000000000001</v>
      </c>
      <c r="CI59" s="16">
        <f>IF(ISNA(VLOOKUP(A59,'Données projet'!$A$113:$I$133,6,0)),0%,VLOOKUP(A59,'Données projet'!$A$113:$I$133,6,0)*VLOOKUP('Données projet'!$B$12,Paramètres!$A$1:$I$89,7,0))</f>
        <v>9.240000000000001E-2</v>
      </c>
      <c r="CJ59" s="16">
        <f>IF(ISNA(VLOOKUP(A59,'Données projet'!$A$113:$I$133,7,0)),0%,VLOOKUP(A59,'Données projet'!$A$113:$I$133,7,0))</f>
        <v>0.13200000000000001</v>
      </c>
      <c r="CK59" s="21">
        <f>EXP(-LN(2)/35)*CK58+(1-EXP(-LN(2)/35))/(LN(2)/35)*CG59*CH59*VLOOKUP('Données projet'!$B$12,Paramètres!$A$1:$I$89,3,0)*0.475*44/12</f>
        <v>74.875008623609716</v>
      </c>
      <c r="CL59" s="21">
        <f>EXP(-LN(2)/25)*CL58+(1-EXP(-LN(2)/25))/(LN(2)/25)*Calculateur!CG59*Calculateur!CI59*VLOOKUP('Données projet'!$B$12,Paramètres!$A$1:$I$89,3,0)*0.475*44/12</f>
        <v>27.915326702922474</v>
      </c>
      <c r="CM59" s="21">
        <f>EXP(-LN(2)/2)*CM58+(1-EXP(-LN(2)/2))/(LN(2)/2)*CG59*CJ59*VLOOKUP('Données projet'!$B$12,Paramètres!$A$1:$I$89,3,0)*0.475*44/12</f>
        <v>7.0642348543659716</v>
      </c>
      <c r="CN59" s="22">
        <f t="shared" si="12"/>
        <v>109.85457018089816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14.254807692307693</v>
      </c>
      <c r="N60" s="13">
        <f>IF('Données projet'!$A$36&gt;35,N59+M60-V59,IF(A60&lt;'Données projet'!$A$36,$K$205^A60,IF(A60='Données projet'!$A$36,'Données projet'!$B$36,N59+M60-V59)))</f>
        <v>349.06826923076903</v>
      </c>
      <c r="O60" s="13">
        <f>N60*VLOOKUP('Données projet'!$B$9,Paramètres!$A$1:$I$89,3,0)*VLOOKUP('Données projet'!$B$9,Paramètres!$A$1:$I$89,5,0)</f>
        <v>163.3639499999999</v>
      </c>
      <c r="P60" s="13">
        <f t="shared" si="33"/>
        <v>41.600342471015871</v>
      </c>
      <c r="Q60" s="20">
        <f t="shared" si="53"/>
        <v>356.9794760536858</v>
      </c>
      <c r="R60" s="59">
        <f t="shared" si="0"/>
        <v>650.31280938701912</v>
      </c>
      <c r="S60" s="59">
        <f ca="1">AVERAGE(OFFSET($R$3,0,0,'Données projet'!$E$9+1,1))-AVERAGE(OFFSET($H$3,0,0,'Données projet'!$E$9+1,1))</f>
        <v>190.74210845597287</v>
      </c>
      <c r="T60" s="59">
        <f t="shared" si="34"/>
        <v>131.88015896015884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20.94718604636423</v>
      </c>
      <c r="AA60" s="21">
        <f>EXP(-LN(2)/25)*AA59+(1-EXP(-LN(2)/25))/(LN(2)/25)*Calculateur!V60*Calculateur!X60*VLOOKUP('Données projet'!$B$9,Paramètres!$A$1:$I$89,3,0)*0.475*44/12</f>
        <v>17.929673107699816</v>
      </c>
      <c r="AB60" s="21">
        <f>EXP(-LN(2)/2)*AB59+(1-EXP(-LN(2)/2))/(LN(2)/2)*V60*Y60*VLOOKUP('Données projet'!$B$9,Paramètres!$A$1:$I$89,3,0)*0.475*44/12</f>
        <v>0.75758584161624498</v>
      </c>
      <c r="AC60" s="22">
        <f t="shared" si="3"/>
        <v>39.634444995680298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-1.1368683772161603E-13</v>
      </c>
      <c r="AJ60" s="13">
        <f>AI60*VLOOKUP('Données projet'!$B$10,Paramètres!$A$1:$I$89,3,0)*VLOOKUP('Données projet'!$B$10,Paramètres!$A$1:$I$89,5,0)</f>
        <v>-6.3550942286383367E-14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278.5296012747549</v>
      </c>
      <c r="AO60" s="59">
        <f t="shared" si="36"/>
        <v>370.55343097937077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217.8550237372109</v>
      </c>
      <c r="AV60" s="21">
        <f>EXP(-LN(2)/25)*AV59+(1-EXP(-LN(2)/25))/(LN(2)/25)*Calculateur!AQ60*Calculateur!AS60*VLOOKUP('Données projet'!$B$10,Paramètres!$A$1:$I$89,3,0)*0.475*44/12</f>
        <v>54.500186541418472</v>
      </c>
      <c r="AW60" s="21">
        <f>EXP(-LN(2)/2)*AW59+(1-EXP(-LN(2)/2))/(LN(2)/2)*AQ60*AT60*VLOOKUP('Données projet'!$B$10,Paramètres!$A$1:$I$89,3,0)*0.475*44/12</f>
        <v>17.08065200205623</v>
      </c>
      <c r="AX60" s="21">
        <f t="shared" si="6"/>
        <v>289.43586228068563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5.9646569646569647</v>
      </c>
      <c r="BD60" s="12">
        <f>IF('Données projet'!$A$88&gt;35,BD59+BC60-BL59,IF(A60&lt;'Données projet'!$A$88,$BA$205^A60,IF(A60='Données projet'!$A$88,'Données projet'!$B$88,BD59+BC60-BL59)))</f>
        <v>218.16112266112273</v>
      </c>
      <c r="BE60" s="13">
        <f>BD60*VLOOKUP('Données projet'!$B$11,Paramètres!$A$1:$I$89,3,0)*VLOOKUP('Données projet'!$B$11,Paramètres!$A$1:$I$89,5,0)</f>
        <v>102.09940540540545</v>
      </c>
      <c r="BF60" s="13">
        <f t="shared" si="37"/>
        <v>27.461545542528462</v>
      </c>
      <c r="BG60" s="20">
        <f t="shared" si="7"/>
        <v>225.65198956765155</v>
      </c>
      <c r="BH60" s="59">
        <f t="shared" si="8"/>
        <v>518.9853229009849</v>
      </c>
      <c r="BI60" s="59">
        <f ca="1">AVERAGE(OFFSET($BH$3,0,0,'Données projet'!$E$11+1,1))-AVERAGE(OFFSET($H$3,0,0,'Données projet'!$E$11+1,1))</f>
        <v>111.85541298746966</v>
      </c>
      <c r="BJ60" s="59">
        <f t="shared" si="38"/>
        <v>27.56942482401746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14.839560439560453</v>
      </c>
      <c r="BY60" s="12">
        <f>IF('Données projet'!$A$114&gt;35,BY59+BX60-CG59,IF(A60&lt;'Données projet'!$A$114,$BV$205^A60,IF(A60='Données projet'!$A$114,'Données projet'!$B$114,BY59+BX60-CG59)))</f>
        <v>366.67802197802189</v>
      </c>
      <c r="BZ60" s="13">
        <f>BY60*VLOOKUP('Données projet'!$B$12,Paramètres!$A$1:$I$89,3,0)*VLOOKUP('Données projet'!$B$12,Paramètres!$A$1:$I$89,5,0)</f>
        <v>204.97301428571424</v>
      </c>
      <c r="CA60" s="13">
        <f t="shared" si="39"/>
        <v>50.835518579260878</v>
      </c>
      <c r="CB60" s="20">
        <f t="shared" si="10"/>
        <v>445.53319473983169</v>
      </c>
      <c r="CC60" s="59">
        <f t="shared" si="11"/>
        <v>738.866528073165</v>
      </c>
      <c r="CD60" s="59">
        <f ca="1">AVERAGE(OFFSET($CC$3,0,0,'Données projet'!$E$12+1,1))-AVERAGE(OFFSET($H$3,0,0,'Données projet'!$E$12+1,1))</f>
        <v>253.62423410951334</v>
      </c>
      <c r="CE60" s="59">
        <f t="shared" si="40"/>
        <v>230.93438491511529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73.40675537374652</v>
      </c>
      <c r="CL60" s="21">
        <f>EXP(-LN(2)/25)*CL59+(1-EXP(-LN(2)/25))/(LN(2)/25)*Calculateur!CG60*Calculateur!CI60*VLOOKUP('Données projet'!$B$12,Paramètres!$A$1:$I$89,3,0)*0.475*44/12</f>
        <v>27.151980626227829</v>
      </c>
      <c r="CM60" s="21">
        <f>EXP(-LN(2)/2)*CM59+(1-EXP(-LN(2)/2))/(LN(2)/2)*CG60*CJ60*VLOOKUP('Données projet'!$B$12,Paramètres!$A$1:$I$89,3,0)*0.475*44/12</f>
        <v>4.9951683694165423</v>
      </c>
      <c r="CN60" s="22">
        <f t="shared" si="12"/>
        <v>105.55390436939089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363.32307692307694</v>
      </c>
      <c r="L61" s="12">
        <f>VLOOKUP(A61,'Données projet'!$A$35:$I$55,9,0)</f>
        <v>14.254807692307693</v>
      </c>
      <c r="M61" s="12">
        <f t="array" ref="M61">INDEX(L:L,MIN(IF(ISNUMBER(L61:L257),ROW(L61:L257),"")))</f>
        <v>14.254807692307693</v>
      </c>
      <c r="N61" s="13">
        <f>IF('Données projet'!$A$36&gt;35,N60+M61-V60,IF(A61&lt;'Données projet'!$A$36,$K$205^A61,IF(A61='Données projet'!$A$36,'Données projet'!$B$36,N60+M61-V60)))</f>
        <v>363.32307692307671</v>
      </c>
      <c r="O61" s="13">
        <f>N61*VLOOKUP('Données projet'!$B$9,Paramètres!$A$1:$I$89,3,0)*VLOOKUP('Données projet'!$B$9,Paramètres!$A$1:$I$89,5,0)</f>
        <v>170.03519999999989</v>
      </c>
      <c r="P61" s="13">
        <f t="shared" si="33"/>
        <v>43.097907119364415</v>
      </c>
      <c r="Q61" s="20">
        <f t="shared" si="53"/>
        <v>371.2068282328928</v>
      </c>
      <c r="R61" s="59">
        <f t="shared" si="0"/>
        <v>664.54016156622606</v>
      </c>
      <c r="S61" s="59">
        <f ca="1">AVERAGE(OFFSET($R$3,0,0,'Données projet'!$E$9+1,1))-AVERAGE(OFFSET($H$3,0,0,'Données projet'!$E$9+1,1))</f>
        <v>190.74210845597287</v>
      </c>
      <c r="T61" s="59">
        <f t="shared" si="34"/>
        <v>131.88015896015884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80.315384615384616</v>
      </c>
      <c r="W61" s="16">
        <f>IF(ISNA(VLOOKUP(A61,'Données projet'!$A$35:$I$55,5,0)),0%,VLOOKUP(A61,'Données projet'!$A$35:$I$55,5,0)*VLOOKUP('Données projet'!$B$9,Paramètres!$A$1:$I$89,7,0))</f>
        <v>0.38500000000000001</v>
      </c>
      <c r="X61" s="16">
        <f>IF(ISNA(VLOOKUP(A61,'Données projet'!$A$35:$I$55,6,0)),0%,VLOOKUP(A61,'Données projet'!$A$35:$I$55,6,0)*VLOOKUP('Données projet'!$B$9,Paramètres!$A$1:$I$89,7,0))</f>
        <v>9.240000000000001E-2</v>
      </c>
      <c r="Y61" s="16">
        <f>IF(ISNA(VLOOKUP(A61,'Données projet'!$A$35:$I$55,7,0)),0%,VLOOKUP(A61,'Données projet'!$A$35:$I$55,7,0))</f>
        <v>0.13200000000000001</v>
      </c>
      <c r="Z61" s="21">
        <f>EXP(-LN(2)/35)*Z60+(1-EXP(-LN(2)/35))/(LN(2)/35)*V61*W61*VLOOKUP('Données projet'!$B$9,Paramètres!$A$1:$I$89,3,0)*0.475*44/12</f>
        <v>39.733438542749454</v>
      </c>
      <c r="AA61" s="21">
        <f>EXP(-LN(2)/25)*AA60+(1-EXP(-LN(2)/25))/(LN(2)/25)*Calculateur!V61*Calculateur!X61*VLOOKUP('Données projet'!$B$9,Paramètres!$A$1:$I$89,3,0)*0.475*44/12</f>
        <v>22.028527992728002</v>
      </c>
      <c r="AB61" s="21">
        <f>EXP(-LN(2)/2)*AB60+(1-EXP(-LN(2)/2))/(LN(2)/2)*V61*Y61*VLOOKUP('Données projet'!$B$9,Paramètres!$A$1:$I$89,3,0)*0.475*44/12</f>
        <v>6.153336187196528</v>
      </c>
      <c r="AC61" s="22">
        <f t="shared" si="3"/>
        <v>67.915302722673985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-1.1368683772161603E-13</v>
      </c>
      <c r="AJ61" s="13">
        <f>AI61*VLOOKUP('Données projet'!$B$10,Paramètres!$A$1:$I$89,3,0)*VLOOKUP('Données projet'!$B$10,Paramètres!$A$1:$I$89,5,0)</f>
        <v>-6.3550942286383367E-14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278.5296012747549</v>
      </c>
      <c r="AO61" s="59">
        <f t="shared" si="36"/>
        <v>370.55343097937077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213.58301960016803</v>
      </c>
      <c r="AV61" s="21">
        <f>EXP(-LN(2)/25)*AV60+(1-EXP(-LN(2)/25))/(LN(2)/25)*Calculateur!AQ61*Calculateur!AS61*VLOOKUP('Données projet'!$B$10,Paramètres!$A$1:$I$89,3,0)*0.475*44/12</f>
        <v>53.009876074403138</v>
      </c>
      <c r="AW61" s="21">
        <f>EXP(-LN(2)/2)*AW60+(1-EXP(-LN(2)/2))/(LN(2)/2)*AQ61*AT61*VLOOKUP('Données projet'!$B$10,Paramètres!$A$1:$I$89,3,0)*0.475*44/12</f>
        <v>12.077844857741541</v>
      </c>
      <c r="AX61" s="21">
        <f t="shared" si="6"/>
        <v>278.67074053231272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5.9646569646569647</v>
      </c>
      <c r="BD61" s="12">
        <f>IF('Données projet'!$A$88&gt;35,BD60+BC61-BL60,IF(A61&lt;'Données projet'!$A$88,$BA$205^A61,IF(A61='Données projet'!$A$88,'Données projet'!$B$88,BD60+BC61-BL60)))</f>
        <v>224.1257796257797</v>
      </c>
      <c r="BE61" s="13">
        <f>BD61*VLOOKUP('Données projet'!$B$11,Paramètres!$A$1:$I$89,3,0)*VLOOKUP('Données projet'!$B$11,Paramètres!$A$1:$I$89,5,0)</f>
        <v>104.89086486486489</v>
      </c>
      <c r="BF61" s="13">
        <f t="shared" si="37"/>
        <v>28.123920839522803</v>
      </c>
      <c r="BG61" s="20">
        <f t="shared" si="7"/>
        <v>231.66741843514191</v>
      </c>
      <c r="BH61" s="59">
        <f t="shared" si="8"/>
        <v>525.0007517684752</v>
      </c>
      <c r="BI61" s="59">
        <f ca="1">AVERAGE(OFFSET($BH$3,0,0,'Données projet'!$E$11+1,1))-AVERAGE(OFFSET($H$3,0,0,'Données projet'!$E$11+1,1))</f>
        <v>111.85541298746966</v>
      </c>
      <c r="BJ61" s="59">
        <f t="shared" si="38"/>
        <v>27.56942482401746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14.839560439560453</v>
      </c>
      <c r="BY61" s="12">
        <f>IF('Données projet'!$A$114&gt;35,BY60+BX61-CG60,IF(A61&lt;'Données projet'!$A$114,$BV$205^A61,IF(A61='Données projet'!$A$114,'Données projet'!$B$114,BY60+BX61-CG60)))</f>
        <v>381.51758241758233</v>
      </c>
      <c r="BZ61" s="13">
        <f>BY61*VLOOKUP('Données projet'!$B$12,Paramètres!$A$1:$I$89,3,0)*VLOOKUP('Données projet'!$B$12,Paramètres!$A$1:$I$89,5,0)</f>
        <v>213.26832857142853</v>
      </c>
      <c r="CA61" s="13">
        <f t="shared" si="39"/>
        <v>52.649154508451623</v>
      </c>
      <c r="CB61" s="20">
        <f t="shared" si="10"/>
        <v>463.13961636412455</v>
      </c>
      <c r="CC61" s="59">
        <f t="shared" si="11"/>
        <v>756.47294969745781</v>
      </c>
      <c r="CD61" s="59">
        <f ca="1">AVERAGE(OFFSET($CC$3,0,0,'Données projet'!$E$12+1,1))-AVERAGE(OFFSET($H$3,0,0,'Données projet'!$E$12+1,1))</f>
        <v>253.62423410951334</v>
      </c>
      <c r="CE61" s="59">
        <f t="shared" si="40"/>
        <v>230.93438491511529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71.967293674567088</v>
      </c>
      <c r="CL61" s="21">
        <f>EXP(-LN(2)/25)*CL60+(1-EXP(-LN(2)/25))/(LN(2)/25)*Calculateur!CG61*Calculateur!CI61*VLOOKUP('Données projet'!$B$12,Paramètres!$A$1:$I$89,3,0)*0.475*44/12</f>
        <v>26.409508288143023</v>
      </c>
      <c r="CM61" s="21">
        <f>EXP(-LN(2)/2)*CM60+(1-EXP(-LN(2)/2))/(LN(2)/2)*CG61*CJ61*VLOOKUP('Données projet'!$B$12,Paramètres!$A$1:$I$89,3,0)*0.475*44/12</f>
        <v>3.5321174271829867</v>
      </c>
      <c r="CN61" s="22">
        <f t="shared" si="12"/>
        <v>101.9089193898931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13.723076923076924</v>
      </c>
      <c r="N62" s="13">
        <f>IF('Données projet'!$A$36&gt;35,N61+M62-V61,IF(A62&lt;'Données projet'!$A$36,$K$205^A62,IF(A62='Données projet'!$A$36,'Données projet'!$B$36,N61+M62-V61)))</f>
        <v>296.730769230769</v>
      </c>
      <c r="O62" s="13">
        <f>N62*VLOOKUP('Données projet'!$B$9,Paramètres!$A$1:$I$89,3,0)*VLOOKUP('Données projet'!$B$9,Paramètres!$A$1:$I$89,5,0)</f>
        <v>138.86999999999989</v>
      </c>
      <c r="P62" s="13">
        <f t="shared" si="33"/>
        <v>36.038016391479765</v>
      </c>
      <c r="Q62" s="20">
        <f t="shared" si="53"/>
        <v>304.63146188182708</v>
      </c>
      <c r="R62" s="59">
        <f t="shared" si="0"/>
        <v>597.96479521516039</v>
      </c>
      <c r="S62" s="59">
        <f ca="1">AVERAGE(OFFSET($R$3,0,0,'Données projet'!$E$9+1,1))-AVERAGE(OFFSET($H$3,0,0,'Données projet'!$E$9+1,1))</f>
        <v>190.74210845597287</v>
      </c>
      <c r="T62" s="59">
        <f t="shared" si="34"/>
        <v>131.88015896015884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38.954290047930641</v>
      </c>
      <c r="AA62" s="21">
        <f>EXP(-LN(2)/25)*AA61+(1-EXP(-LN(2)/25))/(LN(2)/25)*Calculateur!V62*Calculateur!X62*VLOOKUP('Données projet'!$B$9,Paramètres!$A$1:$I$89,3,0)*0.475*44/12</f>
        <v>21.426156736336914</v>
      </c>
      <c r="AB62" s="21">
        <f>EXP(-LN(2)/2)*AB61+(1-EXP(-LN(2)/2))/(LN(2)/2)*V62*Y62*VLOOKUP('Données projet'!$B$9,Paramètres!$A$1:$I$89,3,0)*0.475*44/12</f>
        <v>4.3510657448872401</v>
      </c>
      <c r="AC62" s="22">
        <f t="shared" si="3"/>
        <v>64.731512529154799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-1.1368683772161603E-13</v>
      </c>
      <c r="AJ62" s="13">
        <f>AI62*VLOOKUP('Données projet'!$B$10,Paramètres!$A$1:$I$89,3,0)*VLOOKUP('Données projet'!$B$10,Paramètres!$A$1:$I$89,5,0)</f>
        <v>-6.3550942286383367E-14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278.5296012747549</v>
      </c>
      <c r="AO62" s="59">
        <f t="shared" si="36"/>
        <v>370.55343097937077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209.39478685858731</v>
      </c>
      <c r="AV62" s="21">
        <f>EXP(-LN(2)/25)*AV61+(1-EXP(-LN(2)/25))/(LN(2)/25)*Calculateur!AQ62*Calculateur!AS62*VLOOKUP('Données projet'!$B$10,Paramètres!$A$1:$I$89,3,0)*0.475*44/12</f>
        <v>51.560318225480358</v>
      </c>
      <c r="AW62" s="21">
        <f>EXP(-LN(2)/2)*AW61+(1-EXP(-LN(2)/2))/(LN(2)/2)*AQ62*AT62*VLOOKUP('Données projet'!$B$10,Paramètres!$A$1:$I$89,3,0)*0.475*44/12</f>
        <v>8.5403260010281166</v>
      </c>
      <c r="AX62" s="21">
        <f t="shared" si="6"/>
        <v>269.49543108509579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5.9646569646569647</v>
      </c>
      <c r="BD62" s="12">
        <f>IF('Données projet'!$A$88&gt;35,BD61+BC62-BL61,IF(A62&lt;'Données projet'!$A$88,$BA$205^A62,IF(A62='Données projet'!$A$88,'Données projet'!$B$88,BD61+BC62-BL61)))</f>
        <v>230.09043659043667</v>
      </c>
      <c r="BE62" s="13">
        <f>BD62*VLOOKUP('Données projet'!$B$11,Paramètres!$A$1:$I$89,3,0)*VLOOKUP('Données projet'!$B$11,Paramètres!$A$1:$I$89,5,0)</f>
        <v>107.68232432432437</v>
      </c>
      <c r="BF62" s="13">
        <f t="shared" si="37"/>
        <v>28.784247181383073</v>
      </c>
      <c r="BG62" s="20">
        <f t="shared" si="7"/>
        <v>237.67927870577375</v>
      </c>
      <c r="BH62" s="59">
        <f t="shared" si="8"/>
        <v>531.01261203910713</v>
      </c>
      <c r="BI62" s="59">
        <f ca="1">AVERAGE(OFFSET($BH$3,0,0,'Données projet'!$E$11+1,1))-AVERAGE(OFFSET($H$3,0,0,'Données projet'!$E$11+1,1))</f>
        <v>111.85541298746966</v>
      </c>
      <c r="BJ62" s="59">
        <f t="shared" si="38"/>
        <v>27.56942482401746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14.839560439560453</v>
      </c>
      <c r="BY62" s="12">
        <f>IF('Données projet'!$A$114&gt;35,BY61+BX62-CG61,IF(A62&lt;'Données projet'!$A$114,$BV$205^A62,IF(A62='Données projet'!$A$114,'Données projet'!$B$114,BY61+BX62-CG61)))</f>
        <v>396.35714285714278</v>
      </c>
      <c r="BZ62" s="13">
        <f>BY62*VLOOKUP('Données projet'!$B$12,Paramètres!$A$1:$I$89,3,0)*VLOOKUP('Données projet'!$B$12,Paramètres!$A$1:$I$89,5,0)</f>
        <v>221.56364285714281</v>
      </c>
      <c r="CA62" s="13">
        <f t="shared" si="39"/>
        <v>54.45459555983345</v>
      </c>
      <c r="CB62" s="20">
        <f t="shared" si="10"/>
        <v>480.73176524290034</v>
      </c>
      <c r="CC62" s="59">
        <f t="shared" si="11"/>
        <v>774.06509857623359</v>
      </c>
      <c r="CD62" s="59">
        <f ca="1">AVERAGE(OFFSET($CC$3,0,0,'Données projet'!$E$12+1,1))-AVERAGE(OFFSET($H$3,0,0,'Données projet'!$E$12+1,1))</f>
        <v>253.62423410951334</v>
      </c>
      <c r="CE62" s="59">
        <f t="shared" si="40"/>
        <v>230.93438491511529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70.556058941323627</v>
      </c>
      <c r="CL62" s="21">
        <f>EXP(-LN(2)/25)*CL61+(1-EXP(-LN(2)/25))/(LN(2)/25)*Calculateur!CG62*Calculateur!CI62*VLOOKUP('Données projet'!$B$12,Paramètres!$A$1:$I$89,3,0)*0.475*44/12</f>
        <v>25.68733889518807</v>
      </c>
      <c r="CM62" s="21">
        <f>EXP(-LN(2)/2)*CM61+(1-EXP(-LN(2)/2))/(LN(2)/2)*CG62*CJ62*VLOOKUP('Données projet'!$B$12,Paramètres!$A$1:$I$89,3,0)*0.475*44/12</f>
        <v>2.4975841847082716</v>
      </c>
      <c r="CN62" s="22">
        <f t="shared" si="12"/>
        <v>98.740982021219963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13.723076923076924</v>
      </c>
      <c r="N63" s="13">
        <f>IF('Données projet'!$A$36&gt;35,N62+M63-V62,IF(A63&lt;'Données projet'!$A$36,$K$205^A63,IF(A63='Données projet'!$A$36,'Données projet'!$B$36,N62+M63-V62)))</f>
        <v>310.45384615384592</v>
      </c>
      <c r="O63" s="13">
        <f>N63*VLOOKUP('Données projet'!$B$9,Paramètres!$A$1:$I$89,3,0)*VLOOKUP('Données projet'!$B$9,Paramètres!$A$1:$I$89,5,0)</f>
        <v>145.29239999999987</v>
      </c>
      <c r="P63" s="13">
        <f t="shared" si="33"/>
        <v>37.506789343413246</v>
      </c>
      <c r="Q63" s="20">
        <f t="shared" si="53"/>
        <v>318.37525477311118</v>
      </c>
      <c r="R63" s="59">
        <f t="shared" si="0"/>
        <v>611.70858810644449</v>
      </c>
      <c r="S63" s="59">
        <f ca="1">AVERAGE(OFFSET($R$3,0,0,'Données projet'!$E$9+1,1))-AVERAGE(OFFSET($H$3,0,0,'Données projet'!$E$9+1,1))</f>
        <v>190.74210845597287</v>
      </c>
      <c r="T63" s="59">
        <f t="shared" si="34"/>
        <v>131.88015896015884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38.190420179861569</v>
      </c>
      <c r="AA63" s="21">
        <f>EXP(-LN(2)/25)*AA62+(1-EXP(-LN(2)/25))/(LN(2)/25)*Calculateur!V63*Calculateur!X63*VLOOKUP('Données projet'!$B$9,Paramètres!$A$1:$I$89,3,0)*0.475*44/12</f>
        <v>20.84025735362917</v>
      </c>
      <c r="AB63" s="21">
        <f>EXP(-LN(2)/2)*AB62+(1-EXP(-LN(2)/2))/(LN(2)/2)*V63*Y63*VLOOKUP('Données projet'!$B$9,Paramètres!$A$1:$I$89,3,0)*0.475*44/12</f>
        <v>3.0766680935982644</v>
      </c>
      <c r="AC63" s="22">
        <f t="shared" si="3"/>
        <v>62.107345627089003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-1.1368683772161603E-13</v>
      </c>
      <c r="AJ63" s="13">
        <f>AI63*VLOOKUP('Données projet'!$B$10,Paramètres!$A$1:$I$89,3,0)*VLOOKUP('Données projet'!$B$10,Paramètres!$A$1:$I$89,5,0)</f>
        <v>-6.3550942286383367E-14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278.5296012747549</v>
      </c>
      <c r="AO63" s="59">
        <f t="shared" si="36"/>
        <v>370.55343097937077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205.28868280649928</v>
      </c>
      <c r="AV63" s="21">
        <f>EXP(-LN(2)/25)*AV62+(1-EXP(-LN(2)/25))/(LN(2)/25)*Calculateur!AQ63*Calculateur!AS63*VLOOKUP('Données projet'!$B$10,Paramètres!$A$1:$I$89,3,0)*0.475*44/12</f>
        <v>50.150398612165304</v>
      </c>
      <c r="AW63" s="21">
        <f>EXP(-LN(2)/2)*AW62+(1-EXP(-LN(2)/2))/(LN(2)/2)*AQ63*AT63*VLOOKUP('Données projet'!$B$10,Paramètres!$A$1:$I$89,3,0)*0.475*44/12</f>
        <v>6.0389224288707712</v>
      </c>
      <c r="AX63" s="21">
        <f t="shared" si="6"/>
        <v>261.47800384753538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5.9646569646569647</v>
      </c>
      <c r="BD63" s="12">
        <f>IF('Données projet'!$A$88&gt;35,BD62+BC63-BL62,IF(A63&lt;'Données projet'!$A$88,$BA$205^A63,IF(A63='Données projet'!$A$88,'Données projet'!$B$88,BD62+BC63-BL62)))</f>
        <v>236.05509355509363</v>
      </c>
      <c r="BE63" s="13">
        <f>BD63*VLOOKUP('Données projet'!$B$11,Paramètres!$A$1:$I$89,3,0)*VLOOKUP('Données projet'!$B$11,Paramètres!$A$1:$I$89,5,0)</f>
        <v>110.47378378378382</v>
      </c>
      <c r="BF63" s="13">
        <f t="shared" si="37"/>
        <v>29.442583790041276</v>
      </c>
      <c r="BG63" s="20">
        <f t="shared" si="7"/>
        <v>243.68767352441202</v>
      </c>
      <c r="BH63" s="59">
        <f t="shared" si="8"/>
        <v>537.02100685774531</v>
      </c>
      <c r="BI63" s="59">
        <f ca="1">AVERAGE(OFFSET($BH$3,0,0,'Données projet'!$E$11+1,1))-AVERAGE(OFFSET($H$3,0,0,'Données projet'!$E$11+1,1))</f>
        <v>111.85541298746966</v>
      </c>
      <c r="BJ63" s="59">
        <f t="shared" si="38"/>
        <v>27.56942482401746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14.839560439560453</v>
      </c>
      <c r="BY63" s="12">
        <f>IF('Données projet'!$A$114&gt;35,BY62+BX63-CG62,IF(A63&lt;'Données projet'!$A$114,$BV$205^A63,IF(A63='Données projet'!$A$114,'Données projet'!$B$114,BY62+BX63-CG62)))</f>
        <v>411.19670329670322</v>
      </c>
      <c r="BZ63" s="13">
        <f>BY63*VLOOKUP('Données projet'!$B$12,Paramètres!$A$1:$I$89,3,0)*VLOOKUP('Données projet'!$B$12,Paramètres!$A$1:$I$89,5,0)</f>
        <v>229.85895714285712</v>
      </c>
      <c r="CA63" s="13">
        <f t="shared" si="39"/>
        <v>56.252183679167004</v>
      </c>
      <c r="CB63" s="20">
        <f t="shared" si="10"/>
        <v>498.31023693169203</v>
      </c>
      <c r="CC63" s="59">
        <f t="shared" si="11"/>
        <v>791.64357026502535</v>
      </c>
      <c r="CD63" s="59">
        <f ca="1">AVERAGE(OFFSET($CC$3,0,0,'Données projet'!$E$12+1,1))-AVERAGE(OFFSET($H$3,0,0,'Données projet'!$E$12+1,1))</f>
        <v>253.62423410951334</v>
      </c>
      <c r="CE63" s="59">
        <f t="shared" si="40"/>
        <v>230.93438491511529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69.172497660430878</v>
      </c>
      <c r="CL63" s="21">
        <f>EXP(-LN(2)/25)*CL62+(1-EXP(-LN(2)/25))/(LN(2)/25)*Calculateur!CG63*Calculateur!CI63*VLOOKUP('Données projet'!$B$12,Paramètres!$A$1:$I$89,3,0)*0.475*44/12</f>
        <v>24.984917262260709</v>
      </c>
      <c r="CM63" s="21">
        <f>EXP(-LN(2)/2)*CM62+(1-EXP(-LN(2)/2))/(LN(2)/2)*CG63*CJ63*VLOOKUP('Données projet'!$B$12,Paramètres!$A$1:$I$89,3,0)*0.475*44/12</f>
        <v>1.7660587135914936</v>
      </c>
      <c r="CN63" s="22">
        <f t="shared" si="12"/>
        <v>95.923473636283077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13.723076923076924</v>
      </c>
      <c r="N64" s="13">
        <f>IF('Données projet'!$A$36&gt;35,N63+M64-V63,IF(A64&lt;'Données projet'!$A$36,$K$205^A64,IF(A64='Données projet'!$A$36,'Données projet'!$B$36,N63+M64-V63)))</f>
        <v>324.17692307692283</v>
      </c>
      <c r="O64" s="13">
        <f>N64*VLOOKUP('Données projet'!$B$9,Paramètres!$A$1:$I$89,3,0)*VLOOKUP('Données projet'!$B$9,Paramètres!$A$1:$I$89,5,0)</f>
        <v>151.71479999999988</v>
      </c>
      <c r="P64" s="13">
        <f t="shared" si="33"/>
        <v>38.968021890349831</v>
      </c>
      <c r="Q64" s="20">
        <f t="shared" si="53"/>
        <v>332.1059147923591</v>
      </c>
      <c r="R64" s="59">
        <f t="shared" si="0"/>
        <v>625.43924812569242</v>
      </c>
      <c r="S64" s="59">
        <f ca="1">AVERAGE(OFFSET($R$3,0,0,'Données projet'!$E$9+1,1))-AVERAGE(OFFSET($H$3,0,0,'Données projet'!$E$9+1,1))</f>
        <v>190.74210845597287</v>
      </c>
      <c r="T64" s="59">
        <f t="shared" si="34"/>
        <v>131.88015896015884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37.441529333990715</v>
      </c>
      <c r="AA64" s="21">
        <f>EXP(-LN(2)/25)*AA63+(1-EXP(-LN(2)/25))/(LN(2)/25)*Calculateur!V64*Calculateur!X64*VLOOKUP('Données projet'!$B$9,Paramètres!$A$1:$I$89,3,0)*0.475*44/12</f>
        <v>20.270379420352675</v>
      </c>
      <c r="AB64" s="21">
        <f>EXP(-LN(2)/2)*AB63+(1-EXP(-LN(2)/2))/(LN(2)/2)*V64*Y64*VLOOKUP('Données projet'!$B$9,Paramètres!$A$1:$I$89,3,0)*0.475*44/12</f>
        <v>2.1755328724436205</v>
      </c>
      <c r="AC64" s="22">
        <f t="shared" si="3"/>
        <v>59.887441626787009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-1.1368683772161603E-13</v>
      </c>
      <c r="AJ64" s="13">
        <f>AI64*VLOOKUP('Données projet'!$B$10,Paramètres!$A$1:$I$89,3,0)*VLOOKUP('Données projet'!$B$10,Paramètres!$A$1:$I$89,5,0)</f>
        <v>-6.3550942286383367E-14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278.5296012747549</v>
      </c>
      <c r="AO64" s="59">
        <f t="shared" si="36"/>
        <v>370.55343097937077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201.26309695039652</v>
      </c>
      <c r="AV64" s="21">
        <f>EXP(-LN(2)/25)*AV63+(1-EXP(-LN(2)/25))/(LN(2)/25)*Calculateur!AQ64*Calculateur!AS64*VLOOKUP('Données projet'!$B$10,Paramètres!$A$1:$I$89,3,0)*0.475*44/12</f>
        <v>48.779033324820801</v>
      </c>
      <c r="AW64" s="21">
        <f>EXP(-LN(2)/2)*AW63+(1-EXP(-LN(2)/2))/(LN(2)/2)*AQ64*AT64*VLOOKUP('Données projet'!$B$10,Paramètres!$A$1:$I$89,3,0)*0.475*44/12</f>
        <v>4.2701630005140592</v>
      </c>
      <c r="AX64" s="21">
        <f t="shared" si="6"/>
        <v>254.31229327573138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5.9646569646569647</v>
      </c>
      <c r="BD64" s="12">
        <f>IF('Données projet'!$A$88&gt;35,BD63+BC64-BL63,IF(A64&lt;'Données projet'!$A$88,$BA$205^A64,IF(A64='Données projet'!$A$88,'Données projet'!$B$88,BD63+BC64-BL63)))</f>
        <v>242.0197505197506</v>
      </c>
      <c r="BE64" s="13">
        <f>BD64*VLOOKUP('Données projet'!$B$11,Paramètres!$A$1:$I$89,3,0)*VLOOKUP('Données projet'!$B$11,Paramètres!$A$1:$I$89,5,0)</f>
        <v>113.26524324324329</v>
      </c>
      <c r="BF64" s="13">
        <f t="shared" si="37"/>
        <v>30.098986724035441</v>
      </c>
      <c r="BG64" s="20">
        <f t="shared" si="7"/>
        <v>249.69270052634377</v>
      </c>
      <c r="BH64" s="59">
        <f t="shared" si="8"/>
        <v>543.02603385967711</v>
      </c>
      <c r="BI64" s="59">
        <f ca="1">AVERAGE(OFFSET($BH$3,0,0,'Données projet'!$E$11+1,1))-AVERAGE(OFFSET($H$3,0,0,'Données projet'!$E$11+1,1))</f>
        <v>111.85541298746966</v>
      </c>
      <c r="BJ64" s="59">
        <f t="shared" si="38"/>
        <v>27.56942482401746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14.839560439560453</v>
      </c>
      <c r="BY64" s="12">
        <f>IF('Données projet'!$A$114&gt;35,BY63+BX64-CG63,IF(A64&lt;'Données projet'!$A$114,$BV$205^A64,IF(A64='Données projet'!$A$114,'Données projet'!$B$114,BY63+BX64-CG63)))</f>
        <v>426.03626373626366</v>
      </c>
      <c r="BZ64" s="13">
        <f>BY64*VLOOKUP('Données projet'!$B$12,Paramètres!$A$1:$I$89,3,0)*VLOOKUP('Données projet'!$B$12,Paramètres!$A$1:$I$89,5,0)</f>
        <v>238.15427142857138</v>
      </c>
      <c r="CA64" s="13">
        <f t="shared" si="39"/>
        <v>58.042234732541061</v>
      </c>
      <c r="CB64" s="20">
        <f t="shared" si="10"/>
        <v>515.87558156393754</v>
      </c>
      <c r="CC64" s="59">
        <f t="shared" si="11"/>
        <v>809.20891489727092</v>
      </c>
      <c r="CD64" s="59">
        <f ca="1">AVERAGE(OFFSET($CC$3,0,0,'Données projet'!$E$12+1,1))-AVERAGE(OFFSET($H$3,0,0,'Données projet'!$E$12+1,1))</f>
        <v>253.62423410951334</v>
      </c>
      <c r="CE64" s="59">
        <f t="shared" si="40"/>
        <v>230.93438491511529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67.816067172367383</v>
      </c>
      <c r="CL64" s="21">
        <f>EXP(-LN(2)/25)*CL63+(1-EXP(-LN(2)/25))/(LN(2)/25)*Calculateur!CG64*Calculateur!CI64*VLOOKUP('Données projet'!$B$12,Paramètres!$A$1:$I$89,3,0)*0.475*44/12</f>
        <v>24.301703385824496</v>
      </c>
      <c r="CM64" s="21">
        <f>EXP(-LN(2)/2)*CM63+(1-EXP(-LN(2)/2))/(LN(2)/2)*CG64*CJ64*VLOOKUP('Données projet'!$B$12,Paramètres!$A$1:$I$89,3,0)*0.475*44/12</f>
        <v>1.248792092354136</v>
      </c>
      <c r="CN64" s="22">
        <f t="shared" si="12"/>
        <v>93.366562650546015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13.723076923076924</v>
      </c>
      <c r="N65" s="13">
        <f>IF('Données projet'!$A$36&gt;35,N64+M65-V64,IF(A65&lt;'Données projet'!$A$36,$K$205^A65,IF(A65='Données projet'!$A$36,'Données projet'!$B$36,N64+M65-V64)))</f>
        <v>337.89999999999975</v>
      </c>
      <c r="O65" s="13">
        <f>N65*VLOOKUP('Données projet'!$B$9,Paramètres!$A$1:$I$89,3,0)*VLOOKUP('Données projet'!$B$9,Paramètres!$A$1:$I$89,5,0)</f>
        <v>158.13719999999989</v>
      </c>
      <c r="P65" s="13">
        <f t="shared" si="33"/>
        <v>40.422069728367696</v>
      </c>
      <c r="Q65" s="20">
        <f t="shared" si="53"/>
        <v>345.82406144357356</v>
      </c>
      <c r="R65" s="59">
        <f t="shared" si="0"/>
        <v>639.15739477690681</v>
      </c>
      <c r="S65" s="59">
        <f ca="1">AVERAGE(OFFSET($R$3,0,0,'Données projet'!$E$9+1,1))-AVERAGE(OFFSET($H$3,0,0,'Données projet'!$E$9+1,1))</f>
        <v>190.74210845597287</v>
      </c>
      <c r="T65" s="59">
        <f t="shared" si="34"/>
        <v>131.88015896015884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36.707323780829078</v>
      </c>
      <c r="AA65" s="21">
        <f>EXP(-LN(2)/25)*AA64+(1-EXP(-LN(2)/25))/(LN(2)/25)*Calculateur!V65*Calculateur!X65*VLOOKUP('Données projet'!$B$9,Paramètres!$A$1:$I$89,3,0)*0.475*44/12</f>
        <v>19.716084829130207</v>
      </c>
      <c r="AB65" s="21">
        <f>EXP(-LN(2)/2)*AB64+(1-EXP(-LN(2)/2))/(LN(2)/2)*V65*Y65*VLOOKUP('Données projet'!$B$9,Paramètres!$A$1:$I$89,3,0)*0.475*44/12</f>
        <v>1.5383340467991324</v>
      </c>
      <c r="AC65" s="22">
        <f t="shared" si="3"/>
        <v>57.961742656758418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-1.1368683772161603E-13</v>
      </c>
      <c r="AJ65" s="13">
        <f>AI65*VLOOKUP('Données projet'!$B$10,Paramètres!$A$1:$I$89,3,0)*VLOOKUP('Données projet'!$B$10,Paramètres!$A$1:$I$89,5,0)</f>
        <v>-6.3550942286383367E-14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278.5296012747549</v>
      </c>
      <c r="AO65" s="59">
        <f t="shared" si="36"/>
        <v>370.55343097937077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197.31645037756701</v>
      </c>
      <c r="AV65" s="21">
        <f>EXP(-LN(2)/25)*AV64+(1-EXP(-LN(2)/25))/(LN(2)/25)*Calculateur!AQ65*Calculateur!AS65*VLOOKUP('Données projet'!$B$10,Paramètres!$A$1:$I$89,3,0)*0.475*44/12</f>
        <v>47.445168093375699</v>
      </c>
      <c r="AW65" s="21">
        <f>EXP(-LN(2)/2)*AW64+(1-EXP(-LN(2)/2))/(LN(2)/2)*AQ65*AT65*VLOOKUP('Données projet'!$B$10,Paramètres!$A$1:$I$89,3,0)*0.475*44/12</f>
        <v>3.0194612144353861</v>
      </c>
      <c r="AX65" s="21">
        <f t="shared" si="6"/>
        <v>247.7810796853781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5.9646569646569647</v>
      </c>
      <c r="BD65" s="12">
        <f>IF('Données projet'!$A$88&gt;35,BD64+BC65-BL64,IF(A65&lt;'Données projet'!$A$88,$BA$205^A65,IF(A65='Données projet'!$A$88,'Données projet'!$B$88,BD64+BC65-BL64)))</f>
        <v>247.98440748440757</v>
      </c>
      <c r="BE65" s="13">
        <f>BD65*VLOOKUP('Données projet'!$B$11,Paramètres!$A$1:$I$89,3,0)*VLOOKUP('Données projet'!$B$11,Paramètres!$A$1:$I$89,5,0)</f>
        <v>116.05670270270274</v>
      </c>
      <c r="BF65" s="13">
        <f t="shared" si="37"/>
        <v>30.753509121224063</v>
      </c>
      <c r="BG65" s="20">
        <f t="shared" si="7"/>
        <v>255.69445226000585</v>
      </c>
      <c r="BH65" s="59">
        <f t="shared" si="8"/>
        <v>549.0277855933391</v>
      </c>
      <c r="BI65" s="59">
        <f ca="1">AVERAGE(OFFSET($BH$3,0,0,'Données projet'!$E$11+1,1))-AVERAGE(OFFSET($H$3,0,0,'Données projet'!$E$11+1,1))</f>
        <v>111.85541298746966</v>
      </c>
      <c r="BJ65" s="59">
        <f t="shared" si="38"/>
        <v>27.56942482401746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14.839560439560453</v>
      </c>
      <c r="BY65" s="12">
        <f>IF('Données projet'!$A$114&gt;35,BY64+BX65-CG64,IF(A65&lt;'Données projet'!$A$114,$BV$205^A65,IF(A65='Données projet'!$A$114,'Données projet'!$B$114,BY64+BX65-CG64)))</f>
        <v>440.87582417582411</v>
      </c>
      <c r="BZ65" s="13">
        <f>BY65*VLOOKUP('Données projet'!$B$12,Paramètres!$A$1:$I$89,3,0)*VLOOKUP('Données projet'!$B$12,Paramètres!$A$1:$I$89,5,0)</f>
        <v>246.44958571428569</v>
      </c>
      <c r="CA65" s="13">
        <f t="shared" si="39"/>
        <v>59.825041333918982</v>
      </c>
      <c r="CB65" s="20">
        <f t="shared" si="10"/>
        <v>533.42830877562312</v>
      </c>
      <c r="CC65" s="59">
        <f t="shared" si="11"/>
        <v>826.76164210895649</v>
      </c>
      <c r="CD65" s="59">
        <f ca="1">AVERAGE(OFFSET($CC$3,0,0,'Données projet'!$E$12+1,1))-AVERAGE(OFFSET($H$3,0,0,'Données projet'!$E$12+1,1))</f>
        <v>253.62423410951334</v>
      </c>
      <c r="CE65" s="59">
        <f t="shared" si="40"/>
        <v>230.93438491511529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66.486235458833903</v>
      </c>
      <c r="CL65" s="21">
        <f>EXP(-LN(2)/25)*CL64+(1-EXP(-LN(2)/25))/(LN(2)/25)*Calculateur!CG65*Calculateur!CI65*VLOOKUP('Données projet'!$B$12,Paramètres!$A$1:$I$89,3,0)*0.475*44/12</f>
        <v>23.637172028768084</v>
      </c>
      <c r="CM65" s="21">
        <f>EXP(-LN(2)/2)*CM64+(1-EXP(-LN(2)/2))/(LN(2)/2)*CG65*CJ65*VLOOKUP('Données projet'!$B$12,Paramètres!$A$1:$I$89,3,0)*0.475*44/12</f>
        <v>0.88302935679574701</v>
      </c>
      <c r="CN65" s="22">
        <f t="shared" si="12"/>
        <v>91.006436844397726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13.723076923076924</v>
      </c>
      <c r="N66" s="13">
        <f>IF('Données projet'!$A$36&gt;35,N65+M66-V65,IF(A66&lt;'Données projet'!$A$36,$K$205^A66,IF(A66='Données projet'!$A$36,'Données projet'!$B$36,N65+M66-V65)))</f>
        <v>351.62307692307667</v>
      </c>
      <c r="O66" s="13">
        <f>N66*VLOOKUP('Données projet'!$B$9,Paramètres!$A$1:$I$89,3,0)*VLOOKUP('Données projet'!$B$9,Paramètres!$A$1:$I$89,5,0)</f>
        <v>164.55959999999988</v>
      </c>
      <c r="P66" s="13">
        <f t="shared" si="33"/>
        <v>41.869258026833585</v>
      </c>
      <c r="Q66" s="20">
        <f t="shared" si="53"/>
        <v>359.53026106340167</v>
      </c>
      <c r="R66" s="59">
        <f t="shared" si="0"/>
        <v>652.86359439673492</v>
      </c>
      <c r="S66" s="59">
        <f ca="1">AVERAGE(OFFSET($R$3,0,0,'Données projet'!$E$9+1,1))-AVERAGE(OFFSET($H$3,0,0,'Données projet'!$E$9+1,1))</f>
        <v>190.74210845597287</v>
      </c>
      <c r="T66" s="59">
        <f t="shared" si="34"/>
        <v>131.88015896015884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35.987515550743773</v>
      </c>
      <c r="AA66" s="21">
        <f>EXP(-LN(2)/25)*AA65+(1-EXP(-LN(2)/25))/(LN(2)/25)*Calculateur!V66*Calculateur!X66*VLOOKUP('Données projet'!$B$9,Paramètres!$A$1:$I$89,3,0)*0.475*44/12</f>
        <v>19.176947452653803</v>
      </c>
      <c r="AB66" s="21">
        <f>EXP(-LN(2)/2)*AB65+(1-EXP(-LN(2)/2))/(LN(2)/2)*V66*Y66*VLOOKUP('Données projet'!$B$9,Paramètres!$A$1:$I$89,3,0)*0.475*44/12</f>
        <v>1.0877664362218105</v>
      </c>
      <c r="AC66" s="22">
        <f t="shared" si="3"/>
        <v>56.252229439619384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-1.1368683772161603E-13</v>
      </c>
      <c r="AJ66" s="13">
        <f>AI66*VLOOKUP('Données projet'!$B$10,Paramètres!$A$1:$I$89,3,0)*VLOOKUP('Données projet'!$B$10,Paramètres!$A$1:$I$89,5,0)</f>
        <v>-6.3550942286383367E-14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278.5296012747549</v>
      </c>
      <c r="AO66" s="59">
        <f t="shared" si="36"/>
        <v>370.55343097937077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193.44719513681397</v>
      </c>
      <c r="AV66" s="21">
        <f>EXP(-LN(2)/25)*AV65+(1-EXP(-LN(2)/25))/(LN(2)/25)*Calculateur!AQ66*Calculateur!AS66*VLOOKUP('Données projet'!$B$10,Paramètres!$A$1:$I$89,3,0)*0.475*44/12</f>
        <v>46.14777747682939</v>
      </c>
      <c r="AW66" s="21">
        <f>EXP(-LN(2)/2)*AW65+(1-EXP(-LN(2)/2))/(LN(2)/2)*AQ66*AT66*VLOOKUP('Données projet'!$B$10,Paramètres!$A$1:$I$89,3,0)*0.475*44/12</f>
        <v>2.1350815002570296</v>
      </c>
      <c r="AX66" s="21">
        <f t="shared" si="6"/>
        <v>241.73005411390039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5.9646569646569647</v>
      </c>
      <c r="BD66" s="12">
        <f>IF('Données projet'!$A$88&gt;35,BD65+BC66-BL65,IF(A66&lt;'Données projet'!$A$88,$BA$205^A66,IF(A66='Données projet'!$A$88,'Données projet'!$B$88,BD65+BC66-BL65)))</f>
        <v>253.94906444906454</v>
      </c>
      <c r="BE66" s="13">
        <f>BD66*VLOOKUP('Données projet'!$B$11,Paramètres!$A$1:$I$89,3,0)*VLOOKUP('Données projet'!$B$11,Paramètres!$A$1:$I$89,5,0)</f>
        <v>118.84816216216221</v>
      </c>
      <c r="BF66" s="13">
        <f t="shared" si="37"/>
        <v>31.40620141749125</v>
      </c>
      <c r="BG66" s="20">
        <f t="shared" si="7"/>
        <v>261.69301656789645</v>
      </c>
      <c r="BH66" s="59">
        <f t="shared" si="8"/>
        <v>555.02634990122976</v>
      </c>
      <c r="BI66" s="59">
        <f ca="1">AVERAGE(OFFSET($BH$3,0,0,'Données projet'!$E$11+1,1))-AVERAGE(OFFSET($H$3,0,0,'Données projet'!$E$11+1,1))</f>
        <v>111.85541298746966</v>
      </c>
      <c r="BJ66" s="59">
        <f t="shared" si="38"/>
        <v>27.56942482401746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455.71538461538466</v>
      </c>
      <c r="BW66" s="12">
        <f>VLOOKUP(A66,'Données projet'!$A$113:$I$133,9,0)</f>
        <v>14.839560439560453</v>
      </c>
      <c r="BX66" s="12">
        <f t="array" ref="BX66">INDEX(BW:BW,MIN(IF(ISNUMBER(BW66:BW262),ROW(BW66:BW262),"")))</f>
        <v>14.839560439560453</v>
      </c>
      <c r="BY66" s="12">
        <f>IF('Données projet'!$A$114&gt;35,BY65+BX66-CG65,IF(A66&lt;'Données projet'!$A$114,$BV$205^A66,IF(A66='Données projet'!$A$114,'Données projet'!$B$114,BY65+BX66-CG65)))</f>
        <v>455.71538461538455</v>
      </c>
      <c r="BZ66" s="13">
        <f>BY66*VLOOKUP('Données projet'!$B$12,Paramètres!$A$1:$I$89,3,0)*VLOOKUP('Données projet'!$B$12,Paramètres!$A$1:$I$89,5,0)</f>
        <v>254.74489999999997</v>
      </c>
      <c r="CA66" s="13">
        <f t="shared" si="39"/>
        <v>61.600875281297732</v>
      </c>
      <c r="CB66" s="20">
        <f t="shared" si="10"/>
        <v>550.96889194826019</v>
      </c>
      <c r="CC66" s="59">
        <f t="shared" si="11"/>
        <v>844.30222528159356</v>
      </c>
      <c r="CD66" s="59">
        <f ca="1">AVERAGE(OFFSET($CC$3,0,0,'Données projet'!$E$12+1,1))-AVERAGE(OFFSET($H$3,0,0,'Données projet'!$E$12+1,1))</f>
        <v>253.62423410951334</v>
      </c>
      <c r="CE66" s="59">
        <f t="shared" si="40"/>
        <v>230.93438491511529</v>
      </c>
      <c r="CF66" s="15">
        <f>IF(ISNA(VLOOKUP(A66,'Données projet'!$A$113:$I$133,3,0)),0,VLOOKUP(A66,'Données projet'!$A$113:$I$133,3,0))</f>
        <v>7</v>
      </c>
      <c r="CG66" s="15">
        <f>IF(ISNA(VLOOKUP(A66,'Données projet'!$A$113:$I$133,4,0)),0,VLOOKUP(A66,'Données projet'!$A$113:$I$133,4,0))</f>
        <v>79.723076923076917</v>
      </c>
      <c r="CH66" s="16">
        <f>IF(ISNA(VLOOKUP(A66,'Données projet'!$A$113:$I$133,5,0)),0%,VLOOKUP(A66,'Données projet'!$A$113:$I$133,5,0)*VLOOKUP('Données projet'!$B$12,Paramètres!$A$1:$I$89,7,0))</f>
        <v>0.38500000000000001</v>
      </c>
      <c r="CI66" s="16">
        <f>IF(ISNA(VLOOKUP(A66,'Données projet'!$A$113:$I$133,6,0)),0%,VLOOKUP(A66,'Données projet'!$A$113:$I$133,6,0)*VLOOKUP('Données projet'!$B$12,Paramètres!$A$1:$I$89,7,0))</f>
        <v>9.240000000000001E-2</v>
      </c>
      <c r="CJ66" s="16">
        <f>IF(ISNA(VLOOKUP(A66,'Données projet'!$A$113:$I$133,7,0)),0%,VLOOKUP(A66,'Données projet'!$A$113:$I$133,7,0))</f>
        <v>0.13200000000000001</v>
      </c>
      <c r="CK66" s="21">
        <f>EXP(-LN(2)/35)*CK65+(1-EXP(-LN(2)/35))/(LN(2)/35)*CG66*CH66*VLOOKUP('Données projet'!$B$12,Paramètres!$A$1:$I$89,3,0)*0.475*44/12</f>
        <v>87.943145887863921</v>
      </c>
      <c r="CL66" s="21">
        <f>EXP(-LN(2)/25)*CL65+(1-EXP(-LN(2)/25))/(LN(2)/25)*Calculateur!CG66*Calculateur!CI66*VLOOKUP('Données projet'!$B$12,Paramètres!$A$1:$I$89,3,0)*0.475*44/12</f>
        <v>28.431863727023469</v>
      </c>
      <c r="CM66" s="21">
        <f>EXP(-LN(2)/2)*CM65+(1-EXP(-LN(2)/2))/(LN(2)/2)*CG66*CJ66*VLOOKUP('Données projet'!$B$12,Paramètres!$A$1:$I$89,3,0)*0.475*44/12</f>
        <v>7.2848730058929609</v>
      </c>
      <c r="CN66" s="22">
        <f t="shared" si="12"/>
        <v>123.65988262078035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13.723076923076924</v>
      </c>
      <c r="N67" s="13">
        <f>IF('Données projet'!$A$36&gt;35,N66+M67-V66,IF(A67&lt;'Données projet'!$A$36,$K$205^A67,IF(A67='Données projet'!$A$36,'Données projet'!$B$36,N66+M67-V66)))</f>
        <v>365.34615384615358</v>
      </c>
      <c r="O67" s="13">
        <f>N67*VLOOKUP('Données projet'!$B$9,Paramètres!$A$1:$I$89,3,0)*VLOOKUP('Données projet'!$B$9,Paramètres!$A$1:$I$89,5,0)</f>
        <v>170.98199999999989</v>
      </c>
      <c r="P67" s="13">
        <f t="shared" si="33"/>
        <v>43.309885136716623</v>
      </c>
      <c r="Q67" s="20">
        <f t="shared" ref="Q67:Q98" si="54">(O67+P67)*0.475*44/12</f>
        <v>373.22503327978126</v>
      </c>
      <c r="R67" s="59">
        <f t="shared" ref="R67:R130" si="55">Q67+(I67+J67)*44/12</f>
        <v>666.55836661311457</v>
      </c>
      <c r="S67" s="59">
        <f ca="1">AVERAGE(OFFSET($R$3,0,0,'Données projet'!$E$9+1,1))-AVERAGE(OFFSET($H$3,0,0,'Données projet'!$E$9+1,1))</f>
        <v>190.74210845597287</v>
      </c>
      <c r="T67" s="59">
        <f t="shared" si="34"/>
        <v>131.88015896015884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35.281822321010772</v>
      </c>
      <c r="AA67" s="21">
        <f>EXP(-LN(2)/25)*AA66+(1-EXP(-LN(2)/25))/(LN(2)/25)*Calculateur!V67*Calculateur!X67*VLOOKUP('Données projet'!$B$9,Paramètres!$A$1:$I$89,3,0)*0.475*44/12</f>
        <v>18.652552816089148</v>
      </c>
      <c r="AB67" s="21">
        <f>EXP(-LN(2)/2)*AB66+(1-EXP(-LN(2)/2))/(LN(2)/2)*V67*Y67*VLOOKUP('Données projet'!$B$9,Paramètres!$A$1:$I$89,3,0)*0.475*44/12</f>
        <v>0.76916702339956644</v>
      </c>
      <c r="AC67" s="22">
        <f t="shared" si="3"/>
        <v>54.703542160499488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-1.1368683772161603E-13</v>
      </c>
      <c r="AJ67" s="13">
        <f>AI67*VLOOKUP('Données projet'!$B$10,Paramètres!$A$1:$I$89,3,0)*VLOOKUP('Données projet'!$B$10,Paramètres!$A$1:$I$89,5,0)</f>
        <v>-6.3550942286383367E-14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278.5296012747549</v>
      </c>
      <c r="AO67" s="59">
        <f t="shared" si="36"/>
        <v>370.55343097937077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189.65381363131942</v>
      </c>
      <c r="AV67" s="21">
        <f>EXP(-LN(2)/25)*AV66+(1-EXP(-LN(2)/25))/(LN(2)/25)*Calculateur!AQ67*Calculateur!AS67*VLOOKUP('Données projet'!$B$10,Paramètres!$A$1:$I$89,3,0)*0.475*44/12</f>
        <v>44.885864074919347</v>
      </c>
      <c r="AW67" s="21">
        <f>EXP(-LN(2)/2)*AW66+(1-EXP(-LN(2)/2))/(LN(2)/2)*AQ67*AT67*VLOOKUP('Données projet'!$B$10,Paramètres!$A$1:$I$89,3,0)*0.475*44/12</f>
        <v>1.509730607217693</v>
      </c>
      <c r="AX67" s="21">
        <f t="shared" si="6"/>
        <v>236.04940831345647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5.9646569646569647</v>
      </c>
      <c r="BD67" s="12">
        <f>IF('Données projet'!$A$88&gt;35,BD66+BC67-BL66,IF(A67&lt;'Données projet'!$A$88,$BA$205^A67,IF(A67='Données projet'!$A$88,'Données projet'!$B$88,BD66+BC67-BL66)))</f>
        <v>259.91372141372148</v>
      </c>
      <c r="BE67" s="13">
        <f>BD67*VLOOKUP('Données projet'!$B$11,Paramètres!$A$1:$I$89,3,0)*VLOOKUP('Données projet'!$B$11,Paramètres!$A$1:$I$89,5,0)</f>
        <v>121.63962162162164</v>
      </c>
      <c r="BF67" s="13">
        <f t="shared" si="37"/>
        <v>32.057111544325586</v>
      </c>
      <c r="BG67" s="20">
        <f t="shared" si="7"/>
        <v>267.68847693069137</v>
      </c>
      <c r="BH67" s="59">
        <f t="shared" si="8"/>
        <v>561.02181026402468</v>
      </c>
      <c r="BI67" s="59">
        <f ca="1">AVERAGE(OFFSET($BH$3,0,0,'Données projet'!$E$11+1,1))-AVERAGE(OFFSET($H$3,0,0,'Données projet'!$E$11+1,1))</f>
        <v>111.85541298746966</v>
      </c>
      <c r="BJ67" s="59">
        <f t="shared" si="38"/>
        <v>27.56942482401746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13.296703296703283</v>
      </c>
      <c r="BY67" s="12">
        <f>IF('Données projet'!$A$114&gt;35,BY66+BX67-CG66,IF(A67&lt;'Données projet'!$A$114,$BV$205^A67,IF(A67='Données projet'!$A$114,'Données projet'!$B$114,BY66+BX67-CG66)))</f>
        <v>389.28901098901093</v>
      </c>
      <c r="BZ67" s="13">
        <f>BY67*VLOOKUP('Données projet'!$B$12,Paramètres!$A$1:$I$89,3,0)*VLOOKUP('Données projet'!$B$12,Paramètres!$A$1:$I$89,5,0)</f>
        <v>217.61255714285713</v>
      </c>
      <c r="CA67" s="13">
        <f t="shared" si="39"/>
        <v>53.595657750447323</v>
      </c>
      <c r="CB67" s="20">
        <f t="shared" si="10"/>
        <v>472.35430760583853</v>
      </c>
      <c r="CC67" s="59">
        <f t="shared" si="11"/>
        <v>765.68764093917184</v>
      </c>
      <c r="CD67" s="59">
        <f ca="1">AVERAGE(OFFSET($CC$3,0,0,'Données projet'!$E$12+1,1))-AVERAGE(OFFSET($H$3,0,0,'Données projet'!$E$12+1,1))</f>
        <v>253.62423410951334</v>
      </c>
      <c r="CE67" s="59">
        <f t="shared" si="40"/>
        <v>230.93438491511529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86.218634437025386</v>
      </c>
      <c r="CL67" s="21">
        <f>EXP(-LN(2)/25)*CL66+(1-EXP(-LN(2)/25))/(LN(2)/25)*Calculateur!CG67*Calculateur!CI67*VLOOKUP('Données projet'!$B$12,Paramètres!$A$1:$I$89,3,0)*0.475*44/12</f>
        <v>27.654392918241282</v>
      </c>
      <c r="CM67" s="21">
        <f>EXP(-LN(2)/2)*CM66+(1-EXP(-LN(2)/2))/(LN(2)/2)*CG67*CJ67*VLOOKUP('Données projet'!$B$12,Paramètres!$A$1:$I$89,3,0)*0.475*44/12</f>
        <v>5.1511831025497408</v>
      </c>
      <c r="CN67" s="22">
        <f t="shared" si="12"/>
        <v>119.02421045781641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13.723076923076924</v>
      </c>
      <c r="N68" s="13">
        <f>IF('Données projet'!$A$36&gt;35,N67+M68-V67,IF(A68&lt;'Données projet'!$A$36,$K$205^A68,IF(A68='Données projet'!$A$36,'Données projet'!$B$36,N67+M68-V67)))</f>
        <v>379.0692307692305</v>
      </c>
      <c r="O68" s="13">
        <f>N68*VLOOKUP('Données projet'!$B$9,Paramètres!$A$1:$I$89,3,0)*VLOOKUP('Données projet'!$B$9,Paramètres!$A$1:$I$89,5,0)</f>
        <v>177.4043999999999</v>
      </c>
      <c r="P68" s="13">
        <f t="shared" si="33"/>
        <v>44.744225726071818</v>
      </c>
      <c r="Q68" s="20">
        <f t="shared" si="54"/>
        <v>386.90885647290816</v>
      </c>
      <c r="R68" s="59">
        <f t="shared" si="55"/>
        <v>680.24218980624141</v>
      </c>
      <c r="S68" s="59">
        <f ca="1">AVERAGE(OFFSET($R$3,0,0,'Données projet'!$E$9+1,1))-AVERAGE(OFFSET($H$3,0,0,'Données projet'!$E$9+1,1))</f>
        <v>190.74210845597287</v>
      </c>
      <c r="T68" s="59">
        <f t="shared" si="34"/>
        <v>131.88015896015884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34.589967305082467</v>
      </c>
      <c r="AA68" s="21">
        <f>EXP(-LN(2)/25)*AA67+(1-EXP(-LN(2)/25))/(LN(2)/25)*Calculateur!V68*Calculateur!X68*VLOOKUP('Données projet'!$B$9,Paramètres!$A$1:$I$89,3,0)*0.475*44/12</f>
        <v>18.14249777843807</v>
      </c>
      <c r="AB68" s="21">
        <f>EXP(-LN(2)/2)*AB67+(1-EXP(-LN(2)/2))/(LN(2)/2)*V68*Y68*VLOOKUP('Données projet'!$B$9,Paramètres!$A$1:$I$89,3,0)*0.475*44/12</f>
        <v>0.54388321811090534</v>
      </c>
      <c r="AC68" s="22">
        <f t="shared" ref="AC68:AC131" si="57">SUM(Z68:AB68)</f>
        <v>53.276348301631444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-1.1368683772161603E-13</v>
      </c>
      <c r="AJ68" s="13">
        <f>AI68*VLOOKUP('Données projet'!$B$10,Paramètres!$A$1:$I$89,3,0)*VLOOKUP('Données projet'!$B$10,Paramètres!$A$1:$I$89,5,0)</f>
        <v>-6.3550942286383367E-14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278.5296012747549</v>
      </c>
      <c r="AO68" s="59">
        <f t="shared" si="36"/>
        <v>370.55343097937077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185.93481802341336</v>
      </c>
      <c r="AV68" s="21">
        <f>EXP(-LN(2)/25)*AV67+(1-EXP(-LN(2)/25))/(LN(2)/25)*Calculateur!AQ68*Calculateur!AS68*VLOOKUP('Données projet'!$B$10,Paramètres!$A$1:$I$89,3,0)*0.475*44/12</f>
        <v>43.658457761345673</v>
      </c>
      <c r="AW68" s="21">
        <f>EXP(-LN(2)/2)*AW67+(1-EXP(-LN(2)/2))/(LN(2)/2)*AQ68*AT68*VLOOKUP('Données projet'!$B$10,Paramètres!$A$1:$I$89,3,0)*0.475*44/12</f>
        <v>1.0675407501285148</v>
      </c>
      <c r="AX68" s="21">
        <f t="shared" ref="AX68:AX131" si="60">SUM(AU68:AW68)</f>
        <v>230.66081653488754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5.9646569646569647</v>
      </c>
      <c r="BD68" s="12">
        <f>IF('Données projet'!$A$88&gt;35,BD67+BC68-BL67,IF(A68&lt;'Données projet'!$A$88,$BA$205^A68,IF(A68='Données projet'!$A$88,'Données projet'!$B$88,BD67+BC68-BL67)))</f>
        <v>265.87837837837844</v>
      </c>
      <c r="BE68" s="13">
        <f>BD68*VLOOKUP('Données projet'!$B$11,Paramètres!$A$1:$I$89,3,0)*VLOOKUP('Données projet'!$B$11,Paramètres!$A$1:$I$89,5,0)</f>
        <v>124.43108108108112</v>
      </c>
      <c r="BF68" s="13">
        <f t="shared" si="37"/>
        <v>32.706285107751114</v>
      </c>
      <c r="BG68" s="20">
        <f t="shared" ref="BG68:BG131" si="61">(BE68+BF68)*0.475*44/12</f>
        <v>273.68091277888283</v>
      </c>
      <c r="BH68" s="59">
        <f t="shared" ref="BH68:BH131" si="62">BG68+(AY68+AZ68)*44/12</f>
        <v>567.01424611221614</v>
      </c>
      <c r="BI68" s="59">
        <f ca="1">AVERAGE(OFFSET($BH$3,0,0,'Données projet'!$E$11+1,1))-AVERAGE(OFFSET($H$3,0,0,'Données projet'!$E$11+1,1))</f>
        <v>111.85541298746966</v>
      </c>
      <c r="BJ68" s="59">
        <f t="shared" si="38"/>
        <v>27.56942482401746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13.296703296703283</v>
      </c>
      <c r="BY68" s="12">
        <f>IF('Données projet'!$A$114&gt;35,BY67+BX68-CG67,IF(A68&lt;'Données projet'!$A$114,$BV$205^A68,IF(A68='Données projet'!$A$114,'Données projet'!$B$114,BY67+BX68-CG67)))</f>
        <v>402.58571428571423</v>
      </c>
      <c r="BZ68" s="13">
        <f>BY68*VLOOKUP('Données projet'!$B$12,Paramètres!$A$1:$I$89,3,0)*VLOOKUP('Données projet'!$B$12,Paramètres!$A$1:$I$89,5,0)</f>
        <v>225.04541428571423</v>
      </c>
      <c r="CA68" s="13">
        <f t="shared" si="39"/>
        <v>55.210030257376133</v>
      </c>
      <c r="CB68" s="20">
        <f t="shared" ref="CB68:CB131" si="64">(BZ68+CA68)*0.475*44/12</f>
        <v>488.11156591254894</v>
      </c>
      <c r="CC68" s="59">
        <f t="shared" ref="CC68:CC131" si="65">CB68+(BT68+BU68)*44/12</f>
        <v>781.4448992458822</v>
      </c>
      <c r="CD68" s="59">
        <f ca="1">AVERAGE(OFFSET($CC$3,0,0,'Données projet'!$E$12+1,1))-AVERAGE(OFFSET($H$3,0,0,'Données projet'!$E$12+1,1))</f>
        <v>253.62423410951334</v>
      </c>
      <c r="CE68" s="59">
        <f t="shared" si="40"/>
        <v>230.93438491511529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84.527939603889678</v>
      </c>
      <c r="CL68" s="21">
        <f>EXP(-LN(2)/25)*CL67+(1-EXP(-LN(2)/25))/(LN(2)/25)*Calculateur!CG68*Calculateur!CI68*VLOOKUP('Données projet'!$B$12,Paramètres!$A$1:$I$89,3,0)*0.475*44/12</f>
        <v>26.898182089610657</v>
      </c>
      <c r="CM68" s="21">
        <f>EXP(-LN(2)/2)*CM67+(1-EXP(-LN(2)/2))/(LN(2)/2)*CG68*CJ68*VLOOKUP('Données projet'!$B$12,Paramètres!$A$1:$I$89,3,0)*0.475*44/12</f>
        <v>3.6424365029464809</v>
      </c>
      <c r="CN68" s="22">
        <f t="shared" ref="CN68:CN131" si="66">SUM(CK68:CM68)</f>
        <v>115.06855819644682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392.7923076923077</v>
      </c>
      <c r="L69" s="12">
        <f>VLOOKUP(A69,'Données projet'!$A$35:$I$55,9,0)</f>
        <v>13.723076923076924</v>
      </c>
      <c r="M69" s="12">
        <f t="array" ref="M69">INDEX(L:L,MIN(IF(ISNUMBER(L69:L265),ROW(L69:L265),"")))</f>
        <v>13.723076923076924</v>
      </c>
      <c r="N69" s="13">
        <f>IF('Données projet'!$A$36&gt;35,N68+M69-V68,IF(A69&lt;'Données projet'!$A$36,$K$205^A69,IF(A69='Données projet'!$A$36,'Données projet'!$B$36,N68+M69-V68)))</f>
        <v>392.79230769230742</v>
      </c>
      <c r="O69" s="13">
        <f>N69*VLOOKUP('Données projet'!$B$9,Paramètres!$A$1:$I$89,3,0)*VLOOKUP('Données projet'!$B$9,Paramètres!$A$1:$I$89,5,0)</f>
        <v>183.82679999999985</v>
      </c>
      <c r="P69" s="13">
        <f t="shared" ref="P69:P132" si="87">EXP(-1.0587+0.8836*LN(O69)+0.284)</f>
        <v>46.172533448719371</v>
      </c>
      <c r="Q69" s="20">
        <f t="shared" si="54"/>
        <v>400.58217242318597</v>
      </c>
      <c r="R69" s="59">
        <f t="shared" si="55"/>
        <v>693.91550575651922</v>
      </c>
      <c r="S69" s="59">
        <f ca="1">AVERAGE(OFFSET($R$3,0,0,'Données projet'!$E$9+1,1))-AVERAGE(OFFSET($H$3,0,0,'Données projet'!$E$9+1,1))</f>
        <v>190.74210845597287</v>
      </c>
      <c r="T69" s="59">
        <f t="shared" ref="T69:T132" si="88">$T$3</f>
        <v>131.88015896015884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79.169230769230765</v>
      </c>
      <c r="W69" s="16">
        <f>IF(ISNA(VLOOKUP(A69,'Données projet'!$A$35:$I$55,5,0)),0%,VLOOKUP(A69,'Données projet'!$A$35:$I$55,5,0)*VLOOKUP('Données projet'!$B$9,Paramètres!$A$1:$I$89,7,0))</f>
        <v>0.38500000000000001</v>
      </c>
      <c r="X69" s="16">
        <f>IF(ISNA(VLOOKUP(A69,'Données projet'!$A$35:$I$55,6,0)),0%,VLOOKUP(A69,'Données projet'!$A$35:$I$55,6,0)*VLOOKUP('Données projet'!$B$9,Paramètres!$A$1:$I$89,7,0))</f>
        <v>9.240000000000001E-2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52.834739050308499</v>
      </c>
      <c r="AA69" s="21">
        <f>EXP(-LN(2)/25)*AA68+(1-EXP(-LN(2)/25))/(LN(2)/25)*Calculateur!V69*Calculateur!X69*VLOOKUP('Données projet'!$B$9,Paramètres!$A$1:$I$89,3,0)*0.475*44/12</f>
        <v>22.170042848817324</v>
      </c>
      <c r="AB69" s="21">
        <f>EXP(-LN(2)/2)*AB68+(1-EXP(-LN(2)/2))/(LN(2)/2)*V69*Y69*VLOOKUP('Données projet'!$B$9,Paramètres!$A$1:$I$89,3,0)*0.475*44/12</f>
        <v>5.9220581315786447</v>
      </c>
      <c r="AC69" s="22">
        <f t="shared" si="57"/>
        <v>80.926840030704454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-6.3550942286383367E-14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278.5296012747549</v>
      </c>
      <c r="AO69" s="59">
        <f t="shared" ref="AO69:AO132" si="90">$AO$3</f>
        <v>370.55343097937077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182.288749651015</v>
      </c>
      <c r="AV69" s="21">
        <f>EXP(-LN(2)/25)*AV68+(1-EXP(-LN(2)/25))/(LN(2)/25)*Calculateur!AQ69*Calculateur!AS69*VLOOKUP('Données projet'!$B$10,Paramètres!$A$1:$I$89,3,0)*0.475*44/12</f>
        <v>42.464614937963162</v>
      </c>
      <c r="AW69" s="21">
        <f>EXP(-LN(2)/2)*AW68+(1-EXP(-LN(2)/2))/(LN(2)/2)*AQ69*AT69*VLOOKUP('Données projet'!$B$10,Paramètres!$A$1:$I$89,3,0)*0.475*44/12</f>
        <v>0.75486530360884652</v>
      </c>
      <c r="AX69" s="21">
        <f t="shared" si="60"/>
        <v>225.50822989258702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5.9646569646569647</v>
      </c>
      <c r="BD69" s="12">
        <f>IF('Données projet'!$A$88&gt;35,BD68+BC69-BL68,IF(A69&lt;'Données projet'!$A$88,$BA$205^A69,IF(A69='Données projet'!$A$88,'Données projet'!$B$88,BD68+BC69-BL68)))</f>
        <v>271.84303534303541</v>
      </c>
      <c r="BE69" s="13">
        <f>BD69*VLOOKUP('Données projet'!$B$11,Paramètres!$A$1:$I$89,3,0)*VLOOKUP('Données projet'!$B$11,Paramètres!$A$1:$I$89,5,0)</f>
        <v>127.22254054054056</v>
      </c>
      <c r="BF69" s="13">
        <f t="shared" ref="BF69:BF132" si="91">EXP(-1.0587+0.8836*LN(BE69)+0.284)</f>
        <v>33.353765550749493</v>
      </c>
      <c r="BG69" s="20">
        <f t="shared" si="61"/>
        <v>279.6703997756635</v>
      </c>
      <c r="BH69" s="59">
        <f t="shared" si="62"/>
        <v>573.00373310899681</v>
      </c>
      <c r="BI69" s="59">
        <f ca="1">AVERAGE(OFFSET($BH$3,0,0,'Données projet'!$E$11+1,1))-AVERAGE(OFFSET($H$3,0,0,'Données projet'!$E$11+1,1))</f>
        <v>111.85541298746966</v>
      </c>
      <c r="BJ69" s="59">
        <f t="shared" ref="BJ69:BJ132" si="92">$BJ$3</f>
        <v>27.56942482401746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13.296703296703283</v>
      </c>
      <c r="BY69" s="12">
        <f>IF('Données projet'!$A$114&gt;35,BY68+BX69-CG68,IF(A69&lt;'Données projet'!$A$114,$BV$205^A69,IF(A69='Données projet'!$A$114,'Données projet'!$B$114,BY68+BX69-CG68)))</f>
        <v>415.88241758241753</v>
      </c>
      <c r="BZ69" s="13">
        <f>BY69*VLOOKUP('Données projet'!$B$12,Paramètres!$A$1:$I$89,3,0)*VLOOKUP('Données projet'!$B$12,Paramètres!$A$1:$I$89,5,0)</f>
        <v>232.47827142857142</v>
      </c>
      <c r="CA69" s="13">
        <f t="shared" ref="CA69:CA132" si="93">EXP(-1.0587+0.8836*LN(BZ69)+0.284)</f>
        <v>56.818207052289068</v>
      </c>
      <c r="CB69" s="20">
        <f t="shared" si="64"/>
        <v>503.85803335416534</v>
      </c>
      <c r="CC69" s="59">
        <f t="shared" si="65"/>
        <v>797.19136668749866</v>
      </c>
      <c r="CD69" s="59">
        <f ca="1">AVERAGE(OFFSET($CC$3,0,0,'Données projet'!$E$12+1,1))-AVERAGE(OFFSET($H$3,0,0,'Données projet'!$E$12+1,1))</f>
        <v>253.62423410951334</v>
      </c>
      <c r="CE69" s="59">
        <f t="shared" ref="CE69:CE132" si="94">$CE$3</f>
        <v>230.93438491511529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82.87039826520973</v>
      </c>
      <c r="CL69" s="21">
        <f>EXP(-LN(2)/25)*CL68+(1-EXP(-LN(2)/25))/(LN(2)/25)*Calculateur!CG69*Calculateur!CI69*VLOOKUP('Données projet'!$B$12,Paramètres!$A$1:$I$89,3,0)*0.475*44/12</f>
        <v>26.162649885856332</v>
      </c>
      <c r="CM69" s="21">
        <f>EXP(-LN(2)/2)*CM68+(1-EXP(-LN(2)/2))/(LN(2)/2)*CG69*CJ69*VLOOKUP('Données projet'!$B$12,Paramètres!$A$1:$I$89,3,0)*0.475*44/12</f>
        <v>2.5755915512748708</v>
      </c>
      <c r="CN69" s="22">
        <f t="shared" si="66"/>
        <v>111.60863970234092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13.02735042735042</v>
      </c>
      <c r="N70" s="13">
        <f>IF('Données projet'!$A$36&gt;35,N69+M70-V69,IF(A70&lt;'Données projet'!$A$36,$K$205^A70,IF(A70='Données projet'!$A$36,'Données projet'!$B$36,N69+M70-V69)))</f>
        <v>326.65042735042709</v>
      </c>
      <c r="O70" s="13">
        <f>N70*VLOOKUP('Données projet'!$B$9,Paramètres!$A$1:$I$89,3,0)*VLOOKUP('Données projet'!$B$9,Paramètres!$A$1:$I$89,5,0)</f>
        <v>152.87239999999989</v>
      </c>
      <c r="P70" s="13">
        <f t="shared" si="87"/>
        <v>39.230626461545988</v>
      </c>
      <c r="Q70" s="20">
        <f t="shared" si="54"/>
        <v>334.57943775385905</v>
      </c>
      <c r="R70" s="59">
        <f t="shared" si="55"/>
        <v>627.91277108719237</v>
      </c>
      <c r="S70" s="59">
        <f ca="1">AVERAGE(OFFSET($R$3,0,0,'Données projet'!$E$9+1,1))-AVERAGE(OFFSET($H$3,0,0,'Données projet'!$E$9+1,1))</f>
        <v>190.74210845597287</v>
      </c>
      <c r="T70" s="59">
        <f t="shared" si="88"/>
        <v>131.88015896015884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51.798682043540715</v>
      </c>
      <c r="AA70" s="21">
        <f>EXP(-LN(2)/25)*AA69+(1-EXP(-LN(2)/25))/(LN(2)/25)*Calculateur!V70*Calculateur!X70*VLOOKUP('Données projet'!$B$9,Paramètres!$A$1:$I$89,3,0)*0.475*44/12</f>
        <v>21.563801861244531</v>
      </c>
      <c r="AB70" s="21">
        <f>EXP(-LN(2)/2)*AB69+(1-EXP(-LN(2)/2))/(LN(2)/2)*V70*Y70*VLOOKUP('Données projet'!$B$9,Paramètres!$A$1:$I$89,3,0)*0.475*44/12</f>
        <v>4.1875274634201958</v>
      </c>
      <c r="AC70" s="22">
        <f t="shared" si="57"/>
        <v>77.550011368205446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-6.3550942286383367E-14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278.5296012747549</v>
      </c>
      <c r="AO70" s="59">
        <f t="shared" si="90"/>
        <v>370.55343097937077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178.71417845551724</v>
      </c>
      <c r="AV70" s="21">
        <f>EXP(-LN(2)/25)*AV69+(1-EXP(-LN(2)/25))/(LN(2)/25)*Calculateur!AQ70*Calculateur!AS70*VLOOKUP('Données projet'!$B$10,Paramètres!$A$1:$I$89,3,0)*0.475*44/12</f>
        <v>41.303417809367517</v>
      </c>
      <c r="AW70" s="21">
        <f>EXP(-LN(2)/2)*AW69+(1-EXP(-LN(2)/2))/(LN(2)/2)*AQ70*AT70*VLOOKUP('Données projet'!$B$10,Paramètres!$A$1:$I$89,3,0)*0.475*44/12</f>
        <v>0.5337703750642574</v>
      </c>
      <c r="AX70" s="21">
        <f t="shared" si="60"/>
        <v>220.55136663994901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277.80769230769232</v>
      </c>
      <c r="BB70" s="12">
        <f>VLOOKUP(A70,'Données projet'!$A$87:$I$107,9,0)</f>
        <v>5.9646569646569647</v>
      </c>
      <c r="BC70" s="12">
        <f t="array" ref="BC70">INDEX(BB:BB,MIN(IF(ISNUMBER(BB70:BB266),ROW(BB70:BB266),"")))</f>
        <v>5.9646569646569647</v>
      </c>
      <c r="BD70" s="12">
        <f>IF('Données projet'!$A$88&gt;35,BD69+BC70-BL69,IF(A70&lt;'Données projet'!$A$88,$BA$205^A70,IF(A70='Données projet'!$A$88,'Données projet'!$B$88,BD69+BC70-BL69)))</f>
        <v>277.80769230769238</v>
      </c>
      <c r="BE70" s="13">
        <f>BD70*VLOOKUP('Données projet'!$B$11,Paramètres!$A$1:$I$89,3,0)*VLOOKUP('Données projet'!$B$11,Paramètres!$A$1:$I$89,5,0)</f>
        <v>130.01400000000004</v>
      </c>
      <c r="BF70" s="13">
        <f t="shared" si="91"/>
        <v>33.999594301024551</v>
      </c>
      <c r="BG70" s="20">
        <f t="shared" si="61"/>
        <v>285.65701007428447</v>
      </c>
      <c r="BH70" s="59">
        <f t="shared" si="62"/>
        <v>578.99034340761773</v>
      </c>
      <c r="BI70" s="59">
        <f ca="1">AVERAGE(OFFSET($BH$3,0,0,'Données projet'!$E$11+1,1))-AVERAGE(OFFSET($H$3,0,0,'Données projet'!$E$11+1,1))</f>
        <v>111.85541298746966</v>
      </c>
      <c r="BJ70" s="59">
        <f t="shared" si="92"/>
        <v>27.56942482401746</v>
      </c>
      <c r="BK70" s="15">
        <f>IF(ISNA(VLOOKUP(A70,'Données projet'!$A$87:$I$107,3,0)),0,VLOOKUP(A70,'Données projet'!$A$87:$I$107,3,0))</f>
        <v>1</v>
      </c>
      <c r="BL70" s="15">
        <f>IF(ISNA(VLOOKUP(A70,'Données projet'!$A$87:$I$107,4,0)),0,VLOOKUP(A70,'Données projet'!$A$87:$I$107,4,0))</f>
        <v>74.123076923076923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0.30800000000000005</v>
      </c>
      <c r="BO70" s="16">
        <f>IF(ISNA(VLOOKUP(A70,'Données projet'!$A$87:$I$107,7,0)),0%,VLOOKUP(A70,'Données projet'!$A$87:$I$107,7,0))</f>
        <v>0.44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14.117734391143104</v>
      </c>
      <c r="BR70" s="21">
        <f>EXP(-LN(2)/2)*BR69+(1-EXP(-LN(2)/2))/(LN(2)/2)*BL70*BO70*VLOOKUP('Données projet'!$B$11,Paramètres!$A$1:$I$89,3,0)*0.475*44/12</f>
        <v>17.281741623640599</v>
      </c>
      <c r="BS70" s="22">
        <f t="shared" si="63"/>
        <v>31.399476014783701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13.296703296703283</v>
      </c>
      <c r="BY70" s="12">
        <f>IF('Données projet'!$A$114&gt;35,BY69+BX70-CG69,IF(A70&lt;'Données projet'!$A$114,$BV$205^A70,IF(A70='Données projet'!$A$114,'Données projet'!$B$114,BY69+BX70-CG69)))</f>
        <v>429.17912087912083</v>
      </c>
      <c r="BZ70" s="13">
        <f>BY70*VLOOKUP('Données projet'!$B$12,Paramètres!$A$1:$I$89,3,0)*VLOOKUP('Données projet'!$B$12,Paramètres!$A$1:$I$89,5,0)</f>
        <v>239.91112857142855</v>
      </c>
      <c r="CA70" s="13">
        <f t="shared" si="93"/>
        <v>58.420408949287598</v>
      </c>
      <c r="CB70" s="20">
        <f t="shared" si="64"/>
        <v>519.59409451524732</v>
      </c>
      <c r="CC70" s="59">
        <f t="shared" si="65"/>
        <v>812.92742784858069</v>
      </c>
      <c r="CD70" s="59">
        <f ca="1">AVERAGE(OFFSET($CC$3,0,0,'Données projet'!$E$12+1,1))-AVERAGE(OFFSET($H$3,0,0,'Données projet'!$E$12+1,1))</f>
        <v>253.62423410951334</v>
      </c>
      <c r="CE70" s="59">
        <f t="shared" si="94"/>
        <v>230.93438491511529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81.245360301180909</v>
      </c>
      <c r="CL70" s="21">
        <f>EXP(-LN(2)/25)*CL69+(1-EXP(-LN(2)/25))/(LN(2)/25)*Calculateur!CG70*Calculateur!CI70*VLOOKUP('Données projet'!$B$12,Paramètres!$A$1:$I$89,3,0)*0.475*44/12</f>
        <v>25.447230848893629</v>
      </c>
      <c r="CM70" s="21">
        <f>EXP(-LN(2)/2)*CM69+(1-EXP(-LN(2)/2))/(LN(2)/2)*CG70*CJ70*VLOOKUP('Données projet'!$B$12,Paramètres!$A$1:$I$89,3,0)*0.475*44/12</f>
        <v>1.8212182514732407</v>
      </c>
      <c r="CN70" s="22">
        <f t="shared" si="66"/>
        <v>108.51380940154777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13.02735042735042</v>
      </c>
      <c r="N71" s="13">
        <f>IF('Données projet'!$A$36&gt;35,N70+M71-V70,IF(A71&lt;'Données projet'!$A$36,$K$205^A71,IF(A71='Données projet'!$A$36,'Données projet'!$B$36,N70+M71-V70)))</f>
        <v>339.67777777777752</v>
      </c>
      <c r="O71" s="13">
        <f>N71*VLOOKUP('Données projet'!$B$9,Paramètres!$A$1:$I$89,3,0)*VLOOKUP('Données projet'!$B$9,Paramètres!$A$1:$I$89,5,0)</f>
        <v>158.96919999999989</v>
      </c>
      <c r="P71" s="13">
        <f t="shared" si="87"/>
        <v>40.609928203050444</v>
      </c>
      <c r="Q71" s="20">
        <f t="shared" si="54"/>
        <v>347.60031495364598</v>
      </c>
      <c r="R71" s="59">
        <f t="shared" si="55"/>
        <v>640.93364828697929</v>
      </c>
      <c r="S71" s="59">
        <f ca="1">AVERAGE(OFFSET($R$3,0,0,'Données projet'!$E$9+1,1))-AVERAGE(OFFSET($H$3,0,0,'Données projet'!$E$9+1,1))</f>
        <v>190.74210845597287</v>
      </c>
      <c r="T71" s="59">
        <f t="shared" si="88"/>
        <v>131.88015896015884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50.782941482743276</v>
      </c>
      <c r="AA71" s="21">
        <f>EXP(-LN(2)/25)*AA70+(1-EXP(-LN(2)/25))/(LN(2)/25)*Calculateur!V71*Calculateur!X71*VLOOKUP('Données projet'!$B$9,Paramètres!$A$1:$I$89,3,0)*0.475*44/12</f>
        <v>20.974138565357745</v>
      </c>
      <c r="AB71" s="21">
        <f>EXP(-LN(2)/2)*AB70+(1-EXP(-LN(2)/2))/(LN(2)/2)*V71*Y71*VLOOKUP('Données projet'!$B$9,Paramètres!$A$1:$I$89,3,0)*0.475*44/12</f>
        <v>2.9610290657893228</v>
      </c>
      <c r="AC71" s="22">
        <f t="shared" si="57"/>
        <v>74.718109113890335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-6.3550942286383367E-14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278.5296012747549</v>
      </c>
      <c r="AO71" s="59">
        <f t="shared" si="90"/>
        <v>370.55343097937077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175.20970242089007</v>
      </c>
      <c r="AV71" s="21">
        <f>EXP(-LN(2)/25)*AV70+(1-EXP(-LN(2)/25))/(LN(2)/25)*Calculateur!AQ71*Calculateur!AS71*VLOOKUP('Données projet'!$B$10,Paramètres!$A$1:$I$89,3,0)*0.475*44/12</f>
        <v>40.173973677318017</v>
      </c>
      <c r="AW71" s="21">
        <f>EXP(-LN(2)/2)*AW70+(1-EXP(-LN(2)/2))/(LN(2)/2)*AQ71*AT71*VLOOKUP('Données projet'!$B$10,Paramètres!$A$1:$I$89,3,0)*0.475*44/12</f>
        <v>0.37743265180442326</v>
      </c>
      <c r="AX71" s="21">
        <f t="shared" si="60"/>
        <v>215.76110875001248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5.8210256410256402</v>
      </c>
      <c r="BD71" s="12">
        <f>IF('Données projet'!$A$88&gt;35,BD70+BC71-BL70,IF(A71&lt;'Données projet'!$A$88,$BA$205^A71,IF(A71='Données projet'!$A$88,'Données projet'!$B$88,BD70+BC71-BL70)))</f>
        <v>209.5056410256411</v>
      </c>
      <c r="BE71" s="13">
        <f>BD71*VLOOKUP('Données projet'!$B$11,Paramètres!$A$1:$I$89,3,0)*VLOOKUP('Données projet'!$B$11,Paramètres!$A$1:$I$89,5,0)</f>
        <v>98.04864000000002</v>
      </c>
      <c r="BF71" s="13">
        <f t="shared" si="91"/>
        <v>26.496581097458112</v>
      </c>
      <c r="BG71" s="20">
        <f t="shared" si="61"/>
        <v>216.9162600780729</v>
      </c>
      <c r="BH71" s="59">
        <f t="shared" si="62"/>
        <v>510.24959341140618</v>
      </c>
      <c r="BI71" s="59">
        <f ca="1">AVERAGE(OFFSET($BH$3,0,0,'Données projet'!$E$11+1,1))-AVERAGE(OFFSET($H$3,0,0,'Données projet'!$E$11+1,1))</f>
        <v>111.85541298746966</v>
      </c>
      <c r="BJ71" s="59">
        <f t="shared" si="92"/>
        <v>27.56942482401746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13.731684201797911</v>
      </c>
      <c r="BR71" s="21">
        <f>EXP(-LN(2)/2)*BR70+(1-EXP(-LN(2)/2))/(LN(2)/2)*BL71*BO71*VLOOKUP('Données projet'!$B$11,Paramètres!$A$1:$I$89,3,0)*0.475*44/12</f>
        <v>12.220036692790085</v>
      </c>
      <c r="BS71" s="22">
        <f t="shared" si="63"/>
        <v>25.951720894587996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13.296703296703283</v>
      </c>
      <c r="BY71" s="12">
        <f>IF('Données projet'!$A$114&gt;35,BY70+BX71-CG70,IF(A71&lt;'Données projet'!$A$114,$BV$205^A71,IF(A71='Données projet'!$A$114,'Données projet'!$B$114,BY70+BX71-CG70)))</f>
        <v>442.47582417582413</v>
      </c>
      <c r="BZ71" s="13">
        <f>BY71*VLOOKUP('Données projet'!$B$12,Paramètres!$A$1:$I$89,3,0)*VLOOKUP('Données projet'!$B$12,Paramètres!$A$1:$I$89,5,0)</f>
        <v>247.34398571428571</v>
      </c>
      <c r="CA71" s="13">
        <f t="shared" si="93"/>
        <v>60.016842302819605</v>
      </c>
      <c r="CB71" s="20">
        <f t="shared" si="64"/>
        <v>535.32010879645838</v>
      </c>
      <c r="CC71" s="59">
        <f t="shared" si="65"/>
        <v>828.65344212979176</v>
      </c>
      <c r="CD71" s="59">
        <f ca="1">AVERAGE(OFFSET($CC$3,0,0,'Données projet'!$E$12+1,1))-AVERAGE(OFFSET($H$3,0,0,'Données projet'!$E$12+1,1))</f>
        <v>253.62423410951334</v>
      </c>
      <c r="CE71" s="59">
        <f t="shared" si="94"/>
        <v>230.93438491511529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79.652188340451403</v>
      </c>
      <c r="CL71" s="21">
        <f>EXP(-LN(2)/25)*CL70+(1-EXP(-LN(2)/25))/(LN(2)/25)*Calculateur!CG71*Calculateur!CI71*VLOOKUP('Données projet'!$B$12,Paramètres!$A$1:$I$89,3,0)*0.475*44/12</f>
        <v>24.751374983118922</v>
      </c>
      <c r="CM71" s="21">
        <f>EXP(-LN(2)/2)*CM70+(1-EXP(-LN(2)/2))/(LN(2)/2)*CG71*CJ71*VLOOKUP('Données projet'!$B$12,Paramètres!$A$1:$I$89,3,0)*0.475*44/12</f>
        <v>1.2877957756374356</v>
      </c>
      <c r="CN71" s="22">
        <f t="shared" si="66"/>
        <v>105.69135909920776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13.02735042735042</v>
      </c>
      <c r="N72" s="13">
        <f>IF('Données projet'!$A$36&gt;35,N71+M72-V71,IF(A72&lt;'Données projet'!$A$36,$K$205^A72,IF(A72='Données projet'!$A$36,'Données projet'!$B$36,N71+M72-V71)))</f>
        <v>352.70512820512795</v>
      </c>
      <c r="O72" s="13">
        <f>N72*VLOOKUP('Données projet'!$B$9,Paramètres!$A$1:$I$89,3,0)*VLOOKUP('Données projet'!$B$9,Paramètres!$A$1:$I$89,5,0)</f>
        <v>165.06599999999989</v>
      </c>
      <c r="P72" s="13">
        <f t="shared" si="87"/>
        <v>41.983084622237634</v>
      </c>
      <c r="Q72" s="20">
        <f t="shared" si="54"/>
        <v>360.61048905039701</v>
      </c>
      <c r="R72" s="59">
        <f t="shared" si="55"/>
        <v>653.94382238373032</v>
      </c>
      <c r="S72" s="59">
        <f ca="1">AVERAGE(OFFSET($R$3,0,0,'Données projet'!$E$9+1,1))-AVERAGE(OFFSET($H$3,0,0,'Données projet'!$E$9+1,1))</f>
        <v>190.74210845597287</v>
      </c>
      <c r="T72" s="59">
        <f t="shared" si="88"/>
        <v>131.88015896015884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49.787118974802503</v>
      </c>
      <c r="AA72" s="21">
        <f>EXP(-LN(2)/25)*AA71+(1-EXP(-LN(2)/25))/(LN(2)/25)*Calculateur!V72*Calculateur!X72*VLOOKUP('Données projet'!$B$9,Paramètres!$A$1:$I$89,3,0)*0.475*44/12</f>
        <v>20.400599643306027</v>
      </c>
      <c r="AB72" s="21">
        <f>EXP(-LN(2)/2)*AB71+(1-EXP(-LN(2)/2))/(LN(2)/2)*V72*Y72*VLOOKUP('Données projet'!$B$9,Paramètres!$A$1:$I$89,3,0)*0.475*44/12</f>
        <v>2.0937637317100979</v>
      </c>
      <c r="AC72" s="22">
        <f t="shared" si="57"/>
        <v>72.281482349818631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-6.3550942286383367E-14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278.5296012747549</v>
      </c>
      <c r="AO72" s="59">
        <f t="shared" si="90"/>
        <v>370.55343097937077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171.77394702378263</v>
      </c>
      <c r="AV72" s="21">
        <f>EXP(-LN(2)/25)*AV71+(1-EXP(-LN(2)/25))/(LN(2)/25)*Calculateur!AQ72*Calculateur!AS72*VLOOKUP('Données projet'!$B$10,Paramètres!$A$1:$I$89,3,0)*0.475*44/12</f>
        <v>39.075414254454301</v>
      </c>
      <c r="AW72" s="21">
        <f>EXP(-LN(2)/2)*AW71+(1-EXP(-LN(2)/2))/(LN(2)/2)*AQ72*AT72*VLOOKUP('Données projet'!$B$10,Paramètres!$A$1:$I$89,3,0)*0.475*44/12</f>
        <v>0.2668851875321287</v>
      </c>
      <c r="AX72" s="21">
        <f t="shared" si="60"/>
        <v>211.11624646576905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5.8210256410256402</v>
      </c>
      <c r="BD72" s="12">
        <f>IF('Données projet'!$A$88&gt;35,BD71+BC72-BL71,IF(A72&lt;'Données projet'!$A$88,$BA$205^A72,IF(A72='Données projet'!$A$88,'Données projet'!$B$88,BD71+BC72-BL71)))</f>
        <v>215.32666666666674</v>
      </c>
      <c r="BE72" s="13">
        <f>BD72*VLOOKUP('Données projet'!$B$11,Paramètres!$A$1:$I$89,3,0)*VLOOKUP('Données projet'!$B$11,Paramètres!$A$1:$I$89,5,0)</f>
        <v>100.77288000000004</v>
      </c>
      <c r="BF72" s="13">
        <f t="shared" si="91"/>
        <v>27.146042964089094</v>
      </c>
      <c r="BG72" s="20">
        <f t="shared" si="61"/>
        <v>222.79212416245525</v>
      </c>
      <c r="BH72" s="59">
        <f t="shared" si="62"/>
        <v>516.12545749578862</v>
      </c>
      <c r="BI72" s="59">
        <f ca="1">AVERAGE(OFFSET($BH$3,0,0,'Données projet'!$E$11+1,1))-AVERAGE(OFFSET($H$3,0,0,'Données projet'!$E$11+1,1))</f>
        <v>111.85541298746966</v>
      </c>
      <c r="BJ72" s="59">
        <f t="shared" si="92"/>
        <v>27.56942482401746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13.356190575181859</v>
      </c>
      <c r="BR72" s="21">
        <f>EXP(-LN(2)/2)*BR71+(1-EXP(-LN(2)/2))/(LN(2)/2)*BL72*BO72*VLOOKUP('Données projet'!$B$11,Paramètres!$A$1:$I$89,3,0)*0.475*44/12</f>
        <v>8.6408708118203013</v>
      </c>
      <c r="BS72" s="22">
        <f t="shared" si="63"/>
        <v>21.997061387002162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13.296703296703283</v>
      </c>
      <c r="BY72" s="12">
        <f>IF('Données projet'!$A$114&gt;35,BY71+BX72-CG71,IF(A72&lt;'Données projet'!$A$114,$BV$205^A72,IF(A72='Données projet'!$A$114,'Données projet'!$B$114,BY71+BX72-CG71)))</f>
        <v>455.77252747252743</v>
      </c>
      <c r="BZ72" s="13">
        <f>BY72*VLOOKUP('Données projet'!$B$12,Paramètres!$A$1:$I$89,3,0)*VLOOKUP('Données projet'!$B$12,Paramètres!$A$1:$I$89,5,0)</f>
        <v>254.77684285714284</v>
      </c>
      <c r="CA72" s="13">
        <f t="shared" si="93"/>
        <v>61.607700360287495</v>
      </c>
      <c r="CB72" s="20">
        <f t="shared" si="64"/>
        <v>551.03641277035774</v>
      </c>
      <c r="CC72" s="59">
        <f t="shared" si="65"/>
        <v>844.36974610369111</v>
      </c>
      <c r="CD72" s="59">
        <f ca="1">AVERAGE(OFFSET($CC$3,0,0,'Données projet'!$E$12+1,1))-AVERAGE(OFFSET($H$3,0,0,'Données projet'!$E$12+1,1))</f>
        <v>253.62423410951334</v>
      </c>
      <c r="CE72" s="59">
        <f t="shared" si="94"/>
        <v>230.93438491511529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78.090257510132858</v>
      </c>
      <c r="CL72" s="21">
        <f>EXP(-LN(2)/25)*CL71+(1-EXP(-LN(2)/25))/(LN(2)/25)*Calculateur!CG72*Calculateur!CI72*VLOOKUP('Données projet'!$B$12,Paramètres!$A$1:$I$89,3,0)*0.475*44/12</f>
        <v>24.074547332587294</v>
      </c>
      <c r="CM72" s="21">
        <f>EXP(-LN(2)/2)*CM71+(1-EXP(-LN(2)/2))/(LN(2)/2)*CG72*CJ72*VLOOKUP('Données projet'!$B$12,Paramètres!$A$1:$I$89,3,0)*0.475*44/12</f>
        <v>0.91060912573662056</v>
      </c>
      <c r="CN72" s="22">
        <f t="shared" si="66"/>
        <v>103.07541396845677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13.02735042735042</v>
      </c>
      <c r="N73" s="13">
        <f>IF('Données projet'!$A$36&gt;35,N72+M73-V72,IF(A73&lt;'Données projet'!$A$36,$K$205^A73,IF(A73='Données projet'!$A$36,'Données projet'!$B$36,N72+M73-V72)))</f>
        <v>365.73247863247838</v>
      </c>
      <c r="O73" s="13">
        <f>N73*VLOOKUP('Données projet'!$B$9,Paramètres!$A$1:$I$89,3,0)*VLOOKUP('Données projet'!$B$9,Paramètres!$A$1:$I$89,5,0)</f>
        <v>171.16279999999986</v>
      </c>
      <c r="P73" s="13">
        <f t="shared" si="87"/>
        <v>43.350348693488058</v>
      </c>
      <c r="Q73" s="20">
        <f t="shared" si="54"/>
        <v>373.61040064115809</v>
      </c>
      <c r="R73" s="59">
        <f t="shared" si="55"/>
        <v>666.94373397449135</v>
      </c>
      <c r="S73" s="59">
        <f ca="1">AVERAGE(OFFSET($R$3,0,0,'Données projet'!$E$9+1,1))-AVERAGE(OFFSET($H$3,0,0,'Données projet'!$E$9+1,1))</f>
        <v>190.74210845597287</v>
      </c>
      <c r="T73" s="59">
        <f t="shared" si="88"/>
        <v>131.88015896015884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48.810823938850696</v>
      </c>
      <c r="AA73" s="21">
        <f>EXP(-LN(2)/25)*AA72+(1-EXP(-LN(2)/25))/(LN(2)/25)*Calculateur!V73*Calculateur!X73*VLOOKUP('Données projet'!$B$9,Paramètres!$A$1:$I$89,3,0)*0.475*44/12</f>
        <v>19.842744173238913</v>
      </c>
      <c r="AB73" s="21">
        <f>EXP(-LN(2)/2)*AB72+(1-EXP(-LN(2)/2))/(LN(2)/2)*V73*Y73*VLOOKUP('Données projet'!$B$9,Paramètres!$A$1:$I$89,3,0)*0.475*44/12</f>
        <v>1.4805145328946614</v>
      </c>
      <c r="AC73" s="22">
        <f t="shared" si="57"/>
        <v>70.134082644984261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-6.3550942286383367E-14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278.5296012747549</v>
      </c>
      <c r="AO73" s="59">
        <f t="shared" si="90"/>
        <v>370.55343097937077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168.40556469440858</v>
      </c>
      <c r="AV73" s="21">
        <f>EXP(-LN(2)/25)*AV72+(1-EXP(-LN(2)/25))/(LN(2)/25)*Calculateur!AQ73*Calculateur!AS73*VLOOKUP('Données projet'!$B$10,Paramètres!$A$1:$I$89,3,0)*0.475*44/12</f>
        <v>38.006894996779522</v>
      </c>
      <c r="AW73" s="21">
        <f>EXP(-LN(2)/2)*AW72+(1-EXP(-LN(2)/2))/(LN(2)/2)*AQ73*AT73*VLOOKUP('Données projet'!$B$10,Paramètres!$A$1:$I$89,3,0)*0.475*44/12</f>
        <v>0.18871632590221163</v>
      </c>
      <c r="AX73" s="21">
        <f t="shared" si="60"/>
        <v>206.60117601709032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5.8210256410256402</v>
      </c>
      <c r="BD73" s="12">
        <f>IF('Données projet'!$A$88&gt;35,BD72+BC73-BL72,IF(A73&lt;'Données projet'!$A$88,$BA$205^A73,IF(A73='Données projet'!$A$88,'Données projet'!$B$88,BD72+BC73-BL72)))</f>
        <v>221.14769230769238</v>
      </c>
      <c r="BE73" s="13">
        <f>BD73*VLOOKUP('Données projet'!$B$11,Paramètres!$A$1:$I$89,3,0)*VLOOKUP('Données projet'!$B$11,Paramètres!$A$1:$I$89,5,0)</f>
        <v>103.49712000000004</v>
      </c>
      <c r="BF73" s="13">
        <f t="shared" si="91"/>
        <v>27.79346412154819</v>
      </c>
      <c r="BG73" s="20">
        <f t="shared" si="61"/>
        <v>228.66443401169647</v>
      </c>
      <c r="BH73" s="59">
        <f t="shared" si="62"/>
        <v>521.99776734502984</v>
      </c>
      <c r="BI73" s="59">
        <f ca="1">AVERAGE(OFFSET($BH$3,0,0,'Données projet'!$E$11+1,1))-AVERAGE(OFFSET($H$3,0,0,'Données projet'!$E$11+1,1))</f>
        <v>111.85541298746966</v>
      </c>
      <c r="BJ73" s="59">
        <f t="shared" si="92"/>
        <v>27.56942482401746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12.990964841531975</v>
      </c>
      <c r="BR73" s="21">
        <f>EXP(-LN(2)/2)*BR72+(1-EXP(-LN(2)/2))/(LN(2)/2)*BL73*BO73*VLOOKUP('Données projet'!$B$11,Paramètres!$A$1:$I$89,3,0)*0.475*44/12</f>
        <v>6.1100183463950435</v>
      </c>
      <c r="BS73" s="22">
        <f t="shared" si="63"/>
        <v>19.100983187927017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469.06923076923073</v>
      </c>
      <c r="BW73" s="12">
        <f>VLOOKUP(A73,'Données projet'!$A$113:$I$133,9,0)</f>
        <v>13.296703296703283</v>
      </c>
      <c r="BX73" s="12">
        <f t="array" ref="BX73">INDEX(BW:BW,MIN(IF(ISNUMBER(BW73:BW269),ROW(BW73:BW269),"")))</f>
        <v>13.296703296703283</v>
      </c>
      <c r="BY73" s="12">
        <f>IF('Données projet'!$A$114&gt;35,BY72+BX73-CG72,IF(A73&lt;'Données projet'!$A$114,$BV$205^A73,IF(A73='Données projet'!$A$114,'Données projet'!$B$114,BY72+BX73-CG72)))</f>
        <v>469.06923076923073</v>
      </c>
      <c r="BZ73" s="13">
        <f>BY73*VLOOKUP('Données projet'!$B$12,Paramètres!$A$1:$I$89,3,0)*VLOOKUP('Données projet'!$B$12,Paramètres!$A$1:$I$89,5,0)</f>
        <v>262.2097</v>
      </c>
      <c r="CA73" s="13">
        <f t="shared" si="93"/>
        <v>63.193164452376628</v>
      </c>
      <c r="CB73" s="20">
        <f t="shared" si="64"/>
        <v>566.74332225455589</v>
      </c>
      <c r="CC73" s="59">
        <f t="shared" si="65"/>
        <v>860.07665558788926</v>
      </c>
      <c r="CD73" s="59">
        <f ca="1">AVERAGE(OFFSET($CC$3,0,0,'Données projet'!$E$12+1,1))-AVERAGE(OFFSET($H$3,0,0,'Données projet'!$E$12+1,1))</f>
        <v>253.62423410951334</v>
      </c>
      <c r="CE73" s="59">
        <f t="shared" si="94"/>
        <v>230.93438491511529</v>
      </c>
      <c r="CF73" s="15">
        <f>IF(ISNA(VLOOKUP(A73,'Données projet'!$A$113:$I$133,3,0)),0,VLOOKUP(A73,'Données projet'!$A$113:$I$133,3,0))</f>
        <v>8</v>
      </c>
      <c r="CG73" s="15">
        <f>IF(ISNA(VLOOKUP(A73,'Données projet'!$A$113:$I$133,4,0)),0,VLOOKUP(A73,'Données projet'!$A$113:$I$133,4,0))</f>
        <v>469.06923076923073</v>
      </c>
      <c r="CH73" s="16">
        <f>IF(ISNA(VLOOKUP(A73,'Données projet'!$A$113:$I$133,5,0)),0%,VLOOKUP(A73,'Données projet'!$A$113:$I$133,5,0)*VLOOKUP('Données projet'!$B$12,Paramètres!$A$1:$I$89,7,0))</f>
        <v>0.38500000000000001</v>
      </c>
      <c r="CI73" s="16">
        <f>IF(ISNA(VLOOKUP(A73,'Données projet'!$A$113:$I$133,6,0)),0%,VLOOKUP(A73,'Données projet'!$A$113:$I$133,6,0)*VLOOKUP('Données projet'!$B$12,Paramètres!$A$1:$I$89,7,0))</f>
        <v>9.240000000000001E-2</v>
      </c>
      <c r="CJ73" s="16">
        <f>IF(ISNA(VLOOKUP(A73,'Données projet'!$A$113:$I$133,7,0)),0%,VLOOKUP(A73,'Données projet'!$A$113:$I$133,7,0))</f>
        <v>0.13200000000000001</v>
      </c>
      <c r="CK73" s="21">
        <f>EXP(-LN(2)/35)*CK72+(1-EXP(-LN(2)/35))/(LN(2)/35)*CG73*CH73*VLOOKUP('Données projet'!$B$12,Paramètres!$A$1:$I$89,3,0)*0.475*44/12</f>
        <v>210.47661132892722</v>
      </c>
      <c r="CL73" s="21">
        <f>EXP(-LN(2)/25)*CL72+(1-EXP(-LN(2)/25))/(LN(2)/25)*Calculateur!CG73*Calculateur!CI73*VLOOKUP('Données projet'!$B$12,Paramètres!$A$1:$I$89,3,0)*0.475*44/12</f>
        <v>55.429916681601206</v>
      </c>
      <c r="CM73" s="21">
        <f>EXP(-LN(2)/2)*CM72+(1-EXP(-LN(2)/2))/(LN(2)/2)*CG73*CJ73*VLOOKUP('Données projet'!$B$12,Paramètres!$A$1:$I$89,3,0)*0.475*44/12</f>
        <v>39.832360308362468</v>
      </c>
      <c r="CN73" s="22">
        <f t="shared" si="66"/>
        <v>305.73888831889087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13.02735042735042</v>
      </c>
      <c r="N74" s="13">
        <f>IF('Données projet'!$A$36&gt;35,N73+M74-V73,IF(A74&lt;'Données projet'!$A$36,$K$205^A74,IF(A74='Données projet'!$A$36,'Données projet'!$B$36,N73+M74-V73)))</f>
        <v>378.7598290598288</v>
      </c>
      <c r="O74" s="13">
        <f>N74*VLOOKUP('Données projet'!$B$9,Paramètres!$A$1:$I$89,3,0)*VLOOKUP('Données projet'!$B$9,Paramètres!$A$1:$I$89,5,0)</f>
        <v>177.25959999999989</v>
      </c>
      <c r="P74" s="13">
        <f t="shared" si="87"/>
        <v>44.711954347677931</v>
      </c>
      <c r="Q74" s="20">
        <f t="shared" si="54"/>
        <v>386.60045715553883</v>
      </c>
      <c r="R74" s="59">
        <f t="shared" si="55"/>
        <v>679.93379048887209</v>
      </c>
      <c r="S74" s="59">
        <f ca="1">AVERAGE(OFFSET($R$3,0,0,'Données projet'!$E$9+1,1))-AVERAGE(OFFSET($H$3,0,0,'Données projet'!$E$9+1,1))</f>
        <v>190.74210845597287</v>
      </c>
      <c r="T74" s="59">
        <f t="shared" si="88"/>
        <v>131.88015896015884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47.85367345307273</v>
      </c>
      <c r="AA74" s="21">
        <f>EXP(-LN(2)/25)*AA73+(1-EXP(-LN(2)/25))/(LN(2)/25)*Calculateur!V74*Calculateur!X74*VLOOKUP('Données projet'!$B$9,Paramètres!$A$1:$I$89,3,0)*0.475*44/12</f>
        <v>19.300143290337129</v>
      </c>
      <c r="AB74" s="21">
        <f>EXP(-LN(2)/2)*AB73+(1-EXP(-LN(2)/2))/(LN(2)/2)*V74*Y74*VLOOKUP('Données projet'!$B$9,Paramètres!$A$1:$I$89,3,0)*0.475*44/12</f>
        <v>1.0468818658550489</v>
      </c>
      <c r="AC74" s="22">
        <f t="shared" si="57"/>
        <v>68.200698609264919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-6.3550942286383367E-14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278.5296012747549</v>
      </c>
      <c r="AO74" s="59">
        <f t="shared" si="90"/>
        <v>370.55343097937077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165.10323428800319</v>
      </c>
      <c r="AV74" s="21">
        <f>EXP(-LN(2)/25)*AV73+(1-EXP(-LN(2)/25))/(LN(2)/25)*Calculateur!AQ74*Calculateur!AS74*VLOOKUP('Données projet'!$B$10,Paramètres!$A$1:$I$89,3,0)*0.475*44/12</f>
        <v>36.967594454396846</v>
      </c>
      <c r="AW74" s="21">
        <f>EXP(-LN(2)/2)*AW73+(1-EXP(-LN(2)/2))/(LN(2)/2)*AQ74*AT74*VLOOKUP('Données projet'!$B$10,Paramètres!$A$1:$I$89,3,0)*0.475*44/12</f>
        <v>0.13344259376606435</v>
      </c>
      <c r="AX74" s="21">
        <f t="shared" si="60"/>
        <v>202.2042713361661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5.8210256410256402</v>
      </c>
      <c r="BD74" s="12">
        <f>IF('Données projet'!$A$88&gt;35,BD73+BC74-BL73,IF(A74&lt;'Données projet'!$A$88,$BA$205^A74,IF(A74='Données projet'!$A$88,'Données projet'!$B$88,BD73+BC74-BL73)))</f>
        <v>226.96871794871802</v>
      </c>
      <c r="BE74" s="13">
        <f>BD74*VLOOKUP('Données projet'!$B$11,Paramètres!$A$1:$I$89,3,0)*VLOOKUP('Données projet'!$B$11,Paramètres!$A$1:$I$89,5,0)</f>
        <v>106.22136000000003</v>
      </c>
      <c r="BF74" s="13">
        <f t="shared" si="91"/>
        <v>28.438904459852015</v>
      </c>
      <c r="BG74" s="20">
        <f t="shared" si="61"/>
        <v>234.53329393424232</v>
      </c>
      <c r="BH74" s="59">
        <f t="shared" si="62"/>
        <v>527.86662726757561</v>
      </c>
      <c r="BI74" s="59">
        <f ca="1">AVERAGE(OFFSET($BH$3,0,0,'Données projet'!$E$11+1,1))-AVERAGE(OFFSET($H$3,0,0,'Données projet'!$E$11+1,1))</f>
        <v>111.85541298746966</v>
      </c>
      <c r="BJ74" s="59">
        <f t="shared" si="92"/>
        <v>27.56942482401746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12.635726224775134</v>
      </c>
      <c r="BR74" s="21">
        <f>EXP(-LN(2)/2)*BR73+(1-EXP(-LN(2)/2))/(LN(2)/2)*BL74*BO74*VLOOKUP('Données projet'!$B$11,Paramètres!$A$1:$I$89,3,0)*0.475*44/12</f>
        <v>4.3204354059101515</v>
      </c>
      <c r="BS74" s="22">
        <f t="shared" si="63"/>
        <v>16.956161630685287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253.62423410951334</v>
      </c>
      <c r="CE74" s="59">
        <f t="shared" si="94"/>
        <v>230.93438491511529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206.34929335882359</v>
      </c>
      <c r="CL74" s="21">
        <f>EXP(-LN(2)/25)*CL73+(1-EXP(-LN(2)/25))/(LN(2)/25)*Calculateur!CG74*Calculateur!CI74*VLOOKUP('Données projet'!$B$12,Paramètres!$A$1:$I$89,3,0)*0.475*44/12</f>
        <v>53.91418269501019</v>
      </c>
      <c r="CM74" s="21">
        <f>EXP(-LN(2)/2)*CM73+(1-EXP(-LN(2)/2))/(LN(2)/2)*CG74*CJ74*VLOOKUP('Données projet'!$B$12,Paramètres!$A$1:$I$89,3,0)*0.475*44/12</f>
        <v>28.165732084708981</v>
      </c>
      <c r="CN74" s="22">
        <f t="shared" si="66"/>
        <v>288.42920813854272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13.02735042735042</v>
      </c>
      <c r="N75" s="13">
        <f>IF('Données projet'!$A$36&gt;35,N74+M75-V74,IF(A75&lt;'Données projet'!$A$36,$K$205^A75,IF(A75='Données projet'!$A$36,'Données projet'!$B$36,N74+M75-V74)))</f>
        <v>391.78717948717923</v>
      </c>
      <c r="O75" s="13">
        <f>N75*VLOOKUP('Données projet'!$B$9,Paramètres!$A$1:$I$89,3,0)*VLOOKUP('Données projet'!$B$9,Paramètres!$A$1:$I$89,5,0)</f>
        <v>183.35639999999989</v>
      </c>
      <c r="P75" s="13">
        <f t="shared" si="87"/>
        <v>46.068118510976113</v>
      </c>
      <c r="Q75" s="20">
        <f t="shared" si="54"/>
        <v>399.58103640661653</v>
      </c>
      <c r="R75" s="59">
        <f t="shared" si="55"/>
        <v>692.91436973994985</v>
      </c>
      <c r="S75" s="59">
        <f ca="1">AVERAGE(OFFSET($R$3,0,0,'Données projet'!$E$9+1,1))-AVERAGE(OFFSET($H$3,0,0,'Données projet'!$E$9+1,1))</f>
        <v>190.74210845597287</v>
      </c>
      <c r="T75" s="59">
        <f t="shared" si="88"/>
        <v>131.88015896015884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46.915292104516716</v>
      </c>
      <c r="AA75" s="21">
        <f>EXP(-LN(2)/25)*AA74+(1-EXP(-LN(2)/25))/(LN(2)/25)*Calculateur!V75*Calculateur!X75*VLOOKUP('Données projet'!$B$9,Paramètres!$A$1:$I$89,3,0)*0.475*44/12</f>
        <v>18.772379857112437</v>
      </c>
      <c r="AB75" s="21">
        <f>EXP(-LN(2)/2)*AB74+(1-EXP(-LN(2)/2))/(LN(2)/2)*V75*Y75*VLOOKUP('Données projet'!$B$9,Paramètres!$A$1:$I$89,3,0)*0.475*44/12</f>
        <v>0.7402572664473307</v>
      </c>
      <c r="AC75" s="22">
        <f t="shared" si="57"/>
        <v>66.427929228076479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-6.3550942286383367E-14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278.5296012747549</v>
      </c>
      <c r="AO75" s="59">
        <f t="shared" si="90"/>
        <v>370.55343097937077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161.86566056664478</v>
      </c>
      <c r="AV75" s="21">
        <f>EXP(-LN(2)/25)*AV74+(1-EXP(-LN(2)/25))/(LN(2)/25)*Calculateur!AQ75*Calculateur!AS75*VLOOKUP('Données projet'!$B$10,Paramètres!$A$1:$I$89,3,0)*0.475*44/12</f>
        <v>35.956713640000061</v>
      </c>
      <c r="AW75" s="21">
        <f>EXP(-LN(2)/2)*AW74+(1-EXP(-LN(2)/2))/(LN(2)/2)*AQ75*AT75*VLOOKUP('Données projet'!$B$10,Paramètres!$A$1:$I$89,3,0)*0.475*44/12</f>
        <v>9.4358162951105815E-2</v>
      </c>
      <c r="AX75" s="21">
        <f t="shared" si="60"/>
        <v>197.91673236959593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5.8210256410256402</v>
      </c>
      <c r="BD75" s="12">
        <f>IF('Données projet'!$A$88&gt;35,BD74+BC75-BL74,IF(A75&lt;'Données projet'!$A$88,$BA$205^A75,IF(A75='Données projet'!$A$88,'Données projet'!$B$88,BD74+BC75-BL74)))</f>
        <v>232.78974358974367</v>
      </c>
      <c r="BE75" s="13">
        <f>BD75*VLOOKUP('Données projet'!$B$11,Paramètres!$A$1:$I$89,3,0)*VLOOKUP('Données projet'!$B$11,Paramètres!$A$1:$I$89,5,0)</f>
        <v>108.94560000000004</v>
      </c>
      <c r="BF75" s="13">
        <f t="shared" si="91"/>
        <v>29.082420622024838</v>
      </c>
      <c r="BG75" s="20">
        <f t="shared" si="61"/>
        <v>240.39880258335998</v>
      </c>
      <c r="BH75" s="59">
        <f t="shared" si="62"/>
        <v>533.73213591669332</v>
      </c>
      <c r="BI75" s="59">
        <f ca="1">AVERAGE(OFFSET($BH$3,0,0,'Données projet'!$E$11+1,1))-AVERAGE(OFFSET($H$3,0,0,'Données projet'!$E$11+1,1))</f>
        <v>111.85541298746966</v>
      </c>
      <c r="BJ75" s="59">
        <f t="shared" si="92"/>
        <v>27.56942482401746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12.290201626674694</v>
      </c>
      <c r="BR75" s="21">
        <f>EXP(-LN(2)/2)*BR74+(1-EXP(-LN(2)/2))/(LN(2)/2)*BL75*BO75*VLOOKUP('Données projet'!$B$11,Paramètres!$A$1:$I$89,3,0)*0.475*44/12</f>
        <v>3.0550091731975222</v>
      </c>
      <c r="BS75" s="22">
        <f t="shared" si="63"/>
        <v>15.345210799872216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253.62423410951334</v>
      </c>
      <c r="CE75" s="59">
        <f t="shared" si="94"/>
        <v>230.93438491511529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202.30290957669831</v>
      </c>
      <c r="CL75" s="21">
        <f>EXP(-LN(2)/25)*CL74+(1-EXP(-LN(2)/25))/(LN(2)/25)*Calculateur!CG75*Calculateur!CI75*VLOOKUP('Données projet'!$B$12,Paramètres!$A$1:$I$89,3,0)*0.475*44/12</f>
        <v>52.439896533991494</v>
      </c>
      <c r="CM75" s="21">
        <f>EXP(-LN(2)/2)*CM74+(1-EXP(-LN(2)/2))/(LN(2)/2)*CG75*CJ75*VLOOKUP('Données projet'!$B$12,Paramètres!$A$1:$I$89,3,0)*0.475*44/12</f>
        <v>19.916180154181237</v>
      </c>
      <c r="CN75" s="22">
        <f t="shared" si="66"/>
        <v>274.65898626487103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13.02735042735042</v>
      </c>
      <c r="N76" s="13">
        <f>IF('Données projet'!$A$36&gt;35,N75+M76-V75,IF(A76&lt;'Données projet'!$A$36,$K$205^A76,IF(A76='Données projet'!$A$36,'Données projet'!$B$36,N75+M76-V75)))</f>
        <v>404.81452991452966</v>
      </c>
      <c r="O76" s="13">
        <f>N76*VLOOKUP('Données projet'!$B$9,Paramètres!$A$1:$I$89,3,0)*VLOOKUP('Données projet'!$B$9,Paramètres!$A$1:$I$89,5,0)</f>
        <v>189.45319999999987</v>
      </c>
      <c r="P76" s="13">
        <f t="shared" si="87"/>
        <v>47.419042864854745</v>
      </c>
      <c r="Q76" s="20">
        <f t="shared" si="54"/>
        <v>412.5524896562884</v>
      </c>
      <c r="R76" s="59">
        <f t="shared" si="55"/>
        <v>705.88582298962172</v>
      </c>
      <c r="S76" s="59">
        <f ca="1">AVERAGE(OFFSET($R$3,0,0,'Données projet'!$E$9+1,1))-AVERAGE(OFFSET($H$3,0,0,'Données projet'!$E$9+1,1))</f>
        <v>190.74210845597287</v>
      </c>
      <c r="T76" s="59">
        <f t="shared" si="88"/>
        <v>131.88015896015884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45.995311841849784</v>
      </c>
      <c r="AA76" s="21">
        <f>EXP(-LN(2)/25)*AA75+(1-EXP(-LN(2)/25))/(LN(2)/25)*Calculateur!V76*Calculateur!X76*VLOOKUP('Données projet'!$B$9,Paramètres!$A$1:$I$89,3,0)*0.475*44/12</f>
        <v>18.259048142723145</v>
      </c>
      <c r="AB76" s="21">
        <f>EXP(-LN(2)/2)*AB75+(1-EXP(-LN(2)/2))/(LN(2)/2)*V76*Y76*VLOOKUP('Données projet'!$B$9,Paramètres!$A$1:$I$89,3,0)*0.475*44/12</f>
        <v>0.52344093292752447</v>
      </c>
      <c r="AC76" s="22">
        <f t="shared" si="57"/>
        <v>64.777800917500457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-6.3550942286383367E-14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278.5296012747549</v>
      </c>
      <c r="AO76" s="59">
        <f t="shared" si="90"/>
        <v>370.55343097937077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158.69157369123721</v>
      </c>
      <c r="AV76" s="21">
        <f>EXP(-LN(2)/25)*AV75+(1-EXP(-LN(2)/25))/(LN(2)/25)*Calculateur!AQ76*Calculateur!AS76*VLOOKUP('Données projet'!$B$10,Paramètres!$A$1:$I$89,3,0)*0.475*44/12</f>
        <v>34.973475414632865</v>
      </c>
      <c r="AW76" s="21">
        <f>EXP(-LN(2)/2)*AW75+(1-EXP(-LN(2)/2))/(LN(2)/2)*AQ76*AT76*VLOOKUP('Données projet'!$B$10,Paramètres!$A$1:$I$89,3,0)*0.475*44/12</f>
        <v>6.6721296883032175E-2</v>
      </c>
      <c r="AX76" s="21">
        <f t="shared" si="60"/>
        <v>193.73177040275311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5.8210256410256402</v>
      </c>
      <c r="BD76" s="12">
        <f>IF('Données projet'!$A$88&gt;35,BD75+BC76-BL75,IF(A76&lt;'Données projet'!$A$88,$BA$205^A76,IF(A76='Données projet'!$A$88,'Données projet'!$B$88,BD75+BC76-BL75)))</f>
        <v>238.61076923076931</v>
      </c>
      <c r="BE76" s="13">
        <f>BD76*VLOOKUP('Données projet'!$B$11,Paramètres!$A$1:$I$89,3,0)*VLOOKUP('Données projet'!$B$11,Paramètres!$A$1:$I$89,5,0)</f>
        <v>111.66984000000004</v>
      </c>
      <c r="BF76" s="13">
        <f t="shared" si="91"/>
        <v>29.724066256865964</v>
      </c>
      <c r="BG76" s="20">
        <f t="shared" si="61"/>
        <v>246.26105339737492</v>
      </c>
      <c r="BH76" s="59">
        <f t="shared" si="62"/>
        <v>539.59438673070827</v>
      </c>
      <c r="BI76" s="59">
        <f ca="1">AVERAGE(OFFSET($BH$3,0,0,'Données projet'!$E$11+1,1))-AVERAGE(OFFSET($H$3,0,0,'Données projet'!$E$11+1,1))</f>
        <v>111.85541298746966</v>
      </c>
      <c r="BJ76" s="59">
        <f t="shared" si="92"/>
        <v>27.56942482401746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11.954125416879661</v>
      </c>
      <c r="BR76" s="21">
        <f>EXP(-LN(2)/2)*BR75+(1-EXP(-LN(2)/2))/(LN(2)/2)*BL76*BO76*VLOOKUP('Données projet'!$B$11,Paramètres!$A$1:$I$89,3,0)*0.475*44/12</f>
        <v>2.1602177029550758</v>
      </c>
      <c r="BS76" s="22">
        <f t="shared" si="63"/>
        <v>14.114343119834736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253.62423410951334</v>
      </c>
      <c r="CE76" s="59">
        <f t="shared" si="94"/>
        <v>230.93438491511529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198.33587291249009</v>
      </c>
      <c r="CL76" s="21">
        <f>EXP(-LN(2)/25)*CL75+(1-EXP(-LN(2)/25))/(LN(2)/25)*Calculateur!CG76*Calculateur!CI76*VLOOKUP('Données projet'!$B$12,Paramètres!$A$1:$I$89,3,0)*0.475*44/12</f>
        <v>51.005924805575191</v>
      </c>
      <c r="CM76" s="21">
        <f>EXP(-LN(2)/2)*CM75+(1-EXP(-LN(2)/2))/(LN(2)/2)*CG76*CJ76*VLOOKUP('Données projet'!$B$12,Paramètres!$A$1:$I$89,3,0)*0.475*44/12</f>
        <v>14.082866042354494</v>
      </c>
      <c r="CN76" s="22">
        <f t="shared" si="66"/>
        <v>263.42466376041978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13.02735042735042</v>
      </c>
      <c r="N77" s="13">
        <f>IF('Données projet'!$A$36&gt;35,N76+M77-V76,IF(A77&lt;'Données projet'!$A$36,$K$205^A77,IF(A77='Données projet'!$A$36,'Données projet'!$B$36,N76+M77-V76)))</f>
        <v>417.84188034188008</v>
      </c>
      <c r="O77" s="13">
        <f>N77*VLOOKUP('Données projet'!$B$9,Paramètres!$A$1:$I$89,3,0)*VLOOKUP('Données projet'!$B$9,Paramètres!$A$1:$I$89,5,0)</f>
        <v>195.54999999999987</v>
      </c>
      <c r="P77" s="13">
        <f t="shared" si="87"/>
        <v>48.764915373179647</v>
      </c>
      <c r="Q77" s="20">
        <f t="shared" si="54"/>
        <v>425.51514427495431</v>
      </c>
      <c r="R77" s="59">
        <f t="shared" si="55"/>
        <v>718.84847760828757</v>
      </c>
      <c r="S77" s="59">
        <f ca="1">AVERAGE(OFFSET($R$3,0,0,'Données projet'!$E$9+1,1))-AVERAGE(OFFSET($H$3,0,0,'Données projet'!$E$9+1,1))</f>
        <v>190.74210845597287</v>
      </c>
      <c r="T77" s="59">
        <f t="shared" si="88"/>
        <v>131.88015896015884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45.093371831001193</v>
      </c>
      <c r="AA77" s="21">
        <f>EXP(-LN(2)/25)*AA76+(1-EXP(-LN(2)/25))/(LN(2)/25)*Calculateur!V77*Calculateur!X77*VLOOKUP('Données projet'!$B$9,Paramètres!$A$1:$I$89,3,0)*0.475*44/12</f>
        <v>17.759753511058772</v>
      </c>
      <c r="AB77" s="21">
        <f>EXP(-LN(2)/2)*AB76+(1-EXP(-LN(2)/2))/(LN(2)/2)*V77*Y77*VLOOKUP('Données projet'!$B$9,Paramètres!$A$1:$I$89,3,0)*0.475*44/12</f>
        <v>0.37012863322366535</v>
      </c>
      <c r="AC77" s="22">
        <f t="shared" si="57"/>
        <v>63.223253975283633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-6.3550942286383367E-14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278.5296012747549</v>
      </c>
      <c r="AO77" s="59">
        <f t="shared" si="90"/>
        <v>370.55343097937077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155.57972872345456</v>
      </c>
      <c r="AV77" s="21">
        <f>EXP(-LN(2)/25)*AV76+(1-EXP(-LN(2)/25))/(LN(2)/25)*Calculateur!AQ77*Calculateur!AS77*VLOOKUP('Données projet'!$B$10,Paramètres!$A$1:$I$89,3,0)*0.475*44/12</f>
        <v>34.017123890244591</v>
      </c>
      <c r="AW77" s="21">
        <f>EXP(-LN(2)/2)*AW76+(1-EXP(-LN(2)/2))/(LN(2)/2)*AQ77*AT77*VLOOKUP('Données projet'!$B$10,Paramètres!$A$1:$I$89,3,0)*0.475*44/12</f>
        <v>4.7179081475552907E-2</v>
      </c>
      <c r="AX77" s="21">
        <f t="shared" si="60"/>
        <v>189.6440316951747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5.8210256410256402</v>
      </c>
      <c r="BD77" s="12">
        <f>IF('Données projet'!$A$88&gt;35,BD76+BC77-BL76,IF(A77&lt;'Données projet'!$A$88,$BA$205^A77,IF(A77='Données projet'!$A$88,'Données projet'!$B$88,BD76+BC77-BL76)))</f>
        <v>244.43179487179495</v>
      </c>
      <c r="BE77" s="13">
        <f>BD77*VLOOKUP('Données projet'!$B$11,Paramètres!$A$1:$I$89,3,0)*VLOOKUP('Données projet'!$B$11,Paramètres!$A$1:$I$89,5,0)</f>
        <v>114.39408000000003</v>
      </c>
      <c r="BF77" s="13">
        <f t="shared" si="91"/>
        <v>30.363892246356816</v>
      </c>
      <c r="BG77" s="20">
        <f t="shared" si="61"/>
        <v>252.12013499573814</v>
      </c>
      <c r="BH77" s="59">
        <f t="shared" si="62"/>
        <v>545.45346832907148</v>
      </c>
      <c r="BI77" s="59">
        <f ca="1">AVERAGE(OFFSET($BH$3,0,0,'Données projet'!$E$11+1,1))-AVERAGE(OFFSET($H$3,0,0,'Données projet'!$E$11+1,1))</f>
        <v>111.85541298746966</v>
      </c>
      <c r="BJ77" s="59">
        <f t="shared" si="92"/>
        <v>27.56942482401746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11.627239228714952</v>
      </c>
      <c r="BR77" s="21">
        <f>EXP(-LN(2)/2)*BR76+(1-EXP(-LN(2)/2))/(LN(2)/2)*BL77*BO77*VLOOKUP('Données projet'!$B$11,Paramètres!$A$1:$I$89,3,0)*0.475*44/12</f>
        <v>1.5275045865987611</v>
      </c>
      <c r="BS77" s="22">
        <f t="shared" si="63"/>
        <v>13.154743815313713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253.62423410951334</v>
      </c>
      <c r="CE77" s="59">
        <f t="shared" si="94"/>
        <v>230.93438491511529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194.44662741761354</v>
      </c>
      <c r="CL77" s="21">
        <f>EXP(-LN(2)/25)*CL76+(1-EXP(-LN(2)/25))/(LN(2)/25)*Calculateur!CG77*Calculateur!CI77*VLOOKUP('Données projet'!$B$12,Paramètres!$A$1:$I$89,3,0)*0.475*44/12</f>
        <v>49.611165109481725</v>
      </c>
      <c r="CM77" s="21">
        <f>EXP(-LN(2)/2)*CM76+(1-EXP(-LN(2)/2))/(LN(2)/2)*CG77*CJ77*VLOOKUP('Données projet'!$B$12,Paramètres!$A$1:$I$89,3,0)*0.475*44/12</f>
        <v>9.9580900770906204</v>
      </c>
      <c r="CN77" s="22">
        <f t="shared" si="66"/>
        <v>254.01588260418589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430.86923076923074</v>
      </c>
      <c r="L78" s="12">
        <f>VLOOKUP(A78,'Données projet'!$A$35:$I$55,9,0)</f>
        <v>13.02735042735042</v>
      </c>
      <c r="M78" s="12">
        <f t="array" ref="M78">INDEX(L:L,MIN(IF(ISNUMBER(L78:L274),ROW(L78:L274),"")))</f>
        <v>13.02735042735042</v>
      </c>
      <c r="N78" s="13">
        <f>IF('Données projet'!$A$36&gt;35,N77+M78-V77,IF(A78&lt;'Données projet'!$A$36,$K$205^A78,IF(A78='Données projet'!$A$36,'Données projet'!$B$36,N77+M78-V77)))</f>
        <v>430.86923076923051</v>
      </c>
      <c r="O78" s="13">
        <f>N78*VLOOKUP('Données projet'!$B$9,Paramètres!$A$1:$I$89,3,0)*VLOOKUP('Données projet'!$B$9,Paramètres!$A$1:$I$89,5,0)</f>
        <v>201.64679999999987</v>
      </c>
      <c r="P78" s="13">
        <f t="shared" si="87"/>
        <v>50.105911613506244</v>
      </c>
      <c r="Q78" s="20">
        <f t="shared" si="54"/>
        <v>438.46930606018981</v>
      </c>
      <c r="R78" s="59">
        <f t="shared" si="55"/>
        <v>731.80263939352312</v>
      </c>
      <c r="S78" s="59">
        <f ca="1">AVERAGE(OFFSET($R$3,0,0,'Données projet'!$E$9+1,1))-AVERAGE(OFFSET($H$3,0,0,'Données projet'!$E$9+1,1))</f>
        <v>190.74210845597287</v>
      </c>
      <c r="T78" s="59">
        <f t="shared" si="88"/>
        <v>131.88015896015884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78.307692307692307</v>
      </c>
      <c r="W78" s="16">
        <f>IF(ISNA(VLOOKUP(A78,'Données projet'!$A$35:$I$55,5,0)),0%,VLOOKUP(A78,'Données projet'!$A$35:$I$55,5,0)*VLOOKUP('Données projet'!$B$9,Paramètres!$A$1:$I$89,7,0))</f>
        <v>0.38500000000000001</v>
      </c>
      <c r="X78" s="16">
        <f>IF(ISNA(VLOOKUP(A78,'Données projet'!$A$35:$I$55,6,0)),0%,VLOOKUP(A78,'Données projet'!$A$35:$I$55,6,0)*VLOOKUP('Données projet'!$B$9,Paramètres!$A$1:$I$89,7,0))</f>
        <v>9.240000000000001E-2</v>
      </c>
      <c r="Y78" s="16">
        <f>IF(ISNA(VLOOKUP(A78,'Données projet'!$A$35:$I$55,7,0)),0%,VLOOKUP(A78,'Données projet'!$A$35:$I$55,7,0))</f>
        <v>0.13200000000000001</v>
      </c>
      <c r="Z78" s="21">
        <f>EXP(-LN(2)/35)*Z77+(1-EXP(-LN(2)/35))/(LN(2)/35)*V78*W78*VLOOKUP('Données projet'!$B$9,Paramètres!$A$1:$I$89,3,0)*0.475*44/12</f>
        <v>62.926252966371337</v>
      </c>
      <c r="AA78" s="21">
        <f>EXP(-LN(2)/25)*AA77+(1-EXP(-LN(2)/25))/(LN(2)/25)*Calculateur!V78*Calculateur!X78*VLOOKUP('Données projet'!$B$9,Paramètres!$A$1:$I$89,3,0)*0.475*44/12</f>
        <v>21.748537276190785</v>
      </c>
      <c r="AB78" s="21">
        <f>EXP(-LN(2)/2)*AB77+(1-EXP(-LN(2)/2))/(LN(2)/2)*V78*Y78*VLOOKUP('Données projet'!$B$9,Paramètres!$A$1:$I$89,3,0)*0.475*44/12</f>
        <v>5.7389349661107527</v>
      </c>
      <c r="AC78" s="22">
        <f t="shared" si="57"/>
        <v>90.413725208672872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-6.3550942286383367E-14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278.5296012747549</v>
      </c>
      <c r="AO78" s="59">
        <f t="shared" si="90"/>
        <v>370.55343097937077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152.52890513745211</v>
      </c>
      <c r="AV78" s="21">
        <f>EXP(-LN(2)/25)*AV77+(1-EXP(-LN(2)/25))/(LN(2)/25)*Calculateur!AQ78*Calculateur!AS78*VLOOKUP('Données projet'!$B$10,Paramètres!$A$1:$I$89,3,0)*0.475*44/12</f>
        <v>33.086923848583055</v>
      </c>
      <c r="AW78" s="21">
        <f>EXP(-LN(2)/2)*AW77+(1-EXP(-LN(2)/2))/(LN(2)/2)*AQ78*AT78*VLOOKUP('Données projet'!$B$10,Paramètres!$A$1:$I$89,3,0)*0.475*44/12</f>
        <v>3.3360648441516087E-2</v>
      </c>
      <c r="AX78" s="21">
        <f t="shared" si="60"/>
        <v>185.6491896344767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5.8210256410256402</v>
      </c>
      <c r="BD78" s="12">
        <f>IF('Données projet'!$A$88&gt;35,BD77+BC78-BL77,IF(A78&lt;'Données projet'!$A$88,$BA$205^A78,IF(A78='Données projet'!$A$88,'Données projet'!$B$88,BD77+BC78-BL77)))</f>
        <v>250.25282051282059</v>
      </c>
      <c r="BE78" s="13">
        <f>BD78*VLOOKUP('Données projet'!$B$11,Paramètres!$A$1:$I$89,3,0)*VLOOKUP('Données projet'!$B$11,Paramètres!$A$1:$I$89,5,0)</f>
        <v>117.11832000000003</v>
      </c>
      <c r="BF78" s="13">
        <f t="shared" si="91"/>
        <v>31.001946910795716</v>
      </c>
      <c r="BG78" s="20">
        <f t="shared" si="61"/>
        <v>257.97613153630255</v>
      </c>
      <c r="BH78" s="59">
        <f t="shared" si="62"/>
        <v>551.3094648696358</v>
      </c>
      <c r="BI78" s="59">
        <f ca="1">AVERAGE(OFFSET($BH$3,0,0,'Données projet'!$E$11+1,1))-AVERAGE(OFFSET($H$3,0,0,'Données projet'!$E$11+1,1))</f>
        <v>111.85541298746966</v>
      </c>
      <c r="BJ78" s="59">
        <f t="shared" si="92"/>
        <v>27.56942482401746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11.309291760555805</v>
      </c>
      <c r="BR78" s="21">
        <f>EXP(-LN(2)/2)*BR77+(1-EXP(-LN(2)/2))/(LN(2)/2)*BL78*BO78*VLOOKUP('Données projet'!$B$11,Paramètres!$A$1:$I$89,3,0)*0.475*44/12</f>
        <v>1.0801088514775379</v>
      </c>
      <c r="BS78" s="22">
        <f t="shared" si="63"/>
        <v>12.389400612033343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253.62423410951334</v>
      </c>
      <c r="CE78" s="59">
        <f t="shared" si="94"/>
        <v>230.93438491511529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190.633647654686</v>
      </c>
      <c r="CL78" s="21">
        <f>EXP(-LN(2)/25)*CL77+(1-EXP(-LN(2)/25))/(LN(2)/25)*Calculateur!CG78*Calculateur!CI78*VLOOKUP('Données projet'!$B$12,Paramètres!$A$1:$I$89,3,0)*0.475*44/12</f>
        <v>48.254545190625159</v>
      </c>
      <c r="CM78" s="21">
        <f>EXP(-LN(2)/2)*CM77+(1-EXP(-LN(2)/2))/(LN(2)/2)*CG78*CJ78*VLOOKUP('Données projet'!$B$12,Paramètres!$A$1:$I$89,3,0)*0.475*44/12</f>
        <v>7.041433021177248</v>
      </c>
      <c r="CN78" s="22">
        <f t="shared" si="66"/>
        <v>245.92962586648841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12.25961538461538</v>
      </c>
      <c r="N79" s="13">
        <f>IF('Données projet'!$A$36&gt;35,N78+M79-V78,IF(A79&lt;'Données projet'!$A$36,$K$205^A79,IF(A79='Données projet'!$A$36,'Données projet'!$B$36,N78+M79-V78)))</f>
        <v>364.82115384615355</v>
      </c>
      <c r="O79" s="13">
        <f>N79*VLOOKUP('Données projet'!$B$9,Paramètres!$A$1:$I$89,3,0)*VLOOKUP('Données projet'!$B$9,Paramètres!$A$1:$I$89,5,0)</f>
        <v>170.73629999999986</v>
      </c>
      <c r="P79" s="13">
        <f t="shared" si="87"/>
        <v>43.254888789891716</v>
      </c>
      <c r="Q79" s="20">
        <f t="shared" si="54"/>
        <v>372.70132047572787</v>
      </c>
      <c r="R79" s="59">
        <f t="shared" si="55"/>
        <v>666.03465380906118</v>
      </c>
      <c r="S79" s="59">
        <f ca="1">AVERAGE(OFFSET($R$3,0,0,'Données projet'!$E$9+1,1))-AVERAGE(OFFSET($H$3,0,0,'Données projet'!$E$9+1,1))</f>
        <v>190.74210845597287</v>
      </c>
      <c r="T79" s="59">
        <f t="shared" si="88"/>
        <v>131.88015896015884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61.692307526925276</v>
      </c>
      <c r="AA79" s="21">
        <f>EXP(-LN(2)/25)*AA78+(1-EXP(-LN(2)/25))/(LN(2)/25)*Calculateur!V79*Calculateur!X79*VLOOKUP('Données projet'!$B$9,Paramètres!$A$1:$I$89,3,0)*0.475*44/12</f>
        <v>21.153822380667478</v>
      </c>
      <c r="AB79" s="21">
        <f>EXP(-LN(2)/2)*AB78+(1-EXP(-LN(2)/2))/(LN(2)/2)*V79*Y79*VLOOKUP('Données projet'!$B$9,Paramètres!$A$1:$I$89,3,0)*0.475*44/12</f>
        <v>4.0580398313255026</v>
      </c>
      <c r="AC79" s="22">
        <f t="shared" si="57"/>
        <v>86.904169738918256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-6.3550942286383367E-14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278.5296012747549</v>
      </c>
      <c r="AO79" s="59">
        <f t="shared" si="90"/>
        <v>370.55343097937077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149.53790634115254</v>
      </c>
      <c r="AV79" s="21">
        <f>EXP(-LN(2)/25)*AV78+(1-EXP(-LN(2)/25))/(LN(2)/25)*Calculateur!AQ79*Calculateur!AS79*VLOOKUP('Données projet'!$B$10,Paramètres!$A$1:$I$89,3,0)*0.475*44/12</f>
        <v>32.182160175977849</v>
      </c>
      <c r="AW79" s="21">
        <f>EXP(-LN(2)/2)*AW78+(1-EXP(-LN(2)/2))/(LN(2)/2)*AQ79*AT79*VLOOKUP('Données projet'!$B$10,Paramètres!$A$1:$I$89,3,0)*0.475*44/12</f>
        <v>2.3589540737776454E-2</v>
      </c>
      <c r="AX79" s="21">
        <f t="shared" si="60"/>
        <v>181.74365605786818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5.8210256410256402</v>
      </c>
      <c r="BD79" s="12">
        <f>IF('Données projet'!$A$88&gt;35,BD78+BC79-BL78,IF(A79&lt;'Données projet'!$A$88,$BA$205^A79,IF(A79='Données projet'!$A$88,'Données projet'!$B$88,BD78+BC79-BL78)))</f>
        <v>256.0738461538462</v>
      </c>
      <c r="BE79" s="13">
        <f>BD79*VLOOKUP('Données projet'!$B$11,Paramètres!$A$1:$I$89,3,0)*VLOOKUP('Données projet'!$B$11,Paramètres!$A$1:$I$89,5,0)</f>
        <v>119.84256000000002</v>
      </c>
      <c r="BF79" s="13">
        <f t="shared" si="91"/>
        <v>31.638276194308517</v>
      </c>
      <c r="BG79" s="20">
        <f t="shared" si="61"/>
        <v>263.82912303842073</v>
      </c>
      <c r="BH79" s="59">
        <f t="shared" si="62"/>
        <v>557.16245637175405</v>
      </c>
      <c r="BI79" s="59">
        <f ca="1">AVERAGE(OFFSET($BH$3,0,0,'Données projet'!$E$11+1,1))-AVERAGE(OFFSET($H$3,0,0,'Données projet'!$E$11+1,1))</f>
        <v>111.85541298746966</v>
      </c>
      <c r="BJ79" s="59">
        <f t="shared" si="92"/>
        <v>27.56942482401746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11.0000385826336</v>
      </c>
      <c r="BR79" s="21">
        <f>EXP(-LN(2)/2)*BR78+(1-EXP(-LN(2)/2))/(LN(2)/2)*BL79*BO79*VLOOKUP('Données projet'!$B$11,Paramètres!$A$1:$I$89,3,0)*0.475*44/12</f>
        <v>0.76375229329938055</v>
      </c>
      <c r="BS79" s="22">
        <f t="shared" si="63"/>
        <v>11.76379087593298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253.62423410951334</v>
      </c>
      <c r="CE79" s="59">
        <f t="shared" si="94"/>
        <v>230.93438491511529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186.89543809922148</v>
      </c>
      <c r="CL79" s="21">
        <f>EXP(-LN(2)/25)*CL78+(1-EXP(-LN(2)/25))/(LN(2)/25)*Calculateur!CG79*Calculateur!CI79*VLOOKUP('Données projet'!$B$12,Paramètres!$A$1:$I$89,3,0)*0.475*44/12</f>
        <v>46.935022114791266</v>
      </c>
      <c r="CM79" s="21">
        <f>EXP(-LN(2)/2)*CM78+(1-EXP(-LN(2)/2))/(LN(2)/2)*CG79*CJ79*VLOOKUP('Données projet'!$B$12,Paramètres!$A$1:$I$89,3,0)*0.475*44/12</f>
        <v>4.9790450385453111</v>
      </c>
      <c r="CN79" s="22">
        <f t="shared" si="66"/>
        <v>238.80950525255807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12.25961538461538</v>
      </c>
      <c r="N80" s="13">
        <f>IF('Données projet'!$A$36&gt;35,N79+M80-V79,IF(A80&lt;'Données projet'!$A$36,$K$205^A80,IF(A80='Données projet'!$A$36,'Données projet'!$B$36,N79+M80-V79)))</f>
        <v>377.08076923076891</v>
      </c>
      <c r="O80" s="13">
        <f>N80*VLOOKUP('Données projet'!$B$9,Paramètres!$A$1:$I$89,3,0)*VLOOKUP('Données projet'!$B$9,Paramètres!$A$1:$I$89,5,0)</f>
        <v>176.47379999999987</v>
      </c>
      <c r="P80" s="13">
        <f t="shared" si="87"/>
        <v>44.536770589031235</v>
      </c>
      <c r="Q80" s="20">
        <f t="shared" si="54"/>
        <v>384.92674377589583</v>
      </c>
      <c r="R80" s="59">
        <f t="shared" si="55"/>
        <v>678.26007710922909</v>
      </c>
      <c r="S80" s="59">
        <f ca="1">AVERAGE(OFFSET($R$3,0,0,'Données projet'!$E$9+1,1))-AVERAGE(OFFSET($H$3,0,0,'Données projet'!$E$9+1,1))</f>
        <v>190.74210845597287</v>
      </c>
      <c r="T80" s="59">
        <f t="shared" si="88"/>
        <v>131.88015896015884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60.48255900491435</v>
      </c>
      <c r="AA80" s="21">
        <f>EXP(-LN(2)/25)*AA79+(1-EXP(-LN(2)/25))/(LN(2)/25)*Calculateur!V80*Calculateur!X80*VLOOKUP('Données projet'!$B$9,Paramètres!$A$1:$I$89,3,0)*0.475*44/12</f>
        <v>20.575369995236954</v>
      </c>
      <c r="AB80" s="21">
        <f>EXP(-LN(2)/2)*AB79+(1-EXP(-LN(2)/2))/(LN(2)/2)*V80*Y80*VLOOKUP('Données projet'!$B$9,Paramètres!$A$1:$I$89,3,0)*0.475*44/12</f>
        <v>2.8694674830553768</v>
      </c>
      <c r="AC80" s="22">
        <f t="shared" si="57"/>
        <v>83.927396483206678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-6.3550942286383367E-14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278.5296012747549</v>
      </c>
      <c r="AO80" s="59">
        <f t="shared" si="90"/>
        <v>370.55343097937077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146.60555920691925</v>
      </c>
      <c r="AV80" s="21">
        <f>EXP(-LN(2)/25)*AV79+(1-EXP(-LN(2)/25))/(LN(2)/25)*Calculateur!AQ80*Calculateur!AS80*VLOOKUP('Données projet'!$B$10,Paramètres!$A$1:$I$89,3,0)*0.475*44/12</f>
        <v>31.302137313579482</v>
      </c>
      <c r="AW80" s="21">
        <f>EXP(-LN(2)/2)*AW79+(1-EXP(-LN(2)/2))/(LN(2)/2)*AQ80*AT80*VLOOKUP('Données projet'!$B$10,Paramètres!$A$1:$I$89,3,0)*0.475*44/12</f>
        <v>1.6680324220758044E-2</v>
      </c>
      <c r="AX80" s="21">
        <f t="shared" si="60"/>
        <v>177.92437684471952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5.8210256410256402</v>
      </c>
      <c r="BD80" s="12">
        <f>IF('Données projet'!$A$88&gt;35,BD79+BC80-BL79,IF(A80&lt;'Données projet'!$A$88,$BA$205^A80,IF(A80='Données projet'!$A$88,'Données projet'!$B$88,BD79+BC80-BL79)))</f>
        <v>261.89487179487185</v>
      </c>
      <c r="BE80" s="13">
        <f>BD80*VLOOKUP('Données projet'!$B$11,Paramètres!$A$1:$I$89,3,0)*VLOOKUP('Données projet'!$B$11,Paramètres!$A$1:$I$89,5,0)</f>
        <v>122.56680000000003</v>
      </c>
      <c r="BF80" s="13">
        <f t="shared" si="91"/>
        <v>32.272923833015746</v>
      </c>
      <c r="BG80" s="20">
        <f t="shared" si="61"/>
        <v>269.67918567583575</v>
      </c>
      <c r="BH80" s="59">
        <f t="shared" si="62"/>
        <v>563.01251900916907</v>
      </c>
      <c r="BI80" s="59">
        <f ca="1">AVERAGE(OFFSET($BH$3,0,0,'Données projet'!$E$11+1,1))-AVERAGE(OFFSET($H$3,0,0,'Données projet'!$E$11+1,1))</f>
        <v>111.85541298746966</v>
      </c>
      <c r="BJ80" s="59">
        <f t="shared" si="92"/>
        <v>27.56942482401746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10.699241949124596</v>
      </c>
      <c r="BR80" s="21">
        <f>EXP(-LN(2)/2)*BR79+(1-EXP(-LN(2)/2))/(LN(2)/2)*BL80*BO80*VLOOKUP('Données projet'!$B$11,Paramètres!$A$1:$I$89,3,0)*0.475*44/12</f>
        <v>0.54005442573876894</v>
      </c>
      <c r="BS80" s="22">
        <f t="shared" si="63"/>
        <v>11.239296374863365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253.62423410951334</v>
      </c>
      <c r="CE80" s="59">
        <f t="shared" si="94"/>
        <v>230.93438491511529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183.23053255305692</v>
      </c>
      <c r="CL80" s="21">
        <f>EXP(-LN(2)/25)*CL79+(1-EXP(-LN(2)/25))/(LN(2)/25)*Calculateur!CG80*Calculateur!CI80*VLOOKUP('Données projet'!$B$12,Paramètres!$A$1:$I$89,3,0)*0.475*44/12</f>
        <v>45.651581466856754</v>
      </c>
      <c r="CM80" s="21">
        <f>EXP(-LN(2)/2)*CM79+(1-EXP(-LN(2)/2))/(LN(2)/2)*CG80*CJ80*VLOOKUP('Données projet'!$B$12,Paramètres!$A$1:$I$89,3,0)*0.475*44/12</f>
        <v>3.5207165105886244</v>
      </c>
      <c r="CN80" s="22">
        <f t="shared" si="66"/>
        <v>232.40283053050229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12.25961538461538</v>
      </c>
      <c r="N81" s="13">
        <f>IF('Données projet'!$A$36&gt;35,N80+M81-V80,IF(A81&lt;'Données projet'!$A$36,$K$205^A81,IF(A81='Données projet'!$A$36,'Données projet'!$B$36,N80+M81-V80)))</f>
        <v>389.34038461538427</v>
      </c>
      <c r="O81" s="13">
        <f>N81*VLOOKUP('Données projet'!$B$9,Paramètres!$A$1:$I$89,3,0)*VLOOKUP('Données projet'!$B$9,Paramètres!$A$1:$I$89,5,0)</f>
        <v>182.21129999999985</v>
      </c>
      <c r="P81" s="13">
        <f t="shared" si="87"/>
        <v>45.813809518844167</v>
      </c>
      <c r="Q81" s="20">
        <f t="shared" si="54"/>
        <v>397.14373241198672</v>
      </c>
      <c r="R81" s="59">
        <f t="shared" si="55"/>
        <v>690.47706574532003</v>
      </c>
      <c r="S81" s="59">
        <f ca="1">AVERAGE(OFFSET($R$3,0,0,'Données projet'!$E$9+1,1))-AVERAGE(OFFSET($H$3,0,0,'Données projet'!$E$9+1,1))</f>
        <v>190.74210845597287</v>
      </c>
      <c r="T81" s="59">
        <f t="shared" si="88"/>
        <v>131.88015896015884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59.296532913546315</v>
      </c>
      <c r="AA81" s="21">
        <f>EXP(-LN(2)/25)*AA80+(1-EXP(-LN(2)/25))/(LN(2)/25)*Calculateur!V81*Calculateur!X81*VLOOKUP('Données projet'!$B$9,Paramètres!$A$1:$I$89,3,0)*0.475*44/12</f>
        <v>20.012735420705518</v>
      </c>
      <c r="AB81" s="21">
        <f>EXP(-LN(2)/2)*AB80+(1-EXP(-LN(2)/2))/(LN(2)/2)*V81*Y81*VLOOKUP('Données projet'!$B$9,Paramètres!$A$1:$I$89,3,0)*0.475*44/12</f>
        <v>2.0290199156627517</v>
      </c>
      <c r="AC81" s="22">
        <f t="shared" si="57"/>
        <v>81.338288249914598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-6.3550942286383367E-14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278.5296012747549</v>
      </c>
      <c r="AO81" s="59">
        <f t="shared" si="90"/>
        <v>370.55343097937077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143.73071361143315</v>
      </c>
      <c r="AV81" s="21">
        <f>EXP(-LN(2)/25)*AV80+(1-EXP(-LN(2)/25))/(LN(2)/25)*Calculateur!AQ81*Calculateur!AS81*VLOOKUP('Données projet'!$B$10,Paramètres!$A$1:$I$89,3,0)*0.475*44/12</f>
        <v>30.446178722631792</v>
      </c>
      <c r="AW81" s="21">
        <f>EXP(-LN(2)/2)*AW80+(1-EXP(-LN(2)/2))/(LN(2)/2)*AQ81*AT81*VLOOKUP('Données projet'!$B$10,Paramètres!$A$1:$I$89,3,0)*0.475*44/12</f>
        <v>1.1794770368888227E-2</v>
      </c>
      <c r="AX81" s="21">
        <f t="shared" si="60"/>
        <v>174.18868710443382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5.8210256410256402</v>
      </c>
      <c r="BD81" s="12">
        <f>IF('Données projet'!$A$88&gt;35,BD80+BC81-BL80,IF(A81&lt;'Données projet'!$A$88,$BA$205^A81,IF(A81='Données projet'!$A$88,'Données projet'!$B$88,BD80+BC81-BL80)))</f>
        <v>267.71589743589749</v>
      </c>
      <c r="BE81" s="13">
        <f>BD81*VLOOKUP('Données projet'!$B$11,Paramètres!$A$1:$I$89,3,0)*VLOOKUP('Données projet'!$B$11,Paramètres!$A$1:$I$89,5,0)</f>
        <v>125.29104000000002</v>
      </c>
      <c r="BF81" s="13">
        <f t="shared" si="91"/>
        <v>32.905931507827255</v>
      </c>
      <c r="BG81" s="20">
        <f t="shared" si="61"/>
        <v>275.52639204279916</v>
      </c>
      <c r="BH81" s="59">
        <f t="shared" si="62"/>
        <v>568.85972537613247</v>
      </c>
      <c r="BI81" s="59">
        <f ca="1">AVERAGE(OFFSET($BH$3,0,0,'Données projet'!$E$11+1,1))-AVERAGE(OFFSET($H$3,0,0,'Données projet'!$E$11+1,1))</f>
        <v>111.85541298746966</v>
      </c>
      <c r="BJ81" s="59">
        <f t="shared" si="92"/>
        <v>27.56942482401746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10.406670615377104</v>
      </c>
      <c r="BR81" s="21">
        <f>EXP(-LN(2)/2)*BR80+(1-EXP(-LN(2)/2))/(LN(2)/2)*BL81*BO81*VLOOKUP('Données projet'!$B$11,Paramètres!$A$1:$I$89,3,0)*0.475*44/12</f>
        <v>0.38187614664969027</v>
      </c>
      <c r="BS81" s="22">
        <f t="shared" si="63"/>
        <v>10.788546762026794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253.62423410951334</v>
      </c>
      <c r="CE81" s="59">
        <f t="shared" si="94"/>
        <v>230.93438491511529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179.63749356928099</v>
      </c>
      <c r="CL81" s="21">
        <f>EXP(-LN(2)/25)*CL80+(1-EXP(-LN(2)/25))/(LN(2)/25)*Calculateur!CG81*Calculateur!CI81*VLOOKUP('Données projet'!$B$12,Paramètres!$A$1:$I$89,3,0)*0.475*44/12</f>
        <v>44.403236570933224</v>
      </c>
      <c r="CM81" s="21">
        <f>EXP(-LN(2)/2)*CM80+(1-EXP(-LN(2)/2))/(LN(2)/2)*CG81*CJ81*VLOOKUP('Données projet'!$B$12,Paramètres!$A$1:$I$89,3,0)*0.475*44/12</f>
        <v>2.4895225192726556</v>
      </c>
      <c r="CN81" s="22">
        <f t="shared" si="66"/>
        <v>226.53025265948688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12.25961538461538</v>
      </c>
      <c r="N82" s="13">
        <f>IF('Données projet'!$A$36&gt;35,N81+M82-V81,IF(A82&lt;'Données projet'!$A$36,$K$205^A82,IF(A82='Données projet'!$A$36,'Données projet'!$B$36,N81+M82-V81)))</f>
        <v>401.59999999999962</v>
      </c>
      <c r="O82" s="13">
        <f>N82*VLOOKUP('Données projet'!$B$9,Paramètres!$A$1:$I$89,3,0)*VLOOKUP('Données projet'!$B$9,Paramètres!$A$1:$I$89,5,0)</f>
        <v>187.94879999999981</v>
      </c>
      <c r="P82" s="13">
        <f t="shared" si="87"/>
        <v>47.086175568004208</v>
      </c>
      <c r="Q82" s="20">
        <f t="shared" si="54"/>
        <v>409.35258244760695</v>
      </c>
      <c r="R82" s="59">
        <f t="shared" si="55"/>
        <v>702.68591578094026</v>
      </c>
      <c r="S82" s="59">
        <f ca="1">AVERAGE(OFFSET($R$3,0,0,'Données projet'!$E$9+1,1))-AVERAGE(OFFSET($H$3,0,0,'Données projet'!$E$9+1,1))</f>
        <v>190.74210845597287</v>
      </c>
      <c r="T82" s="59">
        <f t="shared" si="88"/>
        <v>131.88015896015884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58.133764070425521</v>
      </c>
      <c r="AA82" s="21">
        <f>EXP(-LN(2)/25)*AA81+(1-EXP(-LN(2)/25))/(LN(2)/25)*Calculateur!V82*Calculateur!X82*VLOOKUP('Données projet'!$B$9,Paramètres!$A$1:$I$89,3,0)*0.475*44/12</f>
        <v>19.46548611820231</v>
      </c>
      <c r="AB82" s="21">
        <f>EXP(-LN(2)/2)*AB81+(1-EXP(-LN(2)/2))/(LN(2)/2)*V82*Y82*VLOOKUP('Données projet'!$B$9,Paramètres!$A$1:$I$89,3,0)*0.475*44/12</f>
        <v>1.4347337415276886</v>
      </c>
      <c r="AC82" s="22">
        <f t="shared" si="57"/>
        <v>79.033983930155529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-6.3550942286383367E-14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278.5296012747549</v>
      </c>
      <c r="AO82" s="59">
        <f t="shared" si="90"/>
        <v>370.55343097937077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140.91224198459184</v>
      </c>
      <c r="AV82" s="21">
        <f>EXP(-LN(2)/25)*AV81+(1-EXP(-LN(2)/25))/(LN(2)/25)*Calculateur!AQ82*Calculateur!AS82*VLOOKUP('Données projet'!$B$10,Paramètres!$A$1:$I$89,3,0)*0.475*44/12</f>
        <v>29.613626364366471</v>
      </c>
      <c r="AW82" s="21">
        <f>EXP(-LN(2)/2)*AW81+(1-EXP(-LN(2)/2))/(LN(2)/2)*AQ82*AT82*VLOOKUP('Données projet'!$B$10,Paramètres!$A$1:$I$89,3,0)*0.475*44/12</f>
        <v>8.3401621103790218E-3</v>
      </c>
      <c r="AX82" s="21">
        <f t="shared" si="60"/>
        <v>170.5342085110687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5.8210256410256402</v>
      </c>
      <c r="BD82" s="12">
        <f>IF('Données projet'!$A$88&gt;35,BD81+BC82-BL81,IF(A82&lt;'Données projet'!$A$88,$BA$205^A82,IF(A82='Données projet'!$A$88,'Données projet'!$B$88,BD81+BC82-BL81)))</f>
        <v>273.53692307692313</v>
      </c>
      <c r="BE82" s="13">
        <f>BD82*VLOOKUP('Données projet'!$B$11,Paramètres!$A$1:$I$89,3,0)*VLOOKUP('Données projet'!$B$11,Paramètres!$A$1:$I$89,5,0)</f>
        <v>128.01528000000002</v>
      </c>
      <c r="BF82" s="13">
        <f t="shared" si="91"/>
        <v>33.537338983572724</v>
      </c>
      <c r="BG82" s="20">
        <f t="shared" si="61"/>
        <v>281.37081139638917</v>
      </c>
      <c r="BH82" s="59">
        <f t="shared" si="62"/>
        <v>574.70414472972243</v>
      </c>
      <c r="BI82" s="59">
        <f ca="1">AVERAGE(OFFSET($BH$3,0,0,'Données projet'!$E$11+1,1))-AVERAGE(OFFSET($H$3,0,0,'Données projet'!$E$11+1,1))</f>
        <v>111.85541298746966</v>
      </c>
      <c r="BJ82" s="59">
        <f t="shared" si="92"/>
        <v>27.56942482401746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10.122099660136595</v>
      </c>
      <c r="BR82" s="21">
        <f>EXP(-LN(2)/2)*BR81+(1-EXP(-LN(2)/2))/(LN(2)/2)*BL82*BO82*VLOOKUP('Données projet'!$B$11,Paramètres!$A$1:$I$89,3,0)*0.475*44/12</f>
        <v>0.27002721286938447</v>
      </c>
      <c r="BS82" s="22">
        <f t="shared" si="63"/>
        <v>10.39212687300598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253.62423410951334</v>
      </c>
      <c r="CE82" s="59">
        <f t="shared" si="94"/>
        <v>230.93438491511529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176.11491188843951</v>
      </c>
      <c r="CL82" s="21">
        <f>EXP(-LN(2)/25)*CL81+(1-EXP(-LN(2)/25))/(LN(2)/25)*Calculateur!CG82*Calculateur!CI82*VLOOKUP('Données projet'!$B$12,Paramètres!$A$1:$I$89,3,0)*0.475*44/12</f>
        <v>43.189027731836326</v>
      </c>
      <c r="CM82" s="21">
        <f>EXP(-LN(2)/2)*CM81+(1-EXP(-LN(2)/2))/(LN(2)/2)*CG82*CJ82*VLOOKUP('Données projet'!$B$12,Paramètres!$A$1:$I$89,3,0)*0.475*44/12</f>
        <v>1.7603582552943122</v>
      </c>
      <c r="CN82" s="22">
        <f t="shared" si="66"/>
        <v>221.06429787557013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12.25961538461538</v>
      </c>
      <c r="N83" s="13">
        <f>IF('Données projet'!$A$36&gt;35,N82+M83-V82,IF(A83&lt;'Données projet'!$A$36,$K$205^A83,IF(A83='Données projet'!$A$36,'Données projet'!$B$36,N82+M83-V82)))</f>
        <v>413.85961538461498</v>
      </c>
      <c r="O83" s="13">
        <f>N83*VLOOKUP('Données projet'!$B$9,Paramètres!$A$1:$I$89,3,0)*VLOOKUP('Données projet'!$B$9,Paramètres!$A$1:$I$89,5,0)</f>
        <v>193.68629999999982</v>
      </c>
      <c r="P83" s="13">
        <f t="shared" si="87"/>
        <v>48.354027757017739</v>
      </c>
      <c r="Q83" s="20">
        <f t="shared" si="54"/>
        <v>421.55357084347224</v>
      </c>
      <c r="R83" s="59">
        <f t="shared" si="55"/>
        <v>714.8869041768055</v>
      </c>
      <c r="S83" s="59">
        <f ca="1">AVERAGE(OFFSET($R$3,0,0,'Données projet'!$E$9+1,1))-AVERAGE(OFFSET($H$3,0,0,'Données projet'!$E$9+1,1))</f>
        <v>190.74210845597287</v>
      </c>
      <c r="T83" s="59">
        <f t="shared" si="88"/>
        <v>131.88015896015884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56.993796415099361</v>
      </c>
      <c r="AA83" s="21">
        <f>EXP(-LN(2)/25)*AA82+(1-EXP(-LN(2)/25))/(LN(2)/25)*Calculateur!V83*Calculateur!X83*VLOOKUP('Données projet'!$B$9,Paramètres!$A$1:$I$89,3,0)*0.475*44/12</f>
        <v>18.933201376654644</v>
      </c>
      <c r="AB83" s="21">
        <f>EXP(-LN(2)/2)*AB82+(1-EXP(-LN(2)/2))/(LN(2)/2)*V83*Y83*VLOOKUP('Données projet'!$B$9,Paramètres!$A$1:$I$89,3,0)*0.475*44/12</f>
        <v>1.0145099578313761</v>
      </c>
      <c r="AC83" s="22">
        <f t="shared" si="57"/>
        <v>76.941507749585384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-6.3550942286383367E-14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278.5296012747549</v>
      </c>
      <c r="AO83" s="59">
        <f t="shared" si="90"/>
        <v>370.55343097937077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138.14903886725494</v>
      </c>
      <c r="AV83" s="21">
        <f>EXP(-LN(2)/25)*AV82+(1-EXP(-LN(2)/25))/(LN(2)/25)*Calculateur!AQ83*Calculateur!AS83*VLOOKUP('Données projet'!$B$10,Paramètres!$A$1:$I$89,3,0)*0.475*44/12</f>
        <v>28.803840194119942</v>
      </c>
      <c r="AW83" s="21">
        <f>EXP(-LN(2)/2)*AW82+(1-EXP(-LN(2)/2))/(LN(2)/2)*AQ83*AT83*VLOOKUP('Données projet'!$B$10,Paramètres!$A$1:$I$89,3,0)*0.475*44/12</f>
        <v>5.8973851844441134E-3</v>
      </c>
      <c r="AX83" s="21">
        <f t="shared" si="60"/>
        <v>166.95877644655934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5.8210256410256402</v>
      </c>
      <c r="BD83" s="12">
        <f>IF('Données projet'!$A$88&gt;35,BD82+BC83-BL82,IF(A83&lt;'Données projet'!$A$88,$BA$205^A83,IF(A83='Données projet'!$A$88,'Données projet'!$B$88,BD82+BC83-BL82)))</f>
        <v>279.35794871794877</v>
      </c>
      <c r="BE83" s="13">
        <f>BD83*VLOOKUP('Données projet'!$B$11,Paramètres!$A$1:$I$89,3,0)*VLOOKUP('Données projet'!$B$11,Paramètres!$A$1:$I$89,5,0)</f>
        <v>130.73952000000003</v>
      </c>
      <c r="BF83" s="13">
        <f t="shared" si="91"/>
        <v>34.167184235955141</v>
      </c>
      <c r="BG83" s="20">
        <f t="shared" si="61"/>
        <v>287.21250987762193</v>
      </c>
      <c r="BH83" s="59">
        <f t="shared" si="62"/>
        <v>580.54584321095524</v>
      </c>
      <c r="BI83" s="59">
        <f ca="1">AVERAGE(OFFSET($BH$3,0,0,'Données projet'!$E$11+1,1))-AVERAGE(OFFSET($H$3,0,0,'Données projet'!$E$11+1,1))</f>
        <v>111.85541298746966</v>
      </c>
      <c r="BJ83" s="59">
        <f t="shared" si="92"/>
        <v>27.56942482401746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9.8453103126320727</v>
      </c>
      <c r="BR83" s="21">
        <f>EXP(-LN(2)/2)*BR82+(1-EXP(-LN(2)/2))/(LN(2)/2)*BL83*BO83*VLOOKUP('Données projet'!$B$11,Paramètres!$A$1:$I$89,3,0)*0.475*44/12</f>
        <v>0.19093807332484514</v>
      </c>
      <c r="BS83" s="22">
        <f t="shared" si="63"/>
        <v>10.036248385956918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253.62423410951334</v>
      </c>
      <c r="CE83" s="59">
        <f t="shared" si="94"/>
        <v>230.93438491511529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172.66140588579665</v>
      </c>
      <c r="CL83" s="21">
        <f>EXP(-LN(2)/25)*CL82+(1-EXP(-LN(2)/25))/(LN(2)/25)*Calculateur!CG83*Calculateur!CI83*VLOOKUP('Données projet'!$B$12,Paramètres!$A$1:$I$89,3,0)*0.475*44/12</f>
        <v>42.008021497297001</v>
      </c>
      <c r="CM83" s="21">
        <f>EXP(-LN(2)/2)*CM82+(1-EXP(-LN(2)/2))/(LN(2)/2)*CG83*CJ83*VLOOKUP('Données projet'!$B$12,Paramètres!$A$1:$I$89,3,0)*0.475*44/12</f>
        <v>1.2447612596363278</v>
      </c>
      <c r="CN83" s="22">
        <f t="shared" si="66"/>
        <v>215.91418864272998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12.25961538461538</v>
      </c>
      <c r="N84" s="13">
        <f>IF('Données projet'!$A$36&gt;35,N83+M84-V83,IF(A84&lt;'Données projet'!$A$36,$K$205^A84,IF(A84='Données projet'!$A$36,'Données projet'!$B$36,N83+M84-V83)))</f>
        <v>426.11923076923034</v>
      </c>
      <c r="O84" s="13">
        <f>N84*VLOOKUP('Données projet'!$B$9,Paramètres!$A$1:$I$89,3,0)*VLOOKUP('Données projet'!$B$9,Paramètres!$A$1:$I$89,5,0)</f>
        <v>199.4237999999998</v>
      </c>
      <c r="P84" s="13">
        <f t="shared" si="87"/>
        <v>49.617515149618207</v>
      </c>
      <c r="Q84" s="20">
        <f t="shared" si="54"/>
        <v>433.746957218918</v>
      </c>
      <c r="R84" s="59">
        <f t="shared" si="55"/>
        <v>727.08029055225131</v>
      </c>
      <c r="S84" s="59">
        <f ca="1">AVERAGE(OFFSET($R$3,0,0,'Données projet'!$E$9+1,1))-AVERAGE(OFFSET($H$3,0,0,'Données projet'!$E$9+1,1))</f>
        <v>190.74210845597287</v>
      </c>
      <c r="T84" s="59">
        <f t="shared" si="88"/>
        <v>131.88015896015884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55.876182830182536</v>
      </c>
      <c r="AA84" s="21">
        <f>EXP(-LN(2)/25)*AA83+(1-EXP(-LN(2)/25))/(LN(2)/25)*Calculateur!V84*Calculateur!X84*VLOOKUP('Données projet'!$B$9,Paramètres!$A$1:$I$89,3,0)*0.475*44/12</f>
        <v>18.415471989356234</v>
      </c>
      <c r="AB84" s="21">
        <f>EXP(-LN(2)/2)*AB83+(1-EXP(-LN(2)/2))/(LN(2)/2)*V84*Y84*VLOOKUP('Données projet'!$B$9,Paramètres!$A$1:$I$89,3,0)*0.475*44/12</f>
        <v>0.71736687076384442</v>
      </c>
      <c r="AC84" s="22">
        <f t="shared" si="57"/>
        <v>75.009021690302603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-6.3550942286383367E-14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278.5296012747549</v>
      </c>
      <c r="AO84" s="59">
        <f t="shared" si="90"/>
        <v>370.55343097937077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135.44002047766153</v>
      </c>
      <c r="AV84" s="21">
        <f>EXP(-LN(2)/25)*AV83+(1-EXP(-LN(2)/25))/(LN(2)/25)*Calculateur!AQ84*Calculateur!AS84*VLOOKUP('Données projet'!$B$10,Paramètres!$A$1:$I$89,3,0)*0.475*44/12</f>
        <v>28.01619766928361</v>
      </c>
      <c r="AW84" s="21">
        <f>EXP(-LN(2)/2)*AW83+(1-EXP(-LN(2)/2))/(LN(2)/2)*AQ84*AT84*VLOOKUP('Données projet'!$B$10,Paramètres!$A$1:$I$89,3,0)*0.475*44/12</f>
        <v>4.1700810551895109E-3</v>
      </c>
      <c r="AX84" s="21">
        <f t="shared" si="60"/>
        <v>163.46038822800031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5.8210256410256402</v>
      </c>
      <c r="BD84" s="12">
        <f>IF('Données projet'!$A$88&gt;35,BD83+BC84-BL83,IF(A84&lt;'Données projet'!$A$88,$BA$205^A84,IF(A84='Données projet'!$A$88,'Données projet'!$B$88,BD83+BC84-BL83)))</f>
        <v>285.17897435897441</v>
      </c>
      <c r="BE84" s="13">
        <f>BD84*VLOOKUP('Données projet'!$B$11,Paramètres!$A$1:$I$89,3,0)*VLOOKUP('Données projet'!$B$11,Paramètres!$A$1:$I$89,5,0)</f>
        <v>133.46376000000004</v>
      </c>
      <c r="BF84" s="13">
        <f t="shared" si="91"/>
        <v>34.795503567623818</v>
      </c>
      <c r="BG84" s="20">
        <f t="shared" si="61"/>
        <v>293.05155071361156</v>
      </c>
      <c r="BH84" s="59">
        <f t="shared" si="62"/>
        <v>586.38488404694488</v>
      </c>
      <c r="BI84" s="59">
        <f ca="1">AVERAGE(OFFSET($BH$3,0,0,'Données projet'!$E$11+1,1))-AVERAGE(OFFSET($H$3,0,0,'Données projet'!$E$11+1,1))</f>
        <v>111.85541298746966</v>
      </c>
      <c r="BJ84" s="59">
        <f t="shared" si="92"/>
        <v>27.56942482401746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9.5760897843907813</v>
      </c>
      <c r="BR84" s="21">
        <f>EXP(-LN(2)/2)*BR83+(1-EXP(-LN(2)/2))/(LN(2)/2)*BL84*BO84*VLOOKUP('Données projet'!$B$11,Paramètres!$A$1:$I$89,3,0)*0.475*44/12</f>
        <v>0.13501360643469223</v>
      </c>
      <c r="BS84" s="22">
        <f t="shared" si="63"/>
        <v>9.7111033908254729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253.62423410951334</v>
      </c>
      <c r="CE84" s="59">
        <f t="shared" si="94"/>
        <v>230.93438491511529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169.27562102943497</v>
      </c>
      <c r="CL84" s="21">
        <f>EXP(-LN(2)/25)*CL83+(1-EXP(-LN(2)/25))/(LN(2)/25)*Calculateur!CG84*Calculateur!CI84*VLOOKUP('Données projet'!$B$12,Paramètres!$A$1:$I$89,3,0)*0.475*44/12</f>
        <v>40.859309940347572</v>
      </c>
      <c r="CM84" s="21">
        <f>EXP(-LN(2)/2)*CM83+(1-EXP(-LN(2)/2))/(LN(2)/2)*CG84*CJ84*VLOOKUP('Données projet'!$B$12,Paramètres!$A$1:$I$89,3,0)*0.475*44/12</f>
        <v>0.88017912764715611</v>
      </c>
      <c r="CN84" s="22">
        <f t="shared" si="66"/>
        <v>211.0151100974297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12.25961538461538</v>
      </c>
      <c r="N85" s="13">
        <f>IF('Données projet'!$A$36&gt;35,N84+M85-V84,IF(A85&lt;'Données projet'!$A$36,$K$205^A85,IF(A85='Données projet'!$A$36,'Données projet'!$B$36,N84+M85-V84)))</f>
        <v>438.3788461538457</v>
      </c>
      <c r="O85" s="13">
        <f>N85*VLOOKUP('Données projet'!$B$9,Paramètres!$A$1:$I$89,3,0)*VLOOKUP('Données projet'!$B$9,Paramètres!$A$1:$I$89,5,0)</f>
        <v>205.16129999999978</v>
      </c>
      <c r="P85" s="13">
        <f t="shared" si="87"/>
        <v>50.876777744497439</v>
      </c>
      <c r="Q85" s="20">
        <f t="shared" si="54"/>
        <v>445.93298540499927</v>
      </c>
      <c r="R85" s="59">
        <f t="shared" si="55"/>
        <v>739.26631873833253</v>
      </c>
      <c r="S85" s="59">
        <f ca="1">AVERAGE(OFFSET($R$3,0,0,'Données projet'!$E$9+1,1))-AVERAGE(OFFSET($H$3,0,0,'Données projet'!$E$9+1,1))</f>
        <v>190.74210845597287</v>
      </c>
      <c r="T85" s="59">
        <f t="shared" si="88"/>
        <v>131.88015896015884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54.780484965988954</v>
      </c>
      <c r="AA85" s="21">
        <f>EXP(-LN(2)/25)*AA84+(1-EXP(-LN(2)/25))/(LN(2)/25)*Calculateur!V85*Calculateur!X85*VLOOKUP('Données projet'!$B$9,Paramètres!$A$1:$I$89,3,0)*0.475*44/12</f>
        <v>17.911899939379705</v>
      </c>
      <c r="AB85" s="21">
        <f>EXP(-LN(2)/2)*AB84+(1-EXP(-LN(2)/2))/(LN(2)/2)*V85*Y85*VLOOKUP('Données projet'!$B$9,Paramètres!$A$1:$I$89,3,0)*0.475*44/12</f>
        <v>0.50725497891568805</v>
      </c>
      <c r="AC85" s="22">
        <f t="shared" si="57"/>
        <v>73.199639884284338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-6.3550942286383367E-14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278.5296012747549</v>
      </c>
      <c r="AO85" s="59">
        <f t="shared" si="90"/>
        <v>370.55343097937077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132.78412428634999</v>
      </c>
      <c r="AV85" s="21">
        <f>EXP(-LN(2)/25)*AV84+(1-EXP(-LN(2)/25))/(LN(2)/25)*Calculateur!AQ85*Calculateur!AS85*VLOOKUP('Données projet'!$B$10,Paramètres!$A$1:$I$89,3,0)*0.475*44/12</f>
        <v>27.250093270709247</v>
      </c>
      <c r="AW85" s="21">
        <f>EXP(-LN(2)/2)*AW84+(1-EXP(-LN(2)/2))/(LN(2)/2)*AQ85*AT85*VLOOKUP('Données projet'!$B$10,Paramètres!$A$1:$I$89,3,0)*0.475*44/12</f>
        <v>2.9486925922220567E-3</v>
      </c>
      <c r="AX85" s="21">
        <f t="shared" si="60"/>
        <v>160.03716624965145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>
        <f>VLOOKUP(A85,'Données projet'!$A$87:$I$107,2,0)</f>
        <v>291</v>
      </c>
      <c r="BB85" s="12">
        <f>VLOOKUP(A85,'Données projet'!$A$87:$I$107,9,0)</f>
        <v>5.8210256410256402</v>
      </c>
      <c r="BC85" s="12">
        <f t="array" ref="BC85">INDEX(BB:BB,MIN(IF(ISNUMBER(BB85:BB281),ROW(BB85:BB281),"")))</f>
        <v>5.8210256410256402</v>
      </c>
      <c r="BD85" s="12">
        <f>IF('Données projet'!$A$88&gt;35,BD84+BC85-BL84,IF(A85&lt;'Données projet'!$A$88,$BA$205^A85,IF(A85='Données projet'!$A$88,'Données projet'!$B$88,BD84+BC85-BL84)))</f>
        <v>291.00000000000006</v>
      </c>
      <c r="BE85" s="13">
        <f>BD85*VLOOKUP('Données projet'!$B$11,Paramètres!$A$1:$I$89,3,0)*VLOOKUP('Données projet'!$B$11,Paramètres!$A$1:$I$89,5,0)</f>
        <v>136.18800000000002</v>
      </c>
      <c r="BF85" s="13">
        <f t="shared" si="91"/>
        <v>35.42233171450318</v>
      </c>
      <c r="BG85" s="20">
        <f t="shared" si="61"/>
        <v>298.88799440275972</v>
      </c>
      <c r="BH85" s="59">
        <f t="shared" si="62"/>
        <v>592.22132773609303</v>
      </c>
      <c r="BI85" s="59">
        <f ca="1">AVERAGE(OFFSET($BH$3,0,0,'Données projet'!$E$11+1,1))-AVERAGE(OFFSET($H$3,0,0,'Données projet'!$E$11+1,1))</f>
        <v>111.85541298746966</v>
      </c>
      <c r="BJ85" s="59">
        <f t="shared" si="92"/>
        <v>27.56942482401746</v>
      </c>
      <c r="BK85" s="15">
        <f>IF(ISNA(VLOOKUP(A85,'Données projet'!$A$87:$I$107,3,0)),0,VLOOKUP(A85,'Données projet'!$A$87:$I$107,3,0))</f>
        <v>2</v>
      </c>
      <c r="BL85" s="15">
        <f>IF(ISNA(VLOOKUP(A85,'Données projet'!$A$87:$I$107,4,0)),0,VLOOKUP(A85,'Données projet'!$A$87:$I$107,4,0))</f>
        <v>75.91538461538461</v>
      </c>
      <c r="BM85" s="16">
        <f>IF(ISNA(VLOOKUP(A85,'Données projet'!$A$87:$I$107,5,0)),0%,VLOOKUP(A85,'Données projet'!$A$87:$I$107,5,0)*VLOOKUP('Données projet'!$B$11,Paramètres!$A$1:$I$89,7,0))</f>
        <v>0.38500000000000001</v>
      </c>
      <c r="BN85" s="16">
        <f>IF(ISNA(VLOOKUP(A85,'Données projet'!$A$87:$I$107,6,0)),0%,VLOOKUP(A85,'Données projet'!$A$87:$I$107,6,0)*VLOOKUP('Données projet'!$B$11,Paramètres!$A$1:$I$89,7,0))</f>
        <v>9.240000000000001E-2</v>
      </c>
      <c r="BO85" s="16">
        <f>IF(ISNA(VLOOKUP(A85,'Données projet'!$A$87:$I$107,7,0)),0%,VLOOKUP(A85,'Données projet'!$A$87:$I$107,7,0))</f>
        <v>0.13200000000000001</v>
      </c>
      <c r="BP85" s="21">
        <f>EXP(-LN(2)/35)*BP84+(1-EXP(-LN(2)/35))/(LN(2)/35)*BL85*BM85*VLOOKUP('Données projet'!$B$11,Paramètres!$A$1:$I$89,3,0)*0.475*44/12</f>
        <v>18.145324350475686</v>
      </c>
      <c r="BQ85" s="21">
        <f>EXP(-LN(2)/25)*BQ84+(1-EXP(-LN(2)/25))/(LN(2)/25)*Calculateur!BL85*Calculateur!BN85*VLOOKUP('Données projet'!$B$11,Paramètres!$A$1:$I$89,3,0)*0.475*44/12</f>
        <v>13.65196213635528</v>
      </c>
      <c r="BR85" s="21">
        <f>EXP(-LN(2)/2)*BR84+(1-EXP(-LN(2)/2))/(LN(2)/2)*BL85*BO85*VLOOKUP('Données projet'!$B$11,Paramètres!$A$1:$I$89,3,0)*0.475*44/12</f>
        <v>5.40535409530841</v>
      </c>
      <c r="BS85" s="22">
        <f t="shared" si="63"/>
        <v>37.202640582139374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253.62423410951334</v>
      </c>
      <c r="CE85" s="59">
        <f t="shared" si="94"/>
        <v>230.93438491511529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165.95622934898171</v>
      </c>
      <c r="CL85" s="21">
        <f>EXP(-LN(2)/25)*CL84+(1-EXP(-LN(2)/25))/(LN(2)/25)*Calculateur!CG85*Calculateur!CI85*VLOOKUP('Données projet'!$B$12,Paramètres!$A$1:$I$89,3,0)*0.475*44/12</f>
        <v>39.742009961331043</v>
      </c>
      <c r="CM85" s="21">
        <f>EXP(-LN(2)/2)*CM84+(1-EXP(-LN(2)/2))/(LN(2)/2)*CG85*CJ85*VLOOKUP('Données projet'!$B$12,Paramètres!$A$1:$I$89,3,0)*0.475*44/12</f>
        <v>0.62238062981816389</v>
      </c>
      <c r="CN85" s="22">
        <f t="shared" si="66"/>
        <v>206.32061994013091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450.63846153846146</v>
      </c>
      <c r="L86" s="12">
        <f>VLOOKUP(A86,'Données projet'!$A$35:$I$55,9,0)</f>
        <v>12.25961538461538</v>
      </c>
      <c r="M86" s="12">
        <f t="array" ref="M86">INDEX(L:L,MIN(IF(ISNUMBER(L86:L282),ROW(L86:L282),"")))</f>
        <v>12.25961538461538</v>
      </c>
      <c r="N86" s="13">
        <f>IF('Données projet'!$A$36&gt;35,N85+M86-V85,IF(A86&lt;'Données projet'!$A$36,$K$205^A86,IF(A86='Données projet'!$A$36,'Données projet'!$B$36,N85+M86-V85)))</f>
        <v>450.63846153846106</v>
      </c>
      <c r="O86" s="13">
        <f>N86*VLOOKUP('Données projet'!$B$9,Paramètres!$A$1:$I$89,3,0)*VLOOKUP('Données projet'!$B$9,Paramètres!$A$1:$I$89,5,0)</f>
        <v>210.8987999999998</v>
      </c>
      <c r="P86" s="13">
        <f t="shared" si="87"/>
        <v>52.131947264479528</v>
      </c>
      <c r="Q86" s="20">
        <f t="shared" si="54"/>
        <v>458.11188481896812</v>
      </c>
      <c r="R86" s="59">
        <f t="shared" si="55"/>
        <v>751.44521815230144</v>
      </c>
      <c r="S86" s="59">
        <f ca="1">AVERAGE(OFFSET($R$3,0,0,'Données projet'!$E$9+1,1))-AVERAGE(OFFSET($H$3,0,0,'Données projet'!$E$9+1,1))</f>
        <v>190.74210845597287</v>
      </c>
      <c r="T86" s="59">
        <f t="shared" si="88"/>
        <v>131.88015896015884</v>
      </c>
      <c r="U86" s="15">
        <f>IF(ISNA(VLOOKUP(A86,'Données projet'!$A$35:$I$55,3,0)),0,VLOOKUP(A86,'Données projet'!$A$35:$I$55,3,0))</f>
        <v>6</v>
      </c>
      <c r="V86" s="15">
        <f>IF(ISNA(VLOOKUP(A86,'Données projet'!$A$35:$I$55,4,0)),0,VLOOKUP(A86,'Données projet'!$A$35:$I$55,4,0))</f>
        <v>79.707692307692312</v>
      </c>
      <c r="W86" s="16">
        <f>IF(ISNA(VLOOKUP(A86,'Données projet'!$A$35:$I$55,5,0)),0%,VLOOKUP(A86,'Données projet'!$A$35:$I$55,5,0)*VLOOKUP('Données projet'!$B$9,Paramètres!$A$1:$I$89,7,0))</f>
        <v>0.38500000000000001</v>
      </c>
      <c r="X86" s="16">
        <f>IF(ISNA(VLOOKUP(A86,'Données projet'!$A$35:$I$55,6,0)),0%,VLOOKUP(A86,'Données projet'!$A$35:$I$55,6,0)*VLOOKUP('Données projet'!$B$9,Paramètres!$A$1:$I$89,7,0))</f>
        <v>9.240000000000001E-2</v>
      </c>
      <c r="Y86" s="16">
        <f>IF(ISNA(VLOOKUP(A86,'Données projet'!$A$35:$I$55,7,0)),0%,VLOOKUP(A86,'Données projet'!$A$35:$I$55,7,0))</f>
        <v>0.13200000000000001</v>
      </c>
      <c r="Z86" s="21">
        <f>EXP(-LN(2)/35)*Z85+(1-EXP(-LN(2)/35))/(LN(2)/35)*V86*W86*VLOOKUP('Données projet'!$B$9,Paramètres!$A$1:$I$89,3,0)*0.475*44/12</f>
        <v>72.758036258351126</v>
      </c>
      <c r="AA86" s="21">
        <f>EXP(-LN(2)/25)*AA85+(1-EXP(-LN(2)/25))/(LN(2)/25)*Calculateur!V86*Calculateur!X86*VLOOKUP('Données projet'!$B$9,Paramètres!$A$1:$I$89,3,0)*0.475*44/12</f>
        <v>21.976517886898613</v>
      </c>
      <c r="AB86" s="21">
        <f>EXP(-LN(2)/2)*AB85+(1-EXP(-LN(2)/2))/(LN(2)/2)*V86*Y86*VLOOKUP('Données projet'!$B$9,Paramètres!$A$1:$I$89,3,0)*0.475*44/12</f>
        <v>5.9338206304057053</v>
      </c>
      <c r="AC86" s="22">
        <f t="shared" si="57"/>
        <v>100.66837477565545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-6.3550942286383367E-14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278.5296012747549</v>
      </c>
      <c r="AO86" s="59">
        <f t="shared" si="90"/>
        <v>370.55343097937077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130.18030859941337</v>
      </c>
      <c r="AV86" s="21">
        <f>EXP(-LN(2)/25)*AV85+(1-EXP(-LN(2)/25))/(LN(2)/25)*Calculateur!AQ86*Calculateur!AS86*VLOOKUP('Données projet'!$B$10,Paramètres!$A$1:$I$89,3,0)*0.475*44/12</f>
        <v>26.50493803720158</v>
      </c>
      <c r="AW86" s="21">
        <f>EXP(-LN(2)/2)*AW85+(1-EXP(-LN(2)/2))/(LN(2)/2)*AQ86*AT86*VLOOKUP('Données projet'!$B$10,Paramètres!$A$1:$I$89,3,0)*0.475*44/12</f>
        <v>2.0850405275947555E-3</v>
      </c>
      <c r="AX86" s="21">
        <f t="shared" si="60"/>
        <v>156.68733167714254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5.0113122171945692</v>
      </c>
      <c r="BD86" s="12">
        <f>IF('Données projet'!$A$88&gt;35,BD85+BC86-BL85,IF(A86&lt;'Données projet'!$A$88,$BA$205^A86,IF(A86='Données projet'!$A$88,'Données projet'!$B$88,BD85+BC86-BL85)))</f>
        <v>220.09592760181005</v>
      </c>
      <c r="BE86" s="13">
        <f>BD86*VLOOKUP('Données projet'!$B$11,Paramètres!$A$1:$I$89,3,0)*VLOOKUP('Données projet'!$B$11,Paramètres!$A$1:$I$89,5,0)</f>
        <v>103.0048941176471</v>
      </c>
      <c r="BF86" s="13">
        <f t="shared" si="91"/>
        <v>27.676633960439737</v>
      </c>
      <c r="BG86" s="20">
        <f t="shared" si="61"/>
        <v>227.60366140266788</v>
      </c>
      <c r="BH86" s="59">
        <f t="shared" si="62"/>
        <v>520.93699473600122</v>
      </c>
      <c r="BI86" s="59">
        <f ca="1">AVERAGE(OFFSET($BH$3,0,0,'Données projet'!$E$11+1,1))-AVERAGE(OFFSET($H$3,0,0,'Données projet'!$E$11+1,1))</f>
        <v>111.85541298746966</v>
      </c>
      <c r="BJ86" s="59">
        <f t="shared" si="92"/>
        <v>27.56942482401746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17.789505607517881</v>
      </c>
      <c r="BQ86" s="21">
        <f>EXP(-LN(2)/25)*BQ85+(1-EXP(-LN(2)/25))/(LN(2)/25)*Calculateur!BL86*Calculateur!BN86*VLOOKUP('Données projet'!$B$11,Paramètres!$A$1:$I$89,3,0)*0.475*44/12</f>
        <v>13.278648513811158</v>
      </c>
      <c r="BR86" s="21">
        <f>EXP(-LN(2)/2)*BR85+(1-EXP(-LN(2)/2))/(LN(2)/2)*BL86*BO86*VLOOKUP('Données projet'!$B$11,Paramètres!$A$1:$I$89,3,0)*0.475*44/12</f>
        <v>3.8221625355070525</v>
      </c>
      <c r="BS86" s="22">
        <f t="shared" si="63"/>
        <v>34.890316656836092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253.62423410951334</v>
      </c>
      <c r="CE86" s="59">
        <f t="shared" si="94"/>
        <v>230.93438491511529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162.7019289147531</v>
      </c>
      <c r="CL86" s="21">
        <f>EXP(-LN(2)/25)*CL85+(1-EXP(-LN(2)/25))/(LN(2)/25)*Calculateur!CG86*Calculateur!CI86*VLOOKUP('Données projet'!$B$12,Paramètres!$A$1:$I$89,3,0)*0.475*44/12</f>
        <v>38.655262608996971</v>
      </c>
      <c r="CM86" s="21">
        <f>EXP(-LN(2)/2)*CM85+(1-EXP(-LN(2)/2))/(LN(2)/2)*CG86*CJ86*VLOOKUP('Données projet'!$B$12,Paramètres!$A$1:$I$89,3,0)*0.475*44/12</f>
        <v>0.44008956382357806</v>
      </c>
      <c r="CN86" s="22">
        <f t="shared" si="66"/>
        <v>201.79728108757365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11.328846153846158</v>
      </c>
      <c r="N87" s="13">
        <f>IF('Données projet'!$A$36&gt;35,N86+M87-V86,IF(A87&lt;'Données projet'!$A$36,$K$205^A87,IF(A87='Données projet'!$A$36,'Données projet'!$B$36,N86+M87-V86)))</f>
        <v>382.2596153846149</v>
      </c>
      <c r="O87" s="13">
        <f>N87*VLOOKUP('Données projet'!$B$9,Paramètres!$A$1:$I$89,3,0)*VLOOKUP('Données projet'!$B$9,Paramètres!$A$1:$I$89,5,0)</f>
        <v>178.89749999999978</v>
      </c>
      <c r="P87" s="13">
        <f t="shared" si="87"/>
        <v>45.076812590668659</v>
      </c>
      <c r="Q87" s="20">
        <f t="shared" si="54"/>
        <v>390.08859442874746</v>
      </c>
      <c r="R87" s="59">
        <f t="shared" si="55"/>
        <v>683.42192776208071</v>
      </c>
      <c r="S87" s="59">
        <f ca="1">AVERAGE(OFFSET($R$3,0,0,'Données projet'!$E$9+1,1))-AVERAGE(OFFSET($H$3,0,0,'Données projet'!$E$9+1,1))</f>
        <v>190.74210845597287</v>
      </c>
      <c r="T87" s="59">
        <f t="shared" si="88"/>
        <v>131.88015896015884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71.331295545345014</v>
      </c>
      <c r="AA87" s="21">
        <f>EXP(-LN(2)/25)*AA86+(1-EXP(-LN(2)/25))/(LN(2)/25)*Calculateur!V87*Calculateur!X87*VLOOKUP('Données projet'!$B$9,Paramètres!$A$1:$I$89,3,0)*0.475*44/12</f>
        <v>21.375568849586521</v>
      </c>
      <c r="AB87" s="21">
        <f>EXP(-LN(2)/2)*AB86+(1-EXP(-LN(2)/2))/(LN(2)/2)*V87*Y87*VLOOKUP('Données projet'!$B$9,Paramètres!$A$1:$I$89,3,0)*0.475*44/12</f>
        <v>4.1958448061045086</v>
      </c>
      <c r="AC87" s="22">
        <f t="shared" si="57"/>
        <v>96.902709201036032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-6.3550942286383367E-14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278.5296012747549</v>
      </c>
      <c r="AO87" s="59">
        <f t="shared" si="90"/>
        <v>370.55343097937077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127.6275521499268</v>
      </c>
      <c r="AV87" s="21">
        <f>EXP(-LN(2)/25)*AV86+(1-EXP(-LN(2)/25))/(LN(2)/25)*Calculateur!AQ87*Calculateur!AS87*VLOOKUP('Données projet'!$B$10,Paramètres!$A$1:$I$89,3,0)*0.475*44/12</f>
        <v>25.78015911274019</v>
      </c>
      <c r="AW87" s="21">
        <f>EXP(-LN(2)/2)*AW86+(1-EXP(-LN(2)/2))/(LN(2)/2)*AQ87*AT87*VLOOKUP('Données projet'!$B$10,Paramètres!$A$1:$I$89,3,0)*0.475*44/12</f>
        <v>1.4743462961110284E-3</v>
      </c>
      <c r="AX87" s="21">
        <f t="shared" si="60"/>
        <v>153.4091856089631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5.0113122171945692</v>
      </c>
      <c r="BD87" s="12">
        <f>IF('Données projet'!$A$88&gt;35,BD86+BC87-BL86,IF(A87&lt;'Données projet'!$A$88,$BA$205^A87,IF(A87='Données projet'!$A$88,'Données projet'!$B$88,BD86+BC87-BL86)))</f>
        <v>225.1072398190046</v>
      </c>
      <c r="BE87" s="13">
        <f>BD87*VLOOKUP('Données projet'!$B$11,Paramètres!$A$1:$I$89,3,0)*VLOOKUP('Données projet'!$B$11,Paramètres!$A$1:$I$89,5,0)</f>
        <v>105.35018823529415</v>
      </c>
      <c r="BF87" s="13">
        <f t="shared" si="91"/>
        <v>28.232714084758918</v>
      </c>
      <c r="BG87" s="20">
        <f t="shared" si="61"/>
        <v>232.65688820742579</v>
      </c>
      <c r="BH87" s="59">
        <f t="shared" si="62"/>
        <v>525.99022154075908</v>
      </c>
      <c r="BI87" s="59">
        <f ca="1">AVERAGE(OFFSET($BH$3,0,0,'Données projet'!$E$11+1,1))-AVERAGE(OFFSET($H$3,0,0,'Données projet'!$E$11+1,1))</f>
        <v>111.85541298746966</v>
      </c>
      <c r="BJ87" s="59">
        <f t="shared" si="92"/>
        <v>27.56942482401746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17.440664253081476</v>
      </c>
      <c r="BQ87" s="21">
        <f>EXP(-LN(2)/25)*BQ86+(1-EXP(-LN(2)/25))/(LN(2)/25)*Calculateur!BL87*Calculateur!BN87*VLOOKUP('Données projet'!$B$11,Paramètres!$A$1:$I$89,3,0)*0.475*44/12</f>
        <v>12.915543171907215</v>
      </c>
      <c r="BR87" s="21">
        <f>EXP(-LN(2)/2)*BR86+(1-EXP(-LN(2)/2))/(LN(2)/2)*BL87*BO87*VLOOKUP('Données projet'!$B$11,Paramètres!$A$1:$I$89,3,0)*0.475*44/12</f>
        <v>2.7026770476542055</v>
      </c>
      <c r="BS87" s="22">
        <f t="shared" si="63"/>
        <v>33.058884472642895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253.62423410951334</v>
      </c>
      <c r="CE87" s="59">
        <f t="shared" si="94"/>
        <v>230.93438491511529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159.51144332711246</v>
      </c>
      <c r="CL87" s="21">
        <f>EXP(-LN(2)/25)*CL86+(1-EXP(-LN(2)/25))/(LN(2)/25)*Calculateur!CG87*Calculateur!CI87*VLOOKUP('Données projet'!$B$12,Paramètres!$A$1:$I$89,3,0)*0.475*44/12</f>
        <v>37.598232420162034</v>
      </c>
      <c r="CM87" s="21">
        <f>EXP(-LN(2)/2)*CM86+(1-EXP(-LN(2)/2))/(LN(2)/2)*CG87*CJ87*VLOOKUP('Données projet'!$B$12,Paramètres!$A$1:$I$89,3,0)*0.475*44/12</f>
        <v>0.31119031490908194</v>
      </c>
      <c r="CN87" s="22">
        <f t="shared" si="66"/>
        <v>197.42086606218356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11.328846153846158</v>
      </c>
      <c r="N88" s="13">
        <f>IF('Données projet'!$A$36&gt;35,N87+M88-V87,IF(A88&lt;'Données projet'!$A$36,$K$205^A88,IF(A88='Données projet'!$A$36,'Données projet'!$B$36,N87+M88-V87)))</f>
        <v>393.58846153846105</v>
      </c>
      <c r="O88" s="13">
        <f>N88*VLOOKUP('Données projet'!$B$9,Paramètres!$A$1:$I$89,3,0)*VLOOKUP('Données projet'!$B$9,Paramètres!$A$1:$I$89,5,0)</f>
        <v>184.19939999999977</v>
      </c>
      <c r="P88" s="13">
        <f t="shared" si="87"/>
        <v>46.255217593493356</v>
      </c>
      <c r="Q88" s="20">
        <f t="shared" si="54"/>
        <v>401.37512564200051</v>
      </c>
      <c r="R88" s="59">
        <f t="shared" si="55"/>
        <v>694.70845897533377</v>
      </c>
      <c r="S88" s="59">
        <f ca="1">AVERAGE(OFFSET($R$3,0,0,'Données projet'!$E$9+1,1))-AVERAGE(OFFSET($H$3,0,0,'Données projet'!$E$9+1,1))</f>
        <v>190.74210845597287</v>
      </c>
      <c r="T88" s="59">
        <f t="shared" si="88"/>
        <v>131.88015896015884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69.932532347495041</v>
      </c>
      <c r="AA88" s="21">
        <f>EXP(-LN(2)/25)*AA87+(1-EXP(-LN(2)/25))/(LN(2)/25)*Calculateur!V88*Calculateur!X88*VLOOKUP('Données projet'!$B$9,Paramètres!$A$1:$I$89,3,0)*0.475*44/12</f>
        <v>20.791052795302267</v>
      </c>
      <c r="AB88" s="21">
        <f>EXP(-LN(2)/2)*AB87+(1-EXP(-LN(2)/2))/(LN(2)/2)*V88*Y88*VLOOKUP('Données projet'!$B$9,Paramètres!$A$1:$I$89,3,0)*0.475*44/12</f>
        <v>2.9669103152028531</v>
      </c>
      <c r="AC88" s="22">
        <f t="shared" si="57"/>
        <v>93.690495458000157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-6.3550942286383367E-14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278.5296012747549</v>
      </c>
      <c r="AO88" s="59">
        <f t="shared" si="90"/>
        <v>370.55343097937077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125.12485369738698</v>
      </c>
      <c r="AV88" s="21">
        <f>EXP(-LN(2)/25)*AV87+(1-EXP(-LN(2)/25))/(LN(2)/25)*Calculateur!AQ88*Calculateur!AS88*VLOOKUP('Données projet'!$B$10,Paramètres!$A$1:$I$89,3,0)*0.475*44/12</f>
        <v>25.075199306082663</v>
      </c>
      <c r="AW88" s="21">
        <f>EXP(-LN(2)/2)*AW87+(1-EXP(-LN(2)/2))/(LN(2)/2)*AQ88*AT88*VLOOKUP('Données projet'!$B$10,Paramètres!$A$1:$I$89,3,0)*0.475*44/12</f>
        <v>1.0425202637973777E-3</v>
      </c>
      <c r="AX88" s="21">
        <f t="shared" si="60"/>
        <v>150.20109552373344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5.0113122171945692</v>
      </c>
      <c r="BD88" s="12">
        <f>IF('Données projet'!$A$88&gt;35,BD87+BC88-BL87,IF(A88&lt;'Données projet'!$A$88,$BA$205^A88,IF(A88='Données projet'!$A$88,'Données projet'!$B$88,BD87+BC88-BL87)))</f>
        <v>230.11855203619916</v>
      </c>
      <c r="BE88" s="13">
        <f>BD88*VLOOKUP('Données projet'!$B$11,Paramètres!$A$1:$I$89,3,0)*VLOOKUP('Données projet'!$B$11,Paramètres!$A$1:$I$89,5,0)</f>
        <v>107.6954823529412</v>
      </c>
      <c r="BF88" s="13">
        <f t="shared" si="91"/>
        <v>28.787354987374478</v>
      </c>
      <c r="BG88" s="20">
        <f t="shared" si="61"/>
        <v>237.70760836771649</v>
      </c>
      <c r="BH88" s="59">
        <f t="shared" si="62"/>
        <v>531.04094170104986</v>
      </c>
      <c r="BI88" s="59">
        <f ca="1">AVERAGE(OFFSET($BH$3,0,0,'Données projet'!$E$11+1,1))-AVERAGE(OFFSET($H$3,0,0,'Données projet'!$E$11+1,1))</f>
        <v>111.85541298746966</v>
      </c>
      <c r="BJ88" s="59">
        <f t="shared" si="92"/>
        <v>27.56942482401746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17.098663464833351</v>
      </c>
      <c r="BQ88" s="21">
        <f>EXP(-LN(2)/25)*BQ87+(1-EXP(-LN(2)/25))/(LN(2)/25)*Calculateur!BL88*Calculateur!BN88*VLOOKUP('Données projet'!$B$11,Paramètres!$A$1:$I$89,3,0)*0.475*44/12</f>
        <v>12.562366964672515</v>
      </c>
      <c r="BR88" s="21">
        <f>EXP(-LN(2)/2)*BR87+(1-EXP(-LN(2)/2))/(LN(2)/2)*BL88*BO88*VLOOKUP('Données projet'!$B$11,Paramètres!$A$1:$I$89,3,0)*0.475*44/12</f>
        <v>1.9110812677535267</v>
      </c>
      <c r="BS88" s="22">
        <f t="shared" si="63"/>
        <v>31.572111697259391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253.62423410951334</v>
      </c>
      <c r="CE88" s="59">
        <f t="shared" si="94"/>
        <v>230.93438491511529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156.3835212158414</v>
      </c>
      <c r="CL88" s="21">
        <f>EXP(-LN(2)/25)*CL87+(1-EXP(-LN(2)/25))/(LN(2)/25)*Calculateur!CG88*Calculateur!CI88*VLOOKUP('Données projet'!$B$12,Paramètres!$A$1:$I$89,3,0)*0.475*44/12</f>
        <v>36.57010677742759</v>
      </c>
      <c r="CM88" s="21">
        <f>EXP(-LN(2)/2)*CM87+(1-EXP(-LN(2)/2))/(LN(2)/2)*CG88*CJ88*VLOOKUP('Données projet'!$B$12,Paramètres!$A$1:$I$89,3,0)*0.475*44/12</f>
        <v>0.22004478191178903</v>
      </c>
      <c r="CN88" s="22">
        <f t="shared" si="66"/>
        <v>193.17367277518076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11.328846153846158</v>
      </c>
      <c r="N89" s="13">
        <f>IF('Données projet'!$A$36&gt;35,N88+M89-V88,IF(A89&lt;'Données projet'!$A$36,$K$205^A89,IF(A89='Données projet'!$A$36,'Données projet'!$B$36,N88+M89-V88)))</f>
        <v>404.91730769230719</v>
      </c>
      <c r="O89" s="13">
        <f>N89*VLOOKUP('Données projet'!$B$9,Paramètres!$A$1:$I$89,3,0)*VLOOKUP('Données projet'!$B$9,Paramètres!$A$1:$I$89,5,0)</f>
        <v>189.50129999999976</v>
      </c>
      <c r="P89" s="13">
        <f t="shared" si="87"/>
        <v>47.429680502809646</v>
      </c>
      <c r="Q89" s="20">
        <f t="shared" si="54"/>
        <v>412.65479104239301</v>
      </c>
      <c r="R89" s="59">
        <f t="shared" si="55"/>
        <v>705.98812437572633</v>
      </c>
      <c r="S89" s="59">
        <f ca="1">AVERAGE(OFFSET($R$3,0,0,'Données projet'!$E$9+1,1))-AVERAGE(OFFSET($H$3,0,0,'Données projet'!$E$9+1,1))</f>
        <v>190.74210845597287</v>
      </c>
      <c r="T89" s="59">
        <f t="shared" si="88"/>
        <v>131.88015896015884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68.561198042793606</v>
      </c>
      <c r="AA89" s="21">
        <f>EXP(-LN(2)/25)*AA88+(1-EXP(-LN(2)/25))/(LN(2)/25)*Calculateur!V89*Calculateur!X89*VLOOKUP('Données projet'!$B$9,Paramètres!$A$1:$I$89,3,0)*0.475*44/12</f>
        <v>20.222520363260777</v>
      </c>
      <c r="AB89" s="21">
        <f>EXP(-LN(2)/2)*AB88+(1-EXP(-LN(2)/2))/(LN(2)/2)*V89*Y89*VLOOKUP('Données projet'!$B$9,Paramètres!$A$1:$I$89,3,0)*0.475*44/12</f>
        <v>2.0979224030522547</v>
      </c>
      <c r="AC89" s="22">
        <f t="shared" si="57"/>
        <v>90.881640809106642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-6.3550942286383367E-14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278.5296012747549</v>
      </c>
      <c r="AO89" s="59">
        <f t="shared" si="90"/>
        <v>370.55343097937077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122.67123163500614</v>
      </c>
      <c r="AV89" s="21">
        <f>EXP(-LN(2)/25)*AV88+(1-EXP(-LN(2)/25))/(LN(2)/25)*Calculateur!AQ89*Calculateur!AS89*VLOOKUP('Données projet'!$B$10,Paramètres!$A$1:$I$89,3,0)*0.475*44/12</f>
        <v>24.389516662410411</v>
      </c>
      <c r="AW89" s="21">
        <f>EXP(-LN(2)/2)*AW88+(1-EXP(-LN(2)/2))/(LN(2)/2)*AQ89*AT89*VLOOKUP('Données projet'!$B$10,Paramètres!$A$1:$I$89,3,0)*0.475*44/12</f>
        <v>7.3717314805551418E-4</v>
      </c>
      <c r="AX89" s="21">
        <f t="shared" si="60"/>
        <v>147.06148547056461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5.0113122171945692</v>
      </c>
      <c r="BD89" s="12">
        <f>IF('Données projet'!$A$88&gt;35,BD88+BC89-BL88,IF(A89&lt;'Données projet'!$A$88,$BA$205^A89,IF(A89='Données projet'!$A$88,'Données projet'!$B$88,BD88+BC89-BL88)))</f>
        <v>235.12986425339372</v>
      </c>
      <c r="BE89" s="13">
        <f>BD89*VLOOKUP('Données projet'!$B$11,Paramètres!$A$1:$I$89,3,0)*VLOOKUP('Données projet'!$B$11,Paramètres!$A$1:$I$89,5,0)</f>
        <v>110.04077647058826</v>
      </c>
      <c r="BF89" s="13">
        <f t="shared" si="91"/>
        <v>29.340591619831613</v>
      </c>
      <c r="BG89" s="20">
        <f t="shared" si="61"/>
        <v>242.75588275748123</v>
      </c>
      <c r="BH89" s="59">
        <f t="shared" si="62"/>
        <v>536.08921609081449</v>
      </c>
      <c r="BI89" s="59">
        <f ca="1">AVERAGE(OFFSET($BH$3,0,0,'Données projet'!$E$11+1,1))-AVERAGE(OFFSET($H$3,0,0,'Données projet'!$E$11+1,1))</f>
        <v>111.85541298746966</v>
      </c>
      <c r="BJ89" s="59">
        <f t="shared" si="92"/>
        <v>27.56942482401746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16.763369103442887</v>
      </c>
      <c r="BQ89" s="21">
        <f>EXP(-LN(2)/25)*BQ88+(1-EXP(-LN(2)/25))/(LN(2)/25)*Calculateur!BL89*Calculateur!BN89*VLOOKUP('Données projet'!$B$11,Paramètres!$A$1:$I$89,3,0)*0.475*44/12</f>
        <v>12.218848379397379</v>
      </c>
      <c r="BR89" s="21">
        <f>EXP(-LN(2)/2)*BR88+(1-EXP(-LN(2)/2))/(LN(2)/2)*BL89*BO89*VLOOKUP('Données projet'!$B$11,Paramètres!$A$1:$I$89,3,0)*0.475*44/12</f>
        <v>1.351338523827103</v>
      </c>
      <c r="BS89" s="22">
        <f t="shared" si="63"/>
        <v>30.333556006667369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253.62423410951334</v>
      </c>
      <c r="CE89" s="59">
        <f t="shared" si="94"/>
        <v>230.93438491511529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153.31693574932825</v>
      </c>
      <c r="CL89" s="21">
        <f>EXP(-LN(2)/25)*CL88+(1-EXP(-LN(2)/25))/(LN(2)/25)*Calculateur!CG89*Calculateur!CI89*VLOOKUP('Données projet'!$B$12,Paramètres!$A$1:$I$89,3,0)*0.475*44/12</f>
        <v>35.5700952844605</v>
      </c>
      <c r="CM89" s="21">
        <f>EXP(-LN(2)/2)*CM88+(1-EXP(-LN(2)/2))/(LN(2)/2)*CG89*CJ89*VLOOKUP('Données projet'!$B$12,Paramètres!$A$1:$I$89,3,0)*0.475*44/12</f>
        <v>0.15559515745454097</v>
      </c>
      <c r="CN89" s="22">
        <f t="shared" si="66"/>
        <v>189.0426261912433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11.328846153846158</v>
      </c>
      <c r="N90" s="13">
        <f>IF('Données projet'!$A$36&gt;35,N89+M90-V89,IF(A90&lt;'Données projet'!$A$36,$K$205^A90,IF(A90='Données projet'!$A$36,'Données projet'!$B$36,N89+M90-V89)))</f>
        <v>416.24615384615333</v>
      </c>
      <c r="O90" s="13">
        <f>N90*VLOOKUP('Données projet'!$B$9,Paramètres!$A$1:$I$89,3,0)*VLOOKUP('Données projet'!$B$9,Paramètres!$A$1:$I$89,5,0)</f>
        <v>194.80319999999975</v>
      </c>
      <c r="P90" s="13">
        <f t="shared" si="87"/>
        <v>48.600324281463649</v>
      </c>
      <c r="Q90" s="20">
        <f t="shared" si="54"/>
        <v>423.92780479021536</v>
      </c>
      <c r="R90" s="59">
        <f t="shared" si="55"/>
        <v>717.26113812354868</v>
      </c>
      <c r="S90" s="59">
        <f ca="1">AVERAGE(OFFSET($R$3,0,0,'Données projet'!$E$9+1,1))-AVERAGE(OFFSET($H$3,0,0,'Données projet'!$E$9+1,1))</f>
        <v>190.74210845597287</v>
      </c>
      <c r="T90" s="59">
        <f t="shared" si="88"/>
        <v>131.88015896015884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67.216754767376031</v>
      </c>
      <c r="AA90" s="21">
        <f>EXP(-LN(2)/25)*AA89+(1-EXP(-LN(2)/25))/(LN(2)/25)*Calculateur!V90*Calculateur!X90*VLOOKUP('Données projet'!$B$9,Paramètres!$A$1:$I$89,3,0)*0.475*44/12</f>
        <v>19.669534480471285</v>
      </c>
      <c r="AB90" s="21">
        <f>EXP(-LN(2)/2)*AB89+(1-EXP(-LN(2)/2))/(LN(2)/2)*V90*Y90*VLOOKUP('Données projet'!$B$9,Paramètres!$A$1:$I$89,3,0)*0.475*44/12</f>
        <v>1.4834551576014268</v>
      </c>
      <c r="AC90" s="22">
        <f t="shared" si="57"/>
        <v>88.369744405448742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-6.3550942286383367E-14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278.5296012747549</v>
      </c>
      <c r="AO90" s="59">
        <f t="shared" si="90"/>
        <v>370.55343097937077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120.26572360470689</v>
      </c>
      <c r="AV90" s="21">
        <f>EXP(-LN(2)/25)*AV89+(1-EXP(-LN(2)/25))/(LN(2)/25)*Calculateur!AQ90*Calculateur!AS90*VLOOKUP('Données projet'!$B$10,Paramètres!$A$1:$I$89,3,0)*0.475*44/12</f>
        <v>23.72258404668786</v>
      </c>
      <c r="AW90" s="21">
        <f>EXP(-LN(2)/2)*AW89+(1-EXP(-LN(2)/2))/(LN(2)/2)*AQ90*AT90*VLOOKUP('Données projet'!$B$10,Paramètres!$A$1:$I$89,3,0)*0.475*44/12</f>
        <v>5.2126013189868886E-4</v>
      </c>
      <c r="AX90" s="21">
        <f t="shared" si="60"/>
        <v>143.98882891152667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5.0113122171945692</v>
      </c>
      <c r="BD90" s="12">
        <f>IF('Données projet'!$A$88&gt;35,BD89+BC90-BL89,IF(A90&lt;'Données projet'!$A$88,$BA$205^A90,IF(A90='Données projet'!$A$88,'Données projet'!$B$88,BD89+BC90-BL89)))</f>
        <v>240.14117647058828</v>
      </c>
      <c r="BE90" s="13">
        <f>BD90*VLOOKUP('Données projet'!$B$11,Paramètres!$A$1:$I$89,3,0)*VLOOKUP('Données projet'!$B$11,Paramètres!$A$1:$I$89,5,0)</f>
        <v>112.38607058823531</v>
      </c>
      <c r="BF90" s="13">
        <f t="shared" si="91"/>
        <v>29.892457358720989</v>
      </c>
      <c r="BG90" s="20">
        <f t="shared" si="61"/>
        <v>247.80176950761555</v>
      </c>
      <c r="BH90" s="59">
        <f t="shared" si="62"/>
        <v>541.13510284094889</v>
      </c>
      <c r="BI90" s="59">
        <f ca="1">AVERAGE(OFFSET($BH$3,0,0,'Données projet'!$E$11+1,1))-AVERAGE(OFFSET($H$3,0,0,'Données projet'!$E$11+1,1))</f>
        <v>111.85541298746966</v>
      </c>
      <c r="BJ90" s="59">
        <f t="shared" si="92"/>
        <v>27.56942482401746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16.434649659969924</v>
      </c>
      <c r="BQ90" s="21">
        <f>EXP(-LN(2)/25)*BQ89+(1-EXP(-LN(2)/25))/(LN(2)/25)*Calculateur!BL90*Calculateur!BN90*VLOOKUP('Données projet'!$B$11,Paramètres!$A$1:$I$89,3,0)*0.475*44/12</f>
        <v>11.884723327901447</v>
      </c>
      <c r="BR90" s="21">
        <f>EXP(-LN(2)/2)*BR89+(1-EXP(-LN(2)/2))/(LN(2)/2)*BL90*BO90*VLOOKUP('Données projet'!$B$11,Paramètres!$A$1:$I$89,3,0)*0.475*44/12</f>
        <v>0.95554063387676347</v>
      </c>
      <c r="BS90" s="22">
        <f t="shared" si="63"/>
        <v>29.274913621748134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253.62423410951334</v>
      </c>
      <c r="CE90" s="59">
        <f t="shared" si="94"/>
        <v>230.93438491511529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150.31048415338097</v>
      </c>
      <c r="CL90" s="21">
        <f>EXP(-LN(2)/25)*CL89+(1-EXP(-LN(2)/25))/(LN(2)/25)*Calculateur!CG90*Calculateur!CI90*VLOOKUP('Données projet'!$B$12,Paramètres!$A$1:$I$89,3,0)*0.475*44/12</f>
        <v>34.59742915835691</v>
      </c>
      <c r="CM90" s="21">
        <f>EXP(-LN(2)/2)*CM89+(1-EXP(-LN(2)/2))/(LN(2)/2)*CG90*CJ90*VLOOKUP('Données projet'!$B$12,Paramètres!$A$1:$I$89,3,0)*0.475*44/12</f>
        <v>0.11002239095589451</v>
      </c>
      <c r="CN90" s="22">
        <f t="shared" si="66"/>
        <v>185.01793570269376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11.328846153846158</v>
      </c>
      <c r="N91" s="13">
        <f>IF('Données projet'!$A$36&gt;35,N90+M91-V90,IF(A91&lt;'Données projet'!$A$36,$K$205^A91,IF(A91='Données projet'!$A$36,'Données projet'!$B$36,N90+M91-V90)))</f>
        <v>427.57499999999948</v>
      </c>
      <c r="O91" s="13">
        <f>N91*VLOOKUP('Données projet'!$B$9,Paramètres!$A$1:$I$89,3,0)*VLOOKUP('Données projet'!$B$9,Paramètres!$A$1:$I$89,5,0)</f>
        <v>200.10509999999974</v>
      </c>
      <c r="P91" s="13">
        <f t="shared" si="87"/>
        <v>49.76726481803523</v>
      </c>
      <c r="Q91" s="20">
        <f t="shared" si="54"/>
        <v>435.19436872474421</v>
      </c>
      <c r="R91" s="59">
        <f t="shared" si="55"/>
        <v>728.52770205807747</v>
      </c>
      <c r="S91" s="59">
        <f ca="1">AVERAGE(OFFSET($R$3,0,0,'Données projet'!$E$9+1,1))-AVERAGE(OFFSET($H$3,0,0,'Données projet'!$E$9+1,1))</f>
        <v>190.74210845597287</v>
      </c>
      <c r="T91" s="59">
        <f t="shared" si="88"/>
        <v>131.88015896015884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65.898675204559964</v>
      </c>
      <c r="AA91" s="21">
        <f>EXP(-LN(2)/25)*AA90+(1-EXP(-LN(2)/25))/(LN(2)/25)*Calculateur!V91*Calculateur!X91*VLOOKUP('Données projet'!$B$9,Paramètres!$A$1:$I$89,3,0)*0.475*44/12</f>
        <v>19.131670025726933</v>
      </c>
      <c r="AB91" s="21">
        <f>EXP(-LN(2)/2)*AB90+(1-EXP(-LN(2)/2))/(LN(2)/2)*V91*Y91*VLOOKUP('Données projet'!$B$9,Paramètres!$A$1:$I$89,3,0)*0.475*44/12</f>
        <v>1.0489612015261276</v>
      </c>
      <c r="AC91" s="22">
        <f t="shared" si="57"/>
        <v>86.079306431813023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-6.3550942286383367E-14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278.5296012747549</v>
      </c>
      <c r="AO91" s="59">
        <f t="shared" si="90"/>
        <v>370.55343097937077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117.9073861196668</v>
      </c>
      <c r="AV91" s="21">
        <f>EXP(-LN(2)/25)*AV90+(1-EXP(-LN(2)/25))/(LN(2)/25)*Calculateur!AQ91*Calculateur!AS91*VLOOKUP('Données projet'!$B$10,Paramètres!$A$1:$I$89,3,0)*0.475*44/12</f>
        <v>23.073888738414706</v>
      </c>
      <c r="AW91" s="21">
        <f>EXP(-LN(2)/2)*AW90+(1-EXP(-LN(2)/2))/(LN(2)/2)*AQ91*AT91*VLOOKUP('Données projet'!$B$10,Paramètres!$A$1:$I$89,3,0)*0.475*44/12</f>
        <v>3.6858657402775709E-4</v>
      </c>
      <c r="AX91" s="21">
        <f t="shared" si="60"/>
        <v>140.98164344465553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5.0113122171945692</v>
      </c>
      <c r="BD91" s="12">
        <f>IF('Données projet'!$A$88&gt;35,BD90+BC91-BL90,IF(A91&lt;'Données projet'!$A$88,$BA$205^A91,IF(A91='Données projet'!$A$88,'Données projet'!$B$88,BD90+BC91-BL90)))</f>
        <v>245.15248868778284</v>
      </c>
      <c r="BE91" s="13">
        <f>BD91*VLOOKUP('Données projet'!$B$11,Paramètres!$A$1:$I$89,3,0)*VLOOKUP('Données projet'!$B$11,Paramètres!$A$1:$I$89,5,0)</f>
        <v>114.73136470588237</v>
      </c>
      <c r="BF91" s="13">
        <f t="shared" si="91"/>
        <v>30.442984108009515</v>
      </c>
      <c r="BG91" s="20">
        <f t="shared" si="61"/>
        <v>252.84532418419505</v>
      </c>
      <c r="BH91" s="59">
        <f t="shared" si="62"/>
        <v>546.17865751752834</v>
      </c>
      <c r="BI91" s="59">
        <f ca="1">AVERAGE(OFFSET($BH$3,0,0,'Données projet'!$E$11+1,1))-AVERAGE(OFFSET($H$3,0,0,'Données projet'!$E$11+1,1))</f>
        <v>111.85541298746966</v>
      </c>
      <c r="BJ91" s="59">
        <f t="shared" si="92"/>
        <v>27.56942482401746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16.112376204284406</v>
      </c>
      <c r="BQ91" s="21">
        <f>EXP(-LN(2)/25)*BQ90+(1-EXP(-LN(2)/25))/(LN(2)/25)*Calculateur!BL91*Calculateur!BN91*VLOOKUP('Données projet'!$B$11,Paramètres!$A$1:$I$89,3,0)*0.475*44/12</f>
        <v>11.559734943509545</v>
      </c>
      <c r="BR91" s="21">
        <f>EXP(-LN(2)/2)*BR90+(1-EXP(-LN(2)/2))/(LN(2)/2)*BL91*BO91*VLOOKUP('Données projet'!$B$11,Paramètres!$A$1:$I$89,3,0)*0.475*44/12</f>
        <v>0.67566926191355159</v>
      </c>
      <c r="BS91" s="22">
        <f t="shared" si="63"/>
        <v>28.3477804097075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253.62423410951334</v>
      </c>
      <c r="CE91" s="59">
        <f t="shared" si="94"/>
        <v>230.93438491511529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147.36298723947581</v>
      </c>
      <c r="CL91" s="21">
        <f>EXP(-LN(2)/25)*CL90+(1-EXP(-LN(2)/25))/(LN(2)/25)*Calculateur!CG91*Calculateur!CI91*VLOOKUP('Données projet'!$B$12,Paramètres!$A$1:$I$89,3,0)*0.475*44/12</f>
        <v>33.651360638621917</v>
      </c>
      <c r="CM91" s="21">
        <f>EXP(-LN(2)/2)*CM90+(1-EXP(-LN(2)/2))/(LN(2)/2)*CG91*CJ91*VLOOKUP('Données projet'!$B$12,Paramètres!$A$1:$I$89,3,0)*0.475*44/12</f>
        <v>7.7797578727270486E-2</v>
      </c>
      <c r="CN91" s="22">
        <f t="shared" si="66"/>
        <v>181.09214545682499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11.328846153846158</v>
      </c>
      <c r="N92" s="13">
        <f>IF('Données projet'!$A$36&gt;35,N91+M92-V91,IF(A92&lt;'Données projet'!$A$36,$K$205^A92,IF(A92='Données projet'!$A$36,'Données projet'!$B$36,N91+M92-V91)))</f>
        <v>438.90384615384562</v>
      </c>
      <c r="O92" s="13">
        <f>N92*VLOOKUP('Données projet'!$B$9,Paramètres!$A$1:$I$89,3,0)*VLOOKUP('Données projet'!$B$9,Paramètres!$A$1:$I$89,5,0)</f>
        <v>205.40699999999975</v>
      </c>
      <c r="P92" s="13">
        <f t="shared" si="87"/>
        <v>50.930611510342416</v>
      </c>
      <c r="Q92" s="20">
        <f t="shared" si="54"/>
        <v>446.45467338051259</v>
      </c>
      <c r="R92" s="59">
        <f t="shared" si="55"/>
        <v>739.7880067138459</v>
      </c>
      <c r="S92" s="59">
        <f ca="1">AVERAGE(OFFSET($R$3,0,0,'Données projet'!$E$9+1,1))-AVERAGE(OFFSET($H$3,0,0,'Données projet'!$E$9+1,1))</f>
        <v>190.74210845597287</v>
      </c>
      <c r="T92" s="59">
        <f t="shared" si="88"/>
        <v>131.88015896015884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64.606442378021569</v>
      </c>
      <c r="AA92" s="21">
        <f>EXP(-LN(2)/25)*AA91+(1-EXP(-LN(2)/25))/(LN(2)/25)*Calculateur!V92*Calculateur!X92*VLOOKUP('Données projet'!$B$9,Paramètres!$A$1:$I$89,3,0)*0.475*44/12</f>
        <v>18.608513502782628</v>
      </c>
      <c r="AB92" s="21">
        <f>EXP(-LN(2)/2)*AB91+(1-EXP(-LN(2)/2))/(LN(2)/2)*V92*Y92*VLOOKUP('Données projet'!$B$9,Paramètres!$A$1:$I$89,3,0)*0.475*44/12</f>
        <v>0.74172757880071349</v>
      </c>
      <c r="AC92" s="22">
        <f t="shared" si="57"/>
        <v>83.956683459604918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-6.3550942286383367E-14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278.5296012747549</v>
      </c>
      <c r="AO92" s="59">
        <f t="shared" si="90"/>
        <v>370.55343097937077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115.59529419426451</v>
      </c>
      <c r="AV92" s="21">
        <f>EXP(-LN(2)/25)*AV91+(1-EXP(-LN(2)/25))/(LN(2)/25)*Calculateur!AQ92*Calculateur!AS92*VLOOKUP('Données projet'!$B$10,Paramètres!$A$1:$I$89,3,0)*0.475*44/12</f>
        <v>22.442932037459684</v>
      </c>
      <c r="AW92" s="21">
        <f>EXP(-LN(2)/2)*AW91+(1-EXP(-LN(2)/2))/(LN(2)/2)*AQ92*AT92*VLOOKUP('Données projet'!$B$10,Paramètres!$A$1:$I$89,3,0)*0.475*44/12</f>
        <v>2.6063006594934443E-4</v>
      </c>
      <c r="AX92" s="21">
        <f t="shared" si="60"/>
        <v>138.03848686179015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5.0113122171945692</v>
      </c>
      <c r="BD92" s="12">
        <f>IF('Données projet'!$A$88&gt;35,BD91+BC92-BL91,IF(A92&lt;'Données projet'!$A$88,$BA$205^A92,IF(A92='Données projet'!$A$88,'Données projet'!$B$88,BD91+BC92-BL91)))</f>
        <v>250.16380090497739</v>
      </c>
      <c r="BE92" s="13">
        <f>BD92*VLOOKUP('Données projet'!$B$11,Paramètres!$A$1:$I$89,3,0)*VLOOKUP('Données projet'!$B$11,Paramètres!$A$1:$I$89,5,0)</f>
        <v>117.07665882352941</v>
      </c>
      <c r="BF92" s="13">
        <f t="shared" si="91"/>
        <v>30.992202392767151</v>
      </c>
      <c r="BG92" s="20">
        <f t="shared" si="61"/>
        <v>257.88659995171651</v>
      </c>
      <c r="BH92" s="59">
        <f t="shared" si="62"/>
        <v>551.21993328504982</v>
      </c>
      <c r="BI92" s="59">
        <f ca="1">AVERAGE(OFFSET($BH$3,0,0,'Données projet'!$E$11+1,1))-AVERAGE(OFFSET($H$3,0,0,'Données projet'!$E$11+1,1))</f>
        <v>111.85541298746966</v>
      </c>
      <c r="BJ92" s="59">
        <f t="shared" si="92"/>
        <v>27.56942482401746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15.79642233449748</v>
      </c>
      <c r="BQ92" s="21">
        <f>EXP(-LN(2)/25)*BQ91+(1-EXP(-LN(2)/25))/(LN(2)/25)*Calculateur!BL92*Calculateur!BN92*VLOOKUP('Données projet'!$B$11,Paramètres!$A$1:$I$89,3,0)*0.475*44/12</f>
        <v>11.243633383579235</v>
      </c>
      <c r="BR92" s="21">
        <f>EXP(-LN(2)/2)*BR91+(1-EXP(-LN(2)/2))/(LN(2)/2)*BL92*BO92*VLOOKUP('Données projet'!$B$11,Paramètres!$A$1:$I$89,3,0)*0.475*44/12</f>
        <v>0.47777031693838184</v>
      </c>
      <c r="BS92" s="22">
        <f t="shared" si="63"/>
        <v>27.517826035015098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253.62423410951334</v>
      </c>
      <c r="CE92" s="59">
        <f t="shared" si="94"/>
        <v>230.93438491511529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144.47328894225674</v>
      </c>
      <c r="CL92" s="21">
        <f>EXP(-LN(2)/25)*CL91+(1-EXP(-LN(2)/25))/(LN(2)/25)*Calculateur!CG92*Calculateur!CI92*VLOOKUP('Données projet'!$B$12,Paramètres!$A$1:$I$89,3,0)*0.475*44/12</f>
        <v>32.731162412310653</v>
      </c>
      <c r="CM92" s="21">
        <f>EXP(-LN(2)/2)*CM91+(1-EXP(-LN(2)/2))/(LN(2)/2)*CG92*CJ92*VLOOKUP('Données projet'!$B$12,Paramètres!$A$1:$I$89,3,0)*0.475*44/12</f>
        <v>5.5011195477947257E-2</v>
      </c>
      <c r="CN92" s="22">
        <f t="shared" si="66"/>
        <v>177.25946255004536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11.328846153846158</v>
      </c>
      <c r="N93" s="13">
        <f>IF('Données projet'!$A$36&gt;35,N92+M93-V92,IF(A93&lt;'Données projet'!$A$36,$K$205^A93,IF(A93='Données projet'!$A$36,'Données projet'!$B$36,N92+M93-V92)))</f>
        <v>450.23269230769176</v>
      </c>
      <c r="O93" s="13">
        <f>N93*VLOOKUP('Données projet'!$B$9,Paramètres!$A$1:$I$89,3,0)*VLOOKUP('Données projet'!$B$9,Paramètres!$A$1:$I$89,5,0)</f>
        <v>210.70889999999974</v>
      </c>
      <c r="P93" s="13">
        <f t="shared" si="87"/>
        <v>52.090467787005039</v>
      </c>
      <c r="Q93" s="20">
        <f t="shared" si="54"/>
        <v>457.70889889569997</v>
      </c>
      <c r="R93" s="59">
        <f t="shared" si="55"/>
        <v>751.04223222903329</v>
      </c>
      <c r="S93" s="59">
        <f ca="1">AVERAGE(OFFSET($R$3,0,0,'Données projet'!$E$9+1,1))-AVERAGE(OFFSET($H$3,0,0,'Données projet'!$E$9+1,1))</f>
        <v>190.74210845597287</v>
      </c>
      <c r="T93" s="59">
        <f t="shared" si="88"/>
        <v>131.88015896015884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63.339549449027395</v>
      </c>
      <c r="AA93" s="21">
        <f>EXP(-LN(2)/25)*AA92+(1-EXP(-LN(2)/25))/(LN(2)/25)*Calculateur!V93*Calculateur!X93*VLOOKUP('Données projet'!$B$9,Paramètres!$A$1:$I$89,3,0)*0.475*44/12</f>
        <v>18.099662722469841</v>
      </c>
      <c r="AB93" s="21">
        <f>EXP(-LN(2)/2)*AB92+(1-EXP(-LN(2)/2))/(LN(2)/2)*V93*Y93*VLOOKUP('Données projet'!$B$9,Paramètres!$A$1:$I$89,3,0)*0.475*44/12</f>
        <v>0.5244806007630638</v>
      </c>
      <c r="AC93" s="22">
        <f t="shared" si="57"/>
        <v>81.963692772260302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-6.3550942286383367E-14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278.5296012747549</v>
      </c>
      <c r="AO93" s="59">
        <f t="shared" si="90"/>
        <v>370.55343097937077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113.32854098128254</v>
      </c>
      <c r="AV93" s="21">
        <f>EXP(-LN(2)/25)*AV92+(1-EXP(-LN(2)/25))/(LN(2)/25)*Calculateur!AQ93*Calculateur!AS93*VLOOKUP('Données projet'!$B$10,Paramètres!$A$1:$I$89,3,0)*0.475*44/12</f>
        <v>21.829228880672847</v>
      </c>
      <c r="AW93" s="21">
        <f>EXP(-LN(2)/2)*AW92+(1-EXP(-LN(2)/2))/(LN(2)/2)*AQ93*AT93*VLOOKUP('Données projet'!$B$10,Paramètres!$A$1:$I$89,3,0)*0.475*44/12</f>
        <v>1.8429328701387854E-4</v>
      </c>
      <c r="AX93" s="21">
        <f t="shared" si="60"/>
        <v>135.15795415524241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5.0113122171945692</v>
      </c>
      <c r="BD93" s="12">
        <f>IF('Données projet'!$A$88&gt;35,BD92+BC93-BL92,IF(A93&lt;'Données projet'!$A$88,$BA$205^A93,IF(A93='Données projet'!$A$88,'Données projet'!$B$88,BD92+BC93-BL92)))</f>
        <v>255.17511312217195</v>
      </c>
      <c r="BE93" s="13">
        <f>BD93*VLOOKUP('Données projet'!$B$11,Paramètres!$A$1:$I$89,3,0)*VLOOKUP('Données projet'!$B$11,Paramètres!$A$1:$I$89,5,0)</f>
        <v>119.42195294117647</v>
      </c>
      <c r="BF93" s="13">
        <f t="shared" si="91"/>
        <v>31.540141445171724</v>
      </c>
      <c r="BG93" s="20">
        <f t="shared" si="61"/>
        <v>262.92564772288972</v>
      </c>
      <c r="BH93" s="59">
        <f t="shared" si="62"/>
        <v>556.25898105622309</v>
      </c>
      <c r="BI93" s="59">
        <f ca="1">AVERAGE(OFFSET($BH$3,0,0,'Données projet'!$E$11+1,1))-AVERAGE(OFFSET($H$3,0,0,'Données projet'!$E$11+1,1))</f>
        <v>111.85541298746966</v>
      </c>
      <c r="BJ93" s="59">
        <f t="shared" si="92"/>
        <v>27.56942482401746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15.486664127384245</v>
      </c>
      <c r="BQ93" s="21">
        <f>EXP(-LN(2)/25)*BQ92+(1-EXP(-LN(2)/25))/(LN(2)/25)*Calculateur!BL93*Calculateur!BN93*VLOOKUP('Données projet'!$B$11,Paramètres!$A$1:$I$89,3,0)*0.475*44/12</f>
        <v>10.936175637428279</v>
      </c>
      <c r="BR93" s="21">
        <f>EXP(-LN(2)/2)*BR92+(1-EXP(-LN(2)/2))/(LN(2)/2)*BL93*BO93*VLOOKUP('Données projet'!$B$11,Paramètres!$A$1:$I$89,3,0)*0.475*44/12</f>
        <v>0.33783463095677585</v>
      </c>
      <c r="BS93" s="22">
        <f t="shared" si="63"/>
        <v>26.7606743957693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253.62423410951334</v>
      </c>
      <c r="CE93" s="59">
        <f t="shared" si="94"/>
        <v>230.93438491511529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141.64025586610421</v>
      </c>
      <c r="CL93" s="21">
        <f>EXP(-LN(2)/25)*CL92+(1-EXP(-LN(2)/25))/(LN(2)/25)*Calculateur!CG93*Calculateur!CI93*VLOOKUP('Données projet'!$B$12,Paramètres!$A$1:$I$89,3,0)*0.475*44/12</f>
        <v>31.836127054888994</v>
      </c>
      <c r="CM93" s="21">
        <f>EXP(-LN(2)/2)*CM92+(1-EXP(-LN(2)/2))/(LN(2)/2)*CG93*CJ93*VLOOKUP('Données projet'!$B$12,Paramètres!$A$1:$I$89,3,0)*0.475*44/12</f>
        <v>3.8898789363635243E-2</v>
      </c>
      <c r="CN93" s="22">
        <f t="shared" si="66"/>
        <v>173.51528171035685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>
        <f>VLOOKUP(A94,'Données projet'!$A$35:$I$55,2,0)</f>
        <v>461.56153846153842</v>
      </c>
      <c r="L94" s="12">
        <f>VLOOKUP(A94,'Données projet'!$A$35:$I$55,9,0)</f>
        <v>11.328846153846158</v>
      </c>
      <c r="M94" s="12">
        <f t="array" ref="M94">INDEX(L:L,MIN(IF(ISNUMBER(L94:L290),ROW(L94:L290),"")))</f>
        <v>11.328846153846158</v>
      </c>
      <c r="N94" s="13">
        <f>IF('Données projet'!$A$36&gt;35,N93+M94-V93,IF(A94&lt;'Données projet'!$A$36,$K$205^A94,IF(A94='Données projet'!$A$36,'Données projet'!$B$36,N93+M94-V93)))</f>
        <v>461.56153846153791</v>
      </c>
      <c r="O94" s="13">
        <f>N94*VLOOKUP('Données projet'!$B$9,Paramètres!$A$1:$I$89,3,0)*VLOOKUP('Données projet'!$B$9,Paramètres!$A$1:$I$89,5,0)</f>
        <v>216.01079999999973</v>
      </c>
      <c r="P94" s="13">
        <f t="shared" si="87"/>
        <v>53.246931575036889</v>
      </c>
      <c r="Q94" s="20">
        <f t="shared" si="54"/>
        <v>468.95721582652214</v>
      </c>
      <c r="R94" s="59">
        <f t="shared" si="55"/>
        <v>762.29054915985546</v>
      </c>
      <c r="S94" s="59">
        <f ca="1">AVERAGE(OFFSET($R$3,0,0,'Données projet'!$E$9+1,1))-AVERAGE(OFFSET($H$3,0,0,'Données projet'!$E$9+1,1))</f>
        <v>190.74210845597287</v>
      </c>
      <c r="T94" s="59">
        <f t="shared" si="88"/>
        <v>131.88015896015884</v>
      </c>
      <c r="U94" s="15">
        <f>IF(ISNA(VLOOKUP(A94,'Données projet'!$A$35:$I$55,3,0)),0,VLOOKUP(A94,'Données projet'!$A$35:$I$55,3,0))</f>
        <v>7</v>
      </c>
      <c r="V94" s="15">
        <f>IF(ISNA(VLOOKUP(A94,'Données projet'!$A$35:$I$55,4,0)),0,VLOOKUP(A94,'Données projet'!$A$35:$I$55,4,0))</f>
        <v>229.73846153846154</v>
      </c>
      <c r="W94" s="16">
        <f>IF(ISNA(VLOOKUP(A94,'Données projet'!$A$35:$I$55,5,0)),0%,VLOOKUP(A94,'Données projet'!$A$35:$I$55,5,0)*VLOOKUP('Données projet'!$B$9,Paramètres!$A$1:$I$89,7,0))</f>
        <v>0.38500000000000001</v>
      </c>
      <c r="X94" s="16">
        <f>IF(ISNA(VLOOKUP(A94,'Données projet'!$A$35:$I$55,6,0)),0%,VLOOKUP(A94,'Données projet'!$A$35:$I$55,6,0)*VLOOKUP('Données projet'!$B$9,Paramètres!$A$1:$I$89,7,0))</f>
        <v>9.240000000000001E-2</v>
      </c>
      <c r="Y94" s="16">
        <f>IF(ISNA(VLOOKUP(A94,'Données projet'!$A$35:$I$55,7,0)),0%,VLOOKUP(A94,'Données projet'!$A$35:$I$55,7,0))</f>
        <v>0.13200000000000001</v>
      </c>
      <c r="Z94" s="21">
        <f>EXP(-LN(2)/35)*Z93+(1-EXP(-LN(2)/35))/(LN(2)/35)*V94*W94*VLOOKUP('Données projet'!$B$9,Paramètres!$A$1:$I$89,3,0)*0.475*44/12</f>
        <v>117.00967471789643</v>
      </c>
      <c r="AA94" s="21">
        <f>EXP(-LN(2)/25)*AA93+(1-EXP(-LN(2)/25))/(LN(2)/25)*Calculateur!V94*Calculateur!X94*VLOOKUP('Données projet'!$B$9,Paramètres!$A$1:$I$89,3,0)*0.475*44/12</f>
        <v>30.731758103898777</v>
      </c>
      <c r="AB94" s="21">
        <f>EXP(-LN(2)/2)*AB93+(1-EXP(-LN(2)/2))/(LN(2)/2)*V94*Y94*VLOOKUP('Données projet'!$B$9,Paramètres!$A$1:$I$89,3,0)*0.475*44/12</f>
        <v>16.439870493374521</v>
      </c>
      <c r="AC94" s="22">
        <f t="shared" si="57"/>
        <v>164.18130331516971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-6.3550942286383367E-14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278.5296012747549</v>
      </c>
      <c r="AO94" s="59">
        <f t="shared" si="90"/>
        <v>370.55343097937077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111.1062374162242</v>
      </c>
      <c r="AV94" s="21">
        <f>EXP(-LN(2)/25)*AV93+(1-EXP(-LN(2)/25))/(LN(2)/25)*Calculateur!AQ94*Calculateur!AS94*VLOOKUP('Données projet'!$B$10,Paramètres!$A$1:$I$89,3,0)*0.475*44/12</f>
        <v>21.232307468981592</v>
      </c>
      <c r="AW94" s="21">
        <f>EXP(-LN(2)/2)*AW93+(1-EXP(-LN(2)/2))/(LN(2)/2)*AQ94*AT94*VLOOKUP('Données projet'!$B$10,Paramètres!$A$1:$I$89,3,0)*0.475*44/12</f>
        <v>1.3031503297467222E-4</v>
      </c>
      <c r="AX94" s="21">
        <f t="shared" si="60"/>
        <v>132.33867520023878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5.0113122171945692</v>
      </c>
      <c r="BD94" s="12">
        <f>IF('Données projet'!$A$88&gt;35,BD93+BC94-BL93,IF(A94&lt;'Données projet'!$A$88,$BA$205^A94,IF(A94='Données projet'!$A$88,'Données projet'!$B$88,BD93+BC94-BL93)))</f>
        <v>260.18642533936651</v>
      </c>
      <c r="BE94" s="13">
        <f>BD94*VLOOKUP('Données projet'!$B$11,Paramètres!$A$1:$I$89,3,0)*VLOOKUP('Données projet'!$B$11,Paramètres!$A$1:$I$89,5,0)</f>
        <v>121.76724705882353</v>
      </c>
      <c r="BF94" s="13">
        <f t="shared" si="91"/>
        <v>32.086829283566431</v>
      </c>
      <c r="BG94" s="20">
        <f t="shared" si="61"/>
        <v>267.96251629632917</v>
      </c>
      <c r="BH94" s="59">
        <f t="shared" si="62"/>
        <v>561.29584962966248</v>
      </c>
      <c r="BI94" s="59">
        <f ca="1">AVERAGE(OFFSET($BH$3,0,0,'Données projet'!$E$11+1,1))-AVERAGE(OFFSET($H$3,0,0,'Données projet'!$E$11+1,1))</f>
        <v>111.85541298746966</v>
      </c>
      <c r="BJ94" s="59">
        <f t="shared" si="92"/>
        <v>27.56942482401746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15.182980089778649</v>
      </c>
      <c r="BQ94" s="21">
        <f>EXP(-LN(2)/25)*BQ93+(1-EXP(-LN(2)/25))/(LN(2)/25)*Calculateur!BL94*Calculateur!BN94*VLOOKUP('Données projet'!$B$11,Paramètres!$A$1:$I$89,3,0)*0.475*44/12</f>
        <v>10.637125339514322</v>
      </c>
      <c r="BR94" s="21">
        <f>EXP(-LN(2)/2)*BR93+(1-EXP(-LN(2)/2))/(LN(2)/2)*BL94*BO94*VLOOKUP('Données projet'!$B$11,Paramètres!$A$1:$I$89,3,0)*0.475*44/12</f>
        <v>0.23888515846919095</v>
      </c>
      <c r="BS94" s="22">
        <f t="shared" si="63"/>
        <v>26.058990587762164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253.62423410951334</v>
      </c>
      <c r="CE94" s="59">
        <f t="shared" si="94"/>
        <v>230.93438491511529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138.86277684059547</v>
      </c>
      <c r="CL94" s="21">
        <f>EXP(-LN(2)/25)*CL93+(1-EXP(-LN(2)/25))/(LN(2)/25)*Calculateur!CG94*Calculateur!CI94*VLOOKUP('Données projet'!$B$12,Paramètres!$A$1:$I$89,3,0)*0.475*44/12</f>
        <v>30.965566486383896</v>
      </c>
      <c r="CM94" s="21">
        <f>EXP(-LN(2)/2)*CM93+(1-EXP(-LN(2)/2))/(LN(2)/2)*CG94*CJ94*VLOOKUP('Données projet'!$B$12,Paramètres!$A$1:$I$89,3,0)*0.475*44/12</f>
        <v>2.7505597738973629E-2</v>
      </c>
      <c r="CN94" s="22">
        <f t="shared" si="66"/>
        <v>169.85584892471834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7.5784615384615392</v>
      </c>
      <c r="N95" s="13">
        <f>IF('Données projet'!$A$36&gt;35,N94+M95-V94,IF(A95&lt;'Données projet'!$A$36,$K$205^A95,IF(A95='Données projet'!$A$36,'Données projet'!$B$36,N94+M95-V94)))</f>
        <v>239.40153846153788</v>
      </c>
      <c r="O95" s="13">
        <f>N95*VLOOKUP('Données projet'!$B$9,Paramètres!$A$1:$I$89,3,0)*VLOOKUP('Données projet'!$B$9,Paramètres!$A$1:$I$89,5,0)</f>
        <v>112.03991999999973</v>
      </c>
      <c r="P95" s="13">
        <f t="shared" si="87"/>
        <v>29.811090444660106</v>
      </c>
      <c r="Q95" s="20">
        <f t="shared" si="54"/>
        <v>247.05717652444915</v>
      </c>
      <c r="R95" s="59">
        <f t="shared" si="55"/>
        <v>540.39050985778249</v>
      </c>
      <c r="S95" s="59">
        <f ca="1">AVERAGE(OFFSET($R$3,0,0,'Données projet'!$E$9+1,1))-AVERAGE(OFFSET($H$3,0,0,'Données projet'!$E$9+1,1))</f>
        <v>190.74210845597287</v>
      </c>
      <c r="T95" s="59">
        <f t="shared" si="88"/>
        <v>131.88015896015884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114.71518636553297</v>
      </c>
      <c r="AA95" s="21">
        <f>EXP(-LN(2)/25)*AA94+(1-EXP(-LN(2)/25))/(LN(2)/25)*Calculateur!V95*Calculateur!X95*VLOOKUP('Données projet'!$B$9,Paramètres!$A$1:$I$89,3,0)*0.475*44/12</f>
        <v>29.891396562434746</v>
      </c>
      <c r="AB95" s="21">
        <f>EXP(-LN(2)/2)*AB94+(1-EXP(-LN(2)/2))/(LN(2)/2)*V95*Y95*VLOOKUP('Données projet'!$B$9,Paramètres!$A$1:$I$89,3,0)*0.475*44/12</f>
        <v>11.624743907693757</v>
      </c>
      <c r="AC95" s="22">
        <f t="shared" si="57"/>
        <v>156.23132683566146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-6.3550942286383367E-14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278.5296012747549</v>
      </c>
      <c r="AO95" s="59">
        <f t="shared" si="90"/>
        <v>370.55343097937077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108.92751186860532</v>
      </c>
      <c r="AV95" s="21">
        <f>EXP(-LN(2)/25)*AV94+(1-EXP(-LN(2)/25))/(LN(2)/25)*Calculateur!AQ95*Calculateur!AS95*VLOOKUP('Données projet'!$B$10,Paramètres!$A$1:$I$89,3,0)*0.475*44/12</f>
        <v>20.651708904683769</v>
      </c>
      <c r="AW95" s="21">
        <f>EXP(-LN(2)/2)*AW94+(1-EXP(-LN(2)/2))/(LN(2)/2)*AQ95*AT95*VLOOKUP('Données projet'!$B$10,Paramètres!$A$1:$I$89,3,0)*0.475*44/12</f>
        <v>9.2146643506939272E-5</v>
      </c>
      <c r="AX95" s="21">
        <f t="shared" si="60"/>
        <v>129.57931291993259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5.0113122171945692</v>
      </c>
      <c r="BD95" s="12">
        <f>IF('Données projet'!$A$88&gt;35,BD94+BC95-BL94,IF(A95&lt;'Données projet'!$A$88,$BA$205^A95,IF(A95='Données projet'!$A$88,'Données projet'!$B$88,BD94+BC95-BL94)))</f>
        <v>265.19773755656109</v>
      </c>
      <c r="BE95" s="13">
        <f>BD95*VLOOKUP('Données projet'!$B$11,Paramètres!$A$1:$I$89,3,0)*VLOOKUP('Données projet'!$B$11,Paramètres!$A$1:$I$89,5,0)</f>
        <v>124.11254117647059</v>
      </c>
      <c r="BF95" s="13">
        <f t="shared" si="91"/>
        <v>32.632292785254783</v>
      </c>
      <c r="BG95" s="20">
        <f t="shared" si="61"/>
        <v>272.99725248333834</v>
      </c>
      <c r="BH95" s="59">
        <f t="shared" si="62"/>
        <v>566.3305858166716</v>
      </c>
      <c r="BI95" s="59">
        <f ca="1">AVERAGE(OFFSET($BH$3,0,0,'Données projet'!$E$11+1,1))-AVERAGE(OFFSET($H$3,0,0,'Données projet'!$E$11+1,1))</f>
        <v>111.85541298746966</v>
      </c>
      <c r="BJ95" s="59">
        <f t="shared" si="92"/>
        <v>27.56942482401746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14.885251110921526</v>
      </c>
      <c r="BQ95" s="21">
        <f>EXP(-LN(2)/25)*BQ94+(1-EXP(-LN(2)/25))/(LN(2)/25)*Calculateur!BL95*Calculateur!BN95*VLOOKUP('Données projet'!$B$11,Paramètres!$A$1:$I$89,3,0)*0.475*44/12</f>
        <v>10.346252587723193</v>
      </c>
      <c r="BR95" s="21">
        <f>EXP(-LN(2)/2)*BR94+(1-EXP(-LN(2)/2))/(LN(2)/2)*BL95*BO95*VLOOKUP('Données projet'!$B$11,Paramètres!$A$1:$I$89,3,0)*0.475*44/12</f>
        <v>0.16891731547838795</v>
      </c>
      <c r="BS95" s="22">
        <f t="shared" si="63"/>
        <v>25.400421014123108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253.62423410951334</v>
      </c>
      <c r="CE95" s="59">
        <f t="shared" si="94"/>
        <v>230.93438491511529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136.13976248468205</v>
      </c>
      <c r="CL95" s="21">
        <f>EXP(-LN(2)/25)*CL94+(1-EXP(-LN(2)/25))/(LN(2)/25)*Calculateur!CG95*Calculateur!CI95*VLOOKUP('Données projet'!$B$12,Paramètres!$A$1:$I$89,3,0)*0.475*44/12</f>
        <v>30.118811442405359</v>
      </c>
      <c r="CM95" s="21">
        <f>EXP(-LN(2)/2)*CM94+(1-EXP(-LN(2)/2))/(LN(2)/2)*CG95*CJ95*VLOOKUP('Données projet'!$B$12,Paramètres!$A$1:$I$89,3,0)*0.475*44/12</f>
        <v>1.9449394681817622E-2</v>
      </c>
      <c r="CN95" s="22">
        <f t="shared" si="66"/>
        <v>166.27802332176924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7.5784615384615392</v>
      </c>
      <c r="N96" s="13">
        <f>IF('Données projet'!$A$36&gt;35,N95+M96-V95,IF(A96&lt;'Données projet'!$A$36,$K$205^A96,IF(A96='Données projet'!$A$36,'Données projet'!$B$36,N95+M96-V95)))</f>
        <v>246.97999999999942</v>
      </c>
      <c r="O96" s="13">
        <f>N96*VLOOKUP('Données projet'!$B$9,Paramètres!$A$1:$I$89,3,0)*VLOOKUP('Données projet'!$B$9,Paramètres!$A$1:$I$89,5,0)</f>
        <v>115.58663999999973</v>
      </c>
      <c r="P96" s="13">
        <f t="shared" si="87"/>
        <v>30.643421504922326</v>
      </c>
      <c r="Q96" s="20">
        <f t="shared" si="54"/>
        <v>254.68402378773919</v>
      </c>
      <c r="R96" s="59">
        <f t="shared" si="55"/>
        <v>548.01735712107256</v>
      </c>
      <c r="S96" s="59">
        <f ca="1">AVERAGE(OFFSET($R$3,0,0,'Données projet'!$E$9+1,1))-AVERAGE(OFFSET($H$3,0,0,'Données projet'!$E$9+1,1))</f>
        <v>190.74210845597287</v>
      </c>
      <c r="T96" s="59">
        <f t="shared" si="88"/>
        <v>131.88015896015884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112.46569153025965</v>
      </c>
      <c r="AA96" s="21">
        <f>EXP(-LN(2)/25)*AA95+(1-EXP(-LN(2)/25))/(LN(2)/25)*Calculateur!V96*Calculateur!X96*VLOOKUP('Données projet'!$B$9,Paramètres!$A$1:$I$89,3,0)*0.475*44/12</f>
        <v>29.074014751514742</v>
      </c>
      <c r="AB96" s="21">
        <f>EXP(-LN(2)/2)*AB95+(1-EXP(-LN(2)/2))/(LN(2)/2)*V96*Y96*VLOOKUP('Données projet'!$B$9,Paramètres!$A$1:$I$89,3,0)*0.475*44/12</f>
        <v>8.2199352466872622</v>
      </c>
      <c r="AC96" s="22">
        <f t="shared" si="57"/>
        <v>149.75964152846166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-6.3550942286383367E-14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278.5296012747549</v>
      </c>
      <c r="AO96" s="59">
        <f t="shared" si="90"/>
        <v>370.55343097937077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106.79150980008389</v>
      </c>
      <c r="AV96" s="21">
        <f>EXP(-LN(2)/25)*AV95+(1-EXP(-LN(2)/25))/(LN(2)/25)*Calculateur!AQ96*Calculateur!AS96*VLOOKUP('Données projet'!$B$10,Paramètres!$A$1:$I$89,3,0)*0.475*44/12</f>
        <v>20.086986838659019</v>
      </c>
      <c r="AW96" s="21">
        <f>EXP(-LN(2)/2)*AW95+(1-EXP(-LN(2)/2))/(LN(2)/2)*AQ96*AT96*VLOOKUP('Données projet'!$B$10,Paramètres!$A$1:$I$89,3,0)*0.475*44/12</f>
        <v>6.5157516487336108E-5</v>
      </c>
      <c r="AX96" s="21">
        <f t="shared" si="60"/>
        <v>126.87856179625939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5.0113122171945692</v>
      </c>
      <c r="BD96" s="12">
        <f>IF('Données projet'!$A$88&gt;35,BD95+BC96-BL95,IF(A96&lt;'Données projet'!$A$88,$BA$205^A96,IF(A96='Données projet'!$A$88,'Données projet'!$B$88,BD95+BC96-BL95)))</f>
        <v>270.20904977375568</v>
      </c>
      <c r="BE96" s="13">
        <f>BD96*VLOOKUP('Données projet'!$B$11,Paramètres!$A$1:$I$89,3,0)*VLOOKUP('Données projet'!$B$11,Paramètres!$A$1:$I$89,5,0)</f>
        <v>126.45783529411766</v>
      </c>
      <c r="BF96" s="13">
        <f t="shared" si="91"/>
        <v>33.176557753637425</v>
      </c>
      <c r="BG96" s="20">
        <f t="shared" si="61"/>
        <v>278.0299012248401</v>
      </c>
      <c r="BH96" s="59">
        <f t="shared" si="62"/>
        <v>571.36323455817342</v>
      </c>
      <c r="BI96" s="59">
        <f ca="1">AVERAGE(OFFSET($BH$3,0,0,'Données projet'!$E$11+1,1))-AVERAGE(OFFSET($H$3,0,0,'Données projet'!$E$11+1,1))</f>
        <v>111.85541298746966</v>
      </c>
      <c r="BJ96" s="59">
        <f t="shared" si="92"/>
        <v>27.56942482401746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14.593360415743046</v>
      </c>
      <c r="BQ96" s="21">
        <f>EXP(-LN(2)/25)*BQ95+(1-EXP(-LN(2)/25))/(LN(2)/25)*Calculateur!BL96*Calculateur!BN96*VLOOKUP('Données projet'!$B$11,Paramètres!$A$1:$I$89,3,0)*0.475*44/12</f>
        <v>10.063333766626124</v>
      </c>
      <c r="BR96" s="21">
        <f>EXP(-LN(2)/2)*BR95+(1-EXP(-LN(2)/2))/(LN(2)/2)*BL96*BO96*VLOOKUP('Données projet'!$B$11,Paramètres!$A$1:$I$89,3,0)*0.475*44/12</f>
        <v>0.11944257923459549</v>
      </c>
      <c r="BS96" s="22">
        <f t="shared" si="63"/>
        <v>24.776136761603766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253.62423410951334</v>
      </c>
      <c r="CE96" s="59">
        <f t="shared" si="94"/>
        <v>230.93438491511529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133.47014477941332</v>
      </c>
      <c r="CL96" s="21">
        <f>EXP(-LN(2)/25)*CL95+(1-EXP(-LN(2)/25))/(LN(2)/25)*Calculateur!CG96*Calculateur!CI96*VLOOKUP('Données projet'!$B$12,Paramètres!$A$1:$I$89,3,0)*0.475*44/12</f>
        <v>29.29521095963333</v>
      </c>
      <c r="CM96" s="21">
        <f>EXP(-LN(2)/2)*CM95+(1-EXP(-LN(2)/2))/(LN(2)/2)*CG96*CJ96*VLOOKUP('Données projet'!$B$12,Paramètres!$A$1:$I$89,3,0)*0.475*44/12</f>
        <v>1.3752798869486814E-2</v>
      </c>
      <c r="CN96" s="22">
        <f t="shared" si="66"/>
        <v>162.77910853791613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7.5784615384615392</v>
      </c>
      <c r="N97" s="13">
        <f>IF('Données projet'!$A$36&gt;35,N96+M97-V96,IF(A97&lt;'Données projet'!$A$36,$K$205^A97,IF(A97='Données projet'!$A$36,'Données projet'!$B$36,N96+M97-V96)))</f>
        <v>254.55846153846096</v>
      </c>
      <c r="O97" s="13">
        <f>N97*VLOOKUP('Données projet'!$B$9,Paramètres!$A$1:$I$89,3,0)*VLOOKUP('Données projet'!$B$9,Paramètres!$A$1:$I$89,5,0)</f>
        <v>119.13335999999974</v>
      </c>
      <c r="P97" s="13">
        <f t="shared" si="87"/>
        <v>31.472784557586706</v>
      </c>
      <c r="Q97" s="20">
        <f t="shared" si="54"/>
        <v>262.30570177112975</v>
      </c>
      <c r="R97" s="59">
        <f t="shared" si="55"/>
        <v>555.63903510446312</v>
      </c>
      <c r="S97" s="59">
        <f ca="1">AVERAGE(OFFSET($R$3,0,0,'Données projet'!$E$9+1,1))-AVERAGE(OFFSET($H$3,0,0,'Données projet'!$E$9+1,1))</f>
        <v>190.74210845597287</v>
      </c>
      <c r="T97" s="59">
        <f t="shared" si="88"/>
        <v>131.88015896015884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110.26030791664967</v>
      </c>
      <c r="AA97" s="21">
        <f>EXP(-LN(2)/25)*AA96+(1-EXP(-LN(2)/25))/(LN(2)/25)*Calculateur!V97*Calculateur!X97*VLOOKUP('Données projet'!$B$9,Paramètres!$A$1:$I$89,3,0)*0.475*44/12</f>
        <v>28.278984289198586</v>
      </c>
      <c r="AB97" s="21">
        <f>EXP(-LN(2)/2)*AB96+(1-EXP(-LN(2)/2))/(LN(2)/2)*V97*Y97*VLOOKUP('Données projet'!$B$9,Paramètres!$A$1:$I$89,3,0)*0.475*44/12</f>
        <v>5.8123719538468794</v>
      </c>
      <c r="AC97" s="22">
        <f t="shared" si="57"/>
        <v>144.35166415969513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-6.3550942286383367E-14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278.5296012747549</v>
      </c>
      <c r="AO97" s="59">
        <f t="shared" si="90"/>
        <v>370.55343097937077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104.69739342929354</v>
      </c>
      <c r="AV97" s="21">
        <f>EXP(-LN(2)/25)*AV96+(1-EXP(-LN(2)/25))/(LN(2)/25)*Calculateur!AQ97*Calculateur!AS97*VLOOKUP('Données projet'!$B$10,Paramètres!$A$1:$I$89,3,0)*0.475*44/12</f>
        <v>19.537707127227161</v>
      </c>
      <c r="AW97" s="21">
        <f>EXP(-LN(2)/2)*AW96+(1-EXP(-LN(2)/2))/(LN(2)/2)*AQ97*AT97*VLOOKUP('Données projet'!$B$10,Paramètres!$A$1:$I$89,3,0)*0.475*44/12</f>
        <v>4.6073321753469636E-5</v>
      </c>
      <c r="AX97" s="21">
        <f t="shared" si="60"/>
        <v>124.23514662984246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5.0113122171945692</v>
      </c>
      <c r="BD97" s="12">
        <f>IF('Données projet'!$A$88&gt;35,BD96+BC97-BL96,IF(A97&lt;'Données projet'!$A$88,$BA$205^A97,IF(A97='Données projet'!$A$88,'Données projet'!$B$88,BD96+BC97-BL96)))</f>
        <v>275.22036199095027</v>
      </c>
      <c r="BE97" s="13">
        <f>BD97*VLOOKUP('Données projet'!$B$11,Paramètres!$A$1:$I$89,3,0)*VLOOKUP('Données projet'!$B$11,Paramètres!$A$1:$I$89,5,0)</f>
        <v>128.80312941176473</v>
      </c>
      <c r="BF97" s="13">
        <f t="shared" si="91"/>
        <v>33.719648980227582</v>
      </c>
      <c r="BG97" s="20">
        <f t="shared" si="61"/>
        <v>283.06050569938662</v>
      </c>
      <c r="BH97" s="59">
        <f t="shared" si="62"/>
        <v>576.39383903271994</v>
      </c>
      <c r="BI97" s="59">
        <f ca="1">AVERAGE(OFFSET($BH$3,0,0,'Données projet'!$E$11+1,1))-AVERAGE(OFFSET($H$3,0,0,'Données projet'!$E$11+1,1))</f>
        <v>111.85541298746966</v>
      </c>
      <c r="BJ97" s="59">
        <f t="shared" si="92"/>
        <v>27.56942482401746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14.30719351906127</v>
      </c>
      <c r="BQ97" s="21">
        <f>EXP(-LN(2)/25)*BQ96+(1-EXP(-LN(2)/25))/(LN(2)/25)*Calculateur!BL97*Calculateur!BN97*VLOOKUP('Données projet'!$B$11,Paramètres!$A$1:$I$89,3,0)*0.475*44/12</f>
        <v>9.7881513755700098</v>
      </c>
      <c r="BR97" s="21">
        <f>EXP(-LN(2)/2)*BR96+(1-EXP(-LN(2)/2))/(LN(2)/2)*BL97*BO97*VLOOKUP('Données projet'!$B$11,Paramètres!$A$1:$I$89,3,0)*0.475*44/12</f>
        <v>8.445865773919399E-2</v>
      </c>
      <c r="BS97" s="22">
        <f t="shared" si="63"/>
        <v>24.179803552370476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253.62423410951334</v>
      </c>
      <c r="CE97" s="59">
        <f t="shared" si="94"/>
        <v>230.93438491511529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130.8528766490389</v>
      </c>
      <c r="CL97" s="21">
        <f>EXP(-LN(2)/25)*CL96+(1-EXP(-LN(2)/25))/(LN(2)/25)*Calculateur!CG97*Calculateur!CI97*VLOOKUP('Données projet'!$B$12,Paramètres!$A$1:$I$89,3,0)*0.475*44/12</f>
        <v>28.494131875373967</v>
      </c>
      <c r="CM97" s="21">
        <f>EXP(-LN(2)/2)*CM96+(1-EXP(-LN(2)/2))/(LN(2)/2)*CG97*CJ97*VLOOKUP('Données projet'!$B$12,Paramètres!$A$1:$I$89,3,0)*0.475*44/12</f>
        <v>9.7246973409088108E-3</v>
      </c>
      <c r="CN97" s="22">
        <f t="shared" si="66"/>
        <v>159.35673322175379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7.5784615384615392</v>
      </c>
      <c r="N98" s="13">
        <f>IF('Données projet'!$A$36&gt;35,N97+M98-V97,IF(A98&lt;'Données projet'!$A$36,$K$205^A98,IF(A98='Données projet'!$A$36,'Données projet'!$B$36,N97+M98-V97)))</f>
        <v>262.13692307692247</v>
      </c>
      <c r="O98" s="13">
        <f>N98*VLOOKUP('Données projet'!$B$9,Paramètres!$A$1:$I$89,3,0)*VLOOKUP('Données projet'!$B$9,Paramètres!$A$1:$I$89,5,0)</f>
        <v>122.68007999999972</v>
      </c>
      <c r="P98" s="13">
        <f t="shared" si="87"/>
        <v>32.29927810717728</v>
      </c>
      <c r="Q98" s="20">
        <f t="shared" si="54"/>
        <v>269.92238203666665</v>
      </c>
      <c r="R98" s="59">
        <f t="shared" si="55"/>
        <v>563.25571536999996</v>
      </c>
      <c r="S98" s="59">
        <f ca="1">AVERAGE(OFFSET($R$3,0,0,'Données projet'!$E$9+1,1))-AVERAGE(OFFSET($H$3,0,0,'Données projet'!$E$9+1,1))</f>
        <v>190.74210845597287</v>
      </c>
      <c r="T98" s="59">
        <f t="shared" si="88"/>
        <v>131.88015896015884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108.0981705305514</v>
      </c>
      <c r="AA98" s="21">
        <f>EXP(-LN(2)/25)*AA97+(1-EXP(-LN(2)/25))/(LN(2)/25)*Calculateur!V98*Calculateur!X98*VLOOKUP('Données projet'!$B$9,Paramètres!$A$1:$I$89,3,0)*0.475*44/12</f>
        <v>27.5056939766833</v>
      </c>
      <c r="AB98" s="21">
        <f>EXP(-LN(2)/2)*AB97+(1-EXP(-LN(2)/2))/(LN(2)/2)*V98*Y98*VLOOKUP('Données projet'!$B$9,Paramètres!$A$1:$I$89,3,0)*0.475*44/12</f>
        <v>4.1099676233436311</v>
      </c>
      <c r="AC98" s="22">
        <f t="shared" si="57"/>
        <v>139.71383213057834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-6.3550942286383367E-14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278.5296012747549</v>
      </c>
      <c r="AO98" s="59">
        <f t="shared" si="90"/>
        <v>370.55343097937077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102.64434140324953</v>
      </c>
      <c r="AV98" s="21">
        <f>EXP(-LN(2)/25)*AV97+(1-EXP(-LN(2)/25))/(LN(2)/25)*Calculateur!AQ98*Calculateur!AS98*VLOOKUP('Données projet'!$B$10,Paramètres!$A$1:$I$89,3,0)*0.475*44/12</f>
        <v>19.003447498389772</v>
      </c>
      <c r="AW98" s="21">
        <f>EXP(-LN(2)/2)*AW97+(1-EXP(-LN(2)/2))/(LN(2)/2)*AQ98*AT98*VLOOKUP('Données projet'!$B$10,Paramètres!$A$1:$I$89,3,0)*0.475*44/12</f>
        <v>3.2578758243668054E-5</v>
      </c>
      <c r="AX98" s="21">
        <f t="shared" si="60"/>
        <v>121.64782148039754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5.0113122171945692</v>
      </c>
      <c r="BD98" s="12">
        <f>IF('Données projet'!$A$88&gt;35,BD97+BC98-BL97,IF(A98&lt;'Données projet'!$A$88,$BA$205^A98,IF(A98='Données projet'!$A$88,'Données projet'!$B$88,BD97+BC98-BL97)))</f>
        <v>280.23167420814485</v>
      </c>
      <c r="BE98" s="13">
        <f>BD98*VLOOKUP('Données projet'!$B$11,Paramètres!$A$1:$I$89,3,0)*VLOOKUP('Données projet'!$B$11,Paramètres!$A$1:$I$89,5,0)</f>
        <v>131.14842352941179</v>
      </c>
      <c r="BF98" s="13">
        <f t="shared" si="91"/>
        <v>34.261590302022157</v>
      </c>
      <c r="BG98" s="20">
        <f t="shared" si="61"/>
        <v>288.0891074230808</v>
      </c>
      <c r="BH98" s="59">
        <f t="shared" si="62"/>
        <v>581.42244075641406</v>
      </c>
      <c r="BI98" s="59">
        <f ca="1">AVERAGE(OFFSET($BH$3,0,0,'Données projet'!$E$11+1,1))-AVERAGE(OFFSET($H$3,0,0,'Données projet'!$E$11+1,1))</f>
        <v>111.85541298746966</v>
      </c>
      <c r="BJ98" s="59">
        <f t="shared" si="92"/>
        <v>27.56942482401746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14.026638180678852</v>
      </c>
      <c r="BQ98" s="21">
        <f>EXP(-LN(2)/25)*BQ97+(1-EXP(-LN(2)/25))/(LN(2)/25)*Calculateur!BL98*Calculateur!BN98*VLOOKUP('Données projet'!$B$11,Paramètres!$A$1:$I$89,3,0)*0.475*44/12</f>
        <v>9.5204938614685375</v>
      </c>
      <c r="BR98" s="21">
        <f>EXP(-LN(2)/2)*BR97+(1-EXP(-LN(2)/2))/(LN(2)/2)*BL98*BO98*VLOOKUP('Données projet'!$B$11,Paramètres!$A$1:$I$89,3,0)*0.475*44/12</f>
        <v>5.9721289617297758E-2</v>
      </c>
      <c r="BS98" s="22">
        <f t="shared" si="63"/>
        <v>23.606853331764686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253.62423410951334</v>
      </c>
      <c r="CE98" s="59">
        <f t="shared" si="94"/>
        <v>230.93438491511529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128.28693155032519</v>
      </c>
      <c r="CL98" s="21">
        <f>EXP(-LN(2)/25)*CL97+(1-EXP(-LN(2)/25))/(LN(2)/25)*Calculateur!CG98*Calculateur!CI98*VLOOKUP('Données projet'!$B$12,Paramètres!$A$1:$I$89,3,0)*0.475*44/12</f>
        <v>27.714958340800596</v>
      </c>
      <c r="CM98" s="21">
        <f>EXP(-LN(2)/2)*CM97+(1-EXP(-LN(2)/2))/(LN(2)/2)*CG98*CJ98*VLOOKUP('Données projet'!$B$12,Paramètres!$A$1:$I$89,3,0)*0.475*44/12</f>
        <v>6.8763994347434071E-3</v>
      </c>
      <c r="CN98" s="22">
        <f t="shared" si="66"/>
        <v>156.00876629056052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7.5784615384615392</v>
      </c>
      <c r="N99" s="13">
        <f>IF('Données projet'!$A$36&gt;35,N98+M99-V98,IF(A99&lt;'Données projet'!$A$36,$K$205^A99,IF(A99='Données projet'!$A$36,'Données projet'!$B$36,N98+M99-V98)))</f>
        <v>269.71538461538398</v>
      </c>
      <c r="O99" s="13">
        <f>N99*VLOOKUP('Données projet'!$B$9,Paramètres!$A$1:$I$89,3,0)*VLOOKUP('Données projet'!$B$9,Paramètres!$A$1:$I$89,5,0)</f>
        <v>126.22679999999971</v>
      </c>
      <c r="P99" s="13">
        <f t="shared" si="87"/>
        <v>33.122994638732102</v>
      </c>
      <c r="Q99" s="20">
        <f t="shared" ref="Q99:Q130" si="107">(O99+P99)*0.475*44/12</f>
        <v>277.53422566245791</v>
      </c>
      <c r="R99" s="59">
        <f t="shared" si="55"/>
        <v>570.86755899579123</v>
      </c>
      <c r="S99" s="59">
        <f ca="1">AVERAGE(OFFSET($R$3,0,0,'Données projet'!$E$9+1,1))-AVERAGE(OFFSET($H$3,0,0,'Données projet'!$E$9+1,1))</f>
        <v>190.74210845597287</v>
      </c>
      <c r="T99" s="59">
        <f t="shared" si="88"/>
        <v>131.88015896015884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105.97843133982093</v>
      </c>
      <c r="AA99" s="21">
        <f>EXP(-LN(2)/25)*AA98+(1-EXP(-LN(2)/25))/(LN(2)/25)*Calculateur!V99*Calculateur!X99*VLOOKUP('Données projet'!$B$9,Paramètres!$A$1:$I$89,3,0)*0.475*44/12</f>
        <v>26.753549328429315</v>
      </c>
      <c r="AB99" s="21">
        <f>EXP(-LN(2)/2)*AB98+(1-EXP(-LN(2)/2))/(LN(2)/2)*V99*Y99*VLOOKUP('Données projet'!$B$9,Paramètres!$A$1:$I$89,3,0)*0.475*44/12</f>
        <v>2.9061859769234397</v>
      </c>
      <c r="AC99" s="22">
        <f t="shared" si="57"/>
        <v>135.63816664517367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-6.3550942286383367E-14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278.5296012747549</v>
      </c>
      <c r="AO99" s="59">
        <f t="shared" si="90"/>
        <v>370.55343097937077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100.63154847519814</v>
      </c>
      <c r="AV99" s="21">
        <f>EXP(-LN(2)/25)*AV98+(1-EXP(-LN(2)/25))/(LN(2)/25)*Calculateur!AQ99*Calculateur!AS99*VLOOKUP('Données projet'!$B$10,Paramètres!$A$1:$I$89,3,0)*0.475*44/12</f>
        <v>18.483797227198433</v>
      </c>
      <c r="AW99" s="21">
        <f>EXP(-LN(2)/2)*AW98+(1-EXP(-LN(2)/2))/(LN(2)/2)*AQ99*AT99*VLOOKUP('Données projet'!$B$10,Paramètres!$A$1:$I$89,3,0)*0.475*44/12</f>
        <v>2.3036660876734818E-5</v>
      </c>
      <c r="AX99" s="21">
        <f t="shared" si="60"/>
        <v>119.11536873905746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5.0113122171945692</v>
      </c>
      <c r="BD99" s="12">
        <f>IF('Données projet'!$A$88&gt;35,BD98+BC99-BL98,IF(A99&lt;'Données projet'!$A$88,$BA$205^A99,IF(A99='Données projet'!$A$88,'Données projet'!$B$88,BD98+BC99-BL98)))</f>
        <v>285.24298642533944</v>
      </c>
      <c r="BE99" s="13">
        <f>BD99*VLOOKUP('Données projet'!$B$11,Paramètres!$A$1:$I$89,3,0)*VLOOKUP('Données projet'!$B$11,Paramètres!$A$1:$I$89,5,0)</f>
        <v>133.49371764705884</v>
      </c>
      <c r="BF99" s="13">
        <f t="shared" si="91"/>
        <v>34.802404654652612</v>
      </c>
      <c r="BG99" s="20">
        <f t="shared" si="61"/>
        <v>293.11574634214742</v>
      </c>
      <c r="BH99" s="59">
        <f t="shared" si="62"/>
        <v>586.44907967548079</v>
      </c>
      <c r="BI99" s="59">
        <f ca="1">AVERAGE(OFFSET($BH$3,0,0,'Données projet'!$E$11+1,1))-AVERAGE(OFFSET($H$3,0,0,'Données projet'!$E$11+1,1))</f>
        <v>111.85541298746966</v>
      </c>
      <c r="BJ99" s="59">
        <f t="shared" si="92"/>
        <v>27.56942482401746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13.751584361360253</v>
      </c>
      <c r="BQ99" s="21">
        <f>EXP(-LN(2)/25)*BQ98+(1-EXP(-LN(2)/25))/(LN(2)/25)*Calculateur!BL99*Calculateur!BN99*VLOOKUP('Données projet'!$B$11,Paramètres!$A$1:$I$89,3,0)*0.475*44/12</f>
        <v>9.260155456165668</v>
      </c>
      <c r="BR99" s="21">
        <f>EXP(-LN(2)/2)*BR98+(1-EXP(-LN(2)/2))/(LN(2)/2)*BL99*BO99*VLOOKUP('Données projet'!$B$11,Paramètres!$A$1:$I$89,3,0)*0.475*44/12</f>
        <v>4.2229328869597002E-2</v>
      </c>
      <c r="BS99" s="22">
        <f t="shared" si="63"/>
        <v>23.053969146395517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253.62423410951334</v>
      </c>
      <c r="CE99" s="59">
        <f t="shared" si="94"/>
        <v>230.93438491511529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125.77130306992528</v>
      </c>
      <c r="CL99" s="21">
        <f>EXP(-LN(2)/25)*CL98+(1-EXP(-LN(2)/25))/(LN(2)/25)*Calculateur!CG99*Calculateur!CI99*VLOOKUP('Données projet'!$B$12,Paramètres!$A$1:$I$89,3,0)*0.475*44/12</f>
        <v>26.957091347505088</v>
      </c>
      <c r="CM99" s="21">
        <f>EXP(-LN(2)/2)*CM98+(1-EXP(-LN(2)/2))/(LN(2)/2)*CG99*CJ99*VLOOKUP('Données projet'!$B$12,Paramètres!$A$1:$I$89,3,0)*0.475*44/12</f>
        <v>4.8623486704544054E-3</v>
      </c>
      <c r="CN99" s="22">
        <f t="shared" si="66"/>
        <v>152.73325676610082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7.5784615384615392</v>
      </c>
      <c r="N100" s="13">
        <f>IF('Données projet'!$A$36&gt;35,N99+M100-V99,IF(A100&lt;'Données projet'!$A$36,$K$205^A100,IF(A100='Données projet'!$A$36,'Données projet'!$B$36,N99+M100-V99)))</f>
        <v>277.29384615384549</v>
      </c>
      <c r="O100" s="13">
        <f>N100*VLOOKUP('Données projet'!$B$9,Paramètres!$A$1:$I$89,3,0)*VLOOKUP('Données projet'!$B$9,Paramètres!$A$1:$I$89,5,0)</f>
        <v>129.77351999999971</v>
      </c>
      <c r="P100" s="13">
        <f t="shared" si="87"/>
        <v>33.944021144316821</v>
      </c>
      <c r="Q100" s="20">
        <f t="shared" si="107"/>
        <v>285.14138415968461</v>
      </c>
      <c r="R100" s="59">
        <f t="shared" si="55"/>
        <v>578.47471749301792</v>
      </c>
      <c r="S100" s="59">
        <f ca="1">AVERAGE(OFFSET($R$3,0,0,'Données projet'!$E$9+1,1))-AVERAGE(OFFSET($H$3,0,0,'Données projet'!$E$9+1,1))</f>
        <v>190.74210845597287</v>
      </c>
      <c r="T100" s="59">
        <f t="shared" si="88"/>
        <v>131.88015896015884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103.90025894170745</v>
      </c>
      <c r="AA100" s="21">
        <f>EXP(-LN(2)/25)*AA99+(1-EXP(-LN(2)/25))/(LN(2)/25)*Calculateur!V100*Calculateur!X100*VLOOKUP('Données projet'!$B$9,Paramètres!$A$1:$I$89,3,0)*0.475*44/12</f>
        <v>26.021972115135402</v>
      </c>
      <c r="AB100" s="21">
        <f>EXP(-LN(2)/2)*AB99+(1-EXP(-LN(2)/2))/(LN(2)/2)*V100*Y100*VLOOKUP('Données projet'!$B$9,Paramètres!$A$1:$I$89,3,0)*0.475*44/12</f>
        <v>2.0549838116718155</v>
      </c>
      <c r="AC100" s="22">
        <f t="shared" si="57"/>
        <v>131.97721486851466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-6.3550942286383367E-14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278.5296012747549</v>
      </c>
      <c r="AO100" s="59">
        <f t="shared" si="90"/>
        <v>370.55343097937077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98.658225188783391</v>
      </c>
      <c r="AV100" s="21">
        <f>EXP(-LN(2)/25)*AV99+(1-EXP(-LN(2)/25))/(LN(2)/25)*Calculateur!AQ100*Calculateur!AS100*VLOOKUP('Données projet'!$B$10,Paramètres!$A$1:$I$89,3,0)*0.475*44/12</f>
        <v>17.978356820000041</v>
      </c>
      <c r="AW100" s="21">
        <f>EXP(-LN(2)/2)*AW99+(1-EXP(-LN(2)/2))/(LN(2)/2)*AQ100*AT100*VLOOKUP('Données projet'!$B$10,Paramètres!$A$1:$I$89,3,0)*0.475*44/12</f>
        <v>1.6289379121834027E-5</v>
      </c>
      <c r="AX100" s="21">
        <f t="shared" si="60"/>
        <v>116.63659829816255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5.0113122171945692</v>
      </c>
      <c r="BD100" s="12">
        <f>IF('Données projet'!$A$88&gt;35,BD99+BC100-BL99,IF(A100&lt;'Données projet'!$A$88,$BA$205^A100,IF(A100='Données projet'!$A$88,'Données projet'!$B$88,BD99+BC100-BL99)))</f>
        <v>290.25429864253402</v>
      </c>
      <c r="BE100" s="13">
        <f>BD100*VLOOKUP('Données projet'!$B$11,Paramètres!$A$1:$I$89,3,0)*VLOOKUP('Données projet'!$B$11,Paramètres!$A$1:$I$89,5,0)</f>
        <v>135.83901176470593</v>
      </c>
      <c r="BF100" s="13">
        <f t="shared" si="91"/>
        <v>35.342114121695062</v>
      </c>
      <c r="BG100" s="20">
        <f t="shared" si="61"/>
        <v>298.14046091881505</v>
      </c>
      <c r="BH100" s="59">
        <f t="shared" si="62"/>
        <v>591.47379425214831</v>
      </c>
      <c r="BI100" s="59">
        <f ca="1">AVERAGE(OFFSET($BH$3,0,0,'Données projet'!$E$11+1,1))-AVERAGE(OFFSET($H$3,0,0,'Données projet'!$E$11+1,1))</f>
        <v>111.85541298746966</v>
      </c>
      <c r="BJ100" s="59">
        <f t="shared" si="92"/>
        <v>27.56942482401746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13.481924179672228</v>
      </c>
      <c r="BQ100" s="21">
        <f>EXP(-LN(2)/25)*BQ99+(1-EXP(-LN(2)/25))/(LN(2)/25)*Calculateur!BL100*Calculateur!BN100*VLOOKUP('Données projet'!$B$11,Paramètres!$A$1:$I$89,3,0)*0.475*44/12</f>
        <v>9.0069360182464067</v>
      </c>
      <c r="BR100" s="21">
        <f>EXP(-LN(2)/2)*BR99+(1-EXP(-LN(2)/2))/(LN(2)/2)*BL100*BO100*VLOOKUP('Données projet'!$B$11,Paramètres!$A$1:$I$89,3,0)*0.475*44/12</f>
        <v>2.9860644808648883E-2</v>
      </c>
      <c r="BS100" s="22">
        <f t="shared" si="63"/>
        <v>22.518720842727284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253.62423410951334</v>
      </c>
      <c r="CE100" s="59">
        <f t="shared" si="94"/>
        <v>230.93438491511529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123.30500452964415</v>
      </c>
      <c r="CL100" s="21">
        <f>EXP(-LN(2)/25)*CL99+(1-EXP(-LN(2)/25))/(LN(2)/25)*Calculateur!CG100*Calculateur!CI100*VLOOKUP('Données projet'!$B$12,Paramètres!$A$1:$I$89,3,0)*0.475*44/12</f>
        <v>26.21994826699574</v>
      </c>
      <c r="CM100" s="21">
        <f>EXP(-LN(2)/2)*CM99+(1-EXP(-LN(2)/2))/(LN(2)/2)*CG100*CJ100*VLOOKUP('Données projet'!$B$12,Paramètres!$A$1:$I$89,3,0)*0.475*44/12</f>
        <v>3.4381997173717036E-3</v>
      </c>
      <c r="CN100" s="22">
        <f t="shared" si="66"/>
        <v>149.52839099635727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7.5784615384615392</v>
      </c>
      <c r="N101" s="13">
        <f>IF('Données projet'!$A$36&gt;35,N100+M101-V100,IF(A101&lt;'Données projet'!$A$36,$K$205^A101,IF(A101='Données projet'!$A$36,'Données projet'!$B$36,N100+M101-V100)))</f>
        <v>284.872307692307</v>
      </c>
      <c r="O101" s="13">
        <f>N101*VLOOKUP('Données projet'!$B$9,Paramètres!$A$1:$I$89,3,0)*VLOOKUP('Données projet'!$B$9,Paramètres!$A$1:$I$89,5,0)</f>
        <v>133.32023999999967</v>
      </c>
      <c r="P101" s="13">
        <f t="shared" si="87"/>
        <v>34.762439590361332</v>
      </c>
      <c r="Q101" s="20">
        <f t="shared" si="107"/>
        <v>292.74400028654537</v>
      </c>
      <c r="R101" s="59">
        <f t="shared" si="55"/>
        <v>586.07733361987869</v>
      </c>
      <c r="S101" s="59">
        <f ca="1">AVERAGE(OFFSET($R$3,0,0,'Données projet'!$E$9+1,1))-AVERAGE(OFFSET($H$3,0,0,'Données projet'!$E$9+1,1))</f>
        <v>190.74210845597287</v>
      </c>
      <c r="T101" s="59">
        <f t="shared" si="88"/>
        <v>131.88015896015884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101.86283823676096</v>
      </c>
      <c r="AA101" s="21">
        <f>EXP(-LN(2)/25)*AA100+(1-EXP(-LN(2)/25))/(LN(2)/25)*Calculateur!V101*Calculateur!X101*VLOOKUP('Données projet'!$B$9,Paramètres!$A$1:$I$89,3,0)*0.475*44/12</f>
        <v>25.310399919210983</v>
      </c>
      <c r="AB101" s="21">
        <f>EXP(-LN(2)/2)*AB100+(1-EXP(-LN(2)/2))/(LN(2)/2)*V101*Y101*VLOOKUP('Données projet'!$B$9,Paramètres!$A$1:$I$89,3,0)*0.475*44/12</f>
        <v>1.4530929884617199</v>
      </c>
      <c r="AC101" s="22">
        <f t="shared" si="57"/>
        <v>128.62633114443366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-6.3550942286383367E-14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278.5296012747549</v>
      </c>
      <c r="AO101" s="59">
        <f t="shared" si="90"/>
        <v>370.55343097937077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96.723597568406873</v>
      </c>
      <c r="AV101" s="21">
        <f>EXP(-LN(2)/25)*AV100+(1-EXP(-LN(2)/25))/(LN(2)/25)*Calculateur!AQ101*Calculateur!AS101*VLOOKUP('Données projet'!$B$10,Paramètres!$A$1:$I$89,3,0)*0.475*44/12</f>
        <v>17.486737707316443</v>
      </c>
      <c r="AW101" s="21">
        <f>EXP(-LN(2)/2)*AW100+(1-EXP(-LN(2)/2))/(LN(2)/2)*AQ101*AT101*VLOOKUP('Données projet'!$B$10,Paramètres!$A$1:$I$89,3,0)*0.475*44/12</f>
        <v>1.1518330438367409E-5</v>
      </c>
      <c r="AX101" s="21">
        <f t="shared" si="60"/>
        <v>114.21034679405375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5.0113122171945692</v>
      </c>
      <c r="BD101" s="12">
        <f>IF('Données projet'!$A$88&gt;35,BD100+BC101-BL100,IF(A101&lt;'Données projet'!$A$88,$BA$205^A101,IF(A101='Données projet'!$A$88,'Données projet'!$B$88,BD100+BC101-BL100)))</f>
        <v>295.26561085972861</v>
      </c>
      <c r="BE101" s="13">
        <f>BD101*VLOOKUP('Données projet'!$B$11,Paramètres!$A$1:$I$89,3,0)*VLOOKUP('Données projet'!$B$11,Paramètres!$A$1:$I$89,5,0)</f>
        <v>138.18430588235299</v>
      </c>
      <c r="BF101" s="13">
        <f t="shared" si="91"/>
        <v>35.88073998047841</v>
      </c>
      <c r="BG101" s="20">
        <f t="shared" si="61"/>
        <v>303.16328821109795</v>
      </c>
      <c r="BH101" s="59">
        <f t="shared" si="62"/>
        <v>596.49662154443126</v>
      </c>
      <c r="BI101" s="59">
        <f ca="1">AVERAGE(OFFSET($BH$3,0,0,'Données projet'!$E$11+1,1))-AVERAGE(OFFSET($H$3,0,0,'Données projet'!$E$11+1,1))</f>
        <v>111.85541298746966</v>
      </c>
      <c r="BJ101" s="59">
        <f t="shared" si="92"/>
        <v>27.56942482401746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13.217551869670636</v>
      </c>
      <c r="BQ101" s="21">
        <f>EXP(-LN(2)/25)*BQ100+(1-EXP(-LN(2)/25))/(LN(2)/25)*Calculateur!BL101*Calculateur!BN101*VLOOKUP('Données projet'!$B$11,Paramètres!$A$1:$I$89,3,0)*0.475*44/12</f>
        <v>8.7606408791732786</v>
      </c>
      <c r="BR101" s="21">
        <f>EXP(-LN(2)/2)*BR100+(1-EXP(-LN(2)/2))/(LN(2)/2)*BL101*BO101*VLOOKUP('Données projet'!$B$11,Paramètres!$A$1:$I$89,3,0)*0.475*44/12</f>
        <v>2.1114664434798504E-2</v>
      </c>
      <c r="BS101" s="22">
        <f t="shared" si="63"/>
        <v>21.999307413278714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253.62423410951334</v>
      </c>
      <c r="CE101" s="59">
        <f t="shared" si="94"/>
        <v>230.93438491511529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120.88706859944436</v>
      </c>
      <c r="CL101" s="21">
        <f>EXP(-LN(2)/25)*CL100+(1-EXP(-LN(2)/25))/(LN(2)/25)*Calculateur!CG101*Calculateur!CI101*VLOOKUP('Données projet'!$B$12,Paramètres!$A$1:$I$89,3,0)*0.475*44/12</f>
        <v>25.502962402787588</v>
      </c>
      <c r="CM101" s="21">
        <f>EXP(-LN(2)/2)*CM100+(1-EXP(-LN(2)/2))/(LN(2)/2)*CG101*CJ101*VLOOKUP('Données projet'!$B$12,Paramètres!$A$1:$I$89,3,0)*0.475*44/12</f>
        <v>2.4311743352272027E-3</v>
      </c>
      <c r="CN101" s="22">
        <f t="shared" si="66"/>
        <v>146.39246217656716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7.5784615384615392</v>
      </c>
      <c r="N102" s="13">
        <f>IF('Données projet'!$A$36&gt;35,N101+M102-V101,IF(A102&lt;'Données projet'!$A$36,$K$205^A102,IF(A102='Données projet'!$A$36,'Données projet'!$B$36,N101+M102-V101)))</f>
        <v>292.45076923076851</v>
      </c>
      <c r="O102" s="13">
        <f>N102*VLOOKUP('Données projet'!$B$9,Paramètres!$A$1:$I$89,3,0)*VLOOKUP('Données projet'!$B$9,Paramètres!$A$1:$I$89,5,0)</f>
        <v>136.86695999999966</v>
      </c>
      <c r="P102" s="13">
        <f t="shared" si="87"/>
        <v>35.578327333867257</v>
      </c>
      <c r="Q102" s="20">
        <f t="shared" si="107"/>
        <v>300.34220877315158</v>
      </c>
      <c r="R102" s="59">
        <f t="shared" si="55"/>
        <v>593.67554210648495</v>
      </c>
      <c r="S102" s="59">
        <f ca="1">AVERAGE(OFFSET($R$3,0,0,'Données projet'!$E$9+1,1))-AVERAGE(OFFSET($H$3,0,0,'Données projet'!$E$9+1,1))</f>
        <v>190.74210845597287</v>
      </c>
      <c r="T102" s="59">
        <f t="shared" si="88"/>
        <v>131.88015896015884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99.86537010913456</v>
      </c>
      <c r="AA102" s="21">
        <f>EXP(-LN(2)/25)*AA101+(1-EXP(-LN(2)/25))/(LN(2)/25)*Calculateur!V102*Calculateur!X102*VLOOKUP('Données projet'!$B$9,Paramètres!$A$1:$I$89,3,0)*0.475*44/12</f>
        <v>24.618285702404076</v>
      </c>
      <c r="AB102" s="21">
        <f>EXP(-LN(2)/2)*AB101+(1-EXP(-LN(2)/2))/(LN(2)/2)*V102*Y102*VLOOKUP('Données projet'!$B$9,Paramètres!$A$1:$I$89,3,0)*0.475*44/12</f>
        <v>1.0274919058359078</v>
      </c>
      <c r="AC102" s="22">
        <f t="shared" si="57"/>
        <v>125.51114771737454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-6.3550942286383367E-14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278.5296012747549</v>
      </c>
      <c r="AO102" s="59">
        <f t="shared" si="90"/>
        <v>370.55343097937077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94.826906815659598</v>
      </c>
      <c r="AV102" s="21">
        <f>EXP(-LN(2)/25)*AV101+(1-EXP(-LN(2)/25))/(LN(2)/25)*Calculateur!AQ102*Calculateur!AS102*VLOOKUP('Données projet'!$B$10,Paramètres!$A$1:$I$89,3,0)*0.475*44/12</f>
        <v>17.008561945122306</v>
      </c>
      <c r="AW102" s="21">
        <f>EXP(-LN(2)/2)*AW101+(1-EXP(-LN(2)/2))/(LN(2)/2)*AQ102*AT102*VLOOKUP('Données projet'!$B$10,Paramètres!$A$1:$I$89,3,0)*0.475*44/12</f>
        <v>8.1446895609170135E-6</v>
      </c>
      <c r="AX102" s="21">
        <f t="shared" si="60"/>
        <v>111.83547690547147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300.27692307692308</v>
      </c>
      <c r="BB102" s="12">
        <f>VLOOKUP(A102,'Données projet'!$A$87:$I$107,9,0)</f>
        <v>5.0113122171945692</v>
      </c>
      <c r="BC102" s="12">
        <f t="array" ref="BC102">INDEX(BB:BB,MIN(IF(ISNUMBER(BB102:BB298),ROW(BB102:BB298),"")))</f>
        <v>5.0113122171945692</v>
      </c>
      <c r="BD102" s="12">
        <f>IF('Données projet'!$A$88&gt;35,BD101+BC102-BL101,IF(A102&lt;'Données projet'!$A$88,$BA$205^A102,IF(A102='Données projet'!$A$88,'Données projet'!$B$88,BD101+BC102-BL101)))</f>
        <v>300.2769230769232</v>
      </c>
      <c r="BE102" s="13">
        <f>BD102*VLOOKUP('Données projet'!$B$11,Paramètres!$A$1:$I$89,3,0)*VLOOKUP('Données projet'!$B$11,Paramètres!$A$1:$I$89,5,0)</f>
        <v>140.52960000000007</v>
      </c>
      <c r="BF102" s="13">
        <f t="shared" si="91"/>
        <v>36.418302744694834</v>
      </c>
      <c r="BG102" s="20">
        <f t="shared" si="61"/>
        <v>308.18426394701032</v>
      </c>
      <c r="BH102" s="59">
        <f t="shared" si="62"/>
        <v>601.51759728034358</v>
      </c>
      <c r="BI102" s="59">
        <f ca="1">AVERAGE(OFFSET($BH$3,0,0,'Données projet'!$E$11+1,1))-AVERAGE(OFFSET($H$3,0,0,'Données projet'!$E$11+1,1))</f>
        <v>111.85541298746966</v>
      </c>
      <c r="BJ102" s="59">
        <f t="shared" si="92"/>
        <v>27.56942482401746</v>
      </c>
      <c r="BK102" s="15">
        <f>IF(ISNA(VLOOKUP(A102,'Données projet'!$A$87:$I$107,3,0)),0,VLOOKUP(A102,'Données projet'!$A$87:$I$107,3,0))</f>
        <v>3</v>
      </c>
      <c r="BL102" s="15">
        <f>IF(ISNA(VLOOKUP(A102,'Données projet'!$A$87:$I$107,4,0)),0,VLOOKUP(A102,'Données projet'!$A$87:$I$107,4,0))</f>
        <v>62.953846153846158</v>
      </c>
      <c r="BM102" s="16">
        <f>IF(ISNA(VLOOKUP(A102,'Données projet'!$A$87:$I$107,5,0)),0%,VLOOKUP(A102,'Données projet'!$A$87:$I$107,5,0)*VLOOKUP('Données projet'!$B$11,Paramètres!$A$1:$I$89,7,0))</f>
        <v>0.38500000000000001</v>
      </c>
      <c r="BN102" s="16">
        <f>IF(ISNA(VLOOKUP(A102,'Données projet'!$A$87:$I$107,6,0)),0%,VLOOKUP(A102,'Données projet'!$A$87:$I$107,6,0)*VLOOKUP('Données projet'!$B$11,Paramètres!$A$1:$I$89,7,0))</f>
        <v>9.240000000000001E-2</v>
      </c>
      <c r="BO102" s="16">
        <f>IF(ISNA(VLOOKUP(A102,'Données projet'!$A$87:$I$107,7,0)),0%,VLOOKUP(A102,'Données projet'!$A$87:$I$107,7,0))</f>
        <v>0.13200000000000001</v>
      </c>
      <c r="BP102" s="21">
        <f>EXP(-LN(2)/35)*BP101+(1-EXP(-LN(2)/35))/(LN(2)/35)*BL102*BM102*VLOOKUP('Données projet'!$B$11,Paramètres!$A$1:$I$89,3,0)*0.475*44/12</f>
        <v>28.005616195014625</v>
      </c>
      <c r="BQ102" s="21">
        <f>EXP(-LN(2)/25)*BQ101+(1-EXP(-LN(2)/25))/(LN(2)/25)*Calculateur!BL102*Calculateur!BN102*VLOOKUP('Données projet'!$B$11,Paramètres!$A$1:$I$89,3,0)*0.475*44/12</f>
        <v>12.118202059044748</v>
      </c>
      <c r="BR102" s="21">
        <f>EXP(-LN(2)/2)*BR101+(1-EXP(-LN(2)/2))/(LN(2)/2)*BL102*BO102*VLOOKUP('Données projet'!$B$11,Paramètres!$A$1:$I$89,3,0)*0.475*44/12</f>
        <v>4.4182233936332995</v>
      </c>
      <c r="BS102" s="22">
        <f t="shared" si="63"/>
        <v>44.54204164769267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253.62423410951334</v>
      </c>
      <c r="CE102" s="59">
        <f t="shared" si="94"/>
        <v>230.93438491511529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118.51654691804049</v>
      </c>
      <c r="CL102" s="21">
        <f>EXP(-LN(2)/25)*CL101+(1-EXP(-LN(2)/25))/(LN(2)/25)*Calculateur!CG102*Calculateur!CI102*VLOOKUP('Données projet'!$B$12,Paramètres!$A$1:$I$89,3,0)*0.475*44/12</f>
        <v>24.805582554740855</v>
      </c>
      <c r="CM102" s="21">
        <f>EXP(-LN(2)/2)*CM101+(1-EXP(-LN(2)/2))/(LN(2)/2)*CG102*CJ102*VLOOKUP('Données projet'!$B$12,Paramètres!$A$1:$I$89,3,0)*0.475*44/12</f>
        <v>1.7190998586858518E-3</v>
      </c>
      <c r="CN102" s="22">
        <f t="shared" si="66"/>
        <v>143.32384857264003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7.5784615384615392</v>
      </c>
      <c r="N103" s="13">
        <f>IF('Données projet'!$A$36&gt;35,N102+M103-V102,IF(A103&lt;'Données projet'!$A$36,$K$205^A103,IF(A103='Données projet'!$A$36,'Données projet'!$B$36,N102+M103-V102)))</f>
        <v>300.02923076923003</v>
      </c>
      <c r="O103" s="13">
        <f>N103*VLOOKUP('Données projet'!$B$9,Paramètres!$A$1:$I$89,3,0)*VLOOKUP('Données projet'!$B$9,Paramètres!$A$1:$I$89,5,0)</f>
        <v>140.41367999999966</v>
      </c>
      <c r="P103" s="13">
        <f t="shared" si="87"/>
        <v>36.391757494259856</v>
      </c>
      <c r="Q103" s="20">
        <f t="shared" si="107"/>
        <v>307.93613696916861</v>
      </c>
      <c r="R103" s="59">
        <f t="shared" si="55"/>
        <v>601.26947030250199</v>
      </c>
      <c r="S103" s="59">
        <f ca="1">AVERAGE(OFFSET($R$3,0,0,'Données projet'!$E$9+1,1))-AVERAGE(OFFSET($H$3,0,0,'Données projet'!$E$9+1,1))</f>
        <v>190.74210845597287</v>
      </c>
      <c r="T103" s="59">
        <f t="shared" si="88"/>
        <v>131.88015896015884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97.907071113155652</v>
      </c>
      <c r="AA103" s="21">
        <f>EXP(-LN(2)/25)*AA102+(1-EXP(-LN(2)/25))/(LN(2)/25)*Calculateur!V103*Calculateur!X103*VLOOKUP('Données projet'!$B$9,Paramètres!$A$1:$I$89,3,0)*0.475*44/12</f>
        <v>23.945097385252456</v>
      </c>
      <c r="AB103" s="21">
        <f>EXP(-LN(2)/2)*AB102+(1-EXP(-LN(2)/2))/(LN(2)/2)*V103*Y103*VLOOKUP('Données projet'!$B$9,Paramètres!$A$1:$I$89,3,0)*0.475*44/12</f>
        <v>0.72654649423085993</v>
      </c>
      <c r="AC103" s="22">
        <f t="shared" si="57"/>
        <v>122.57871499263896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-6.3550942286383367E-14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278.5296012747549</v>
      </c>
      <c r="AO103" s="59">
        <f t="shared" si="90"/>
        <v>370.55343097937077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92.967409011706579</v>
      </c>
      <c r="AV103" s="21">
        <f>EXP(-LN(2)/25)*AV102+(1-EXP(-LN(2)/25))/(LN(2)/25)*Calculateur!AQ103*Calculateur!AS103*VLOOKUP('Données projet'!$B$10,Paramètres!$A$1:$I$89,3,0)*0.475*44/12</f>
        <v>16.543461924291538</v>
      </c>
      <c r="AW103" s="21">
        <f>EXP(-LN(2)/2)*AW102+(1-EXP(-LN(2)/2))/(LN(2)/2)*AQ103*AT103*VLOOKUP('Données projet'!$B$10,Paramètres!$A$1:$I$89,3,0)*0.475*44/12</f>
        <v>5.7591652191837045E-6</v>
      </c>
      <c r="AX103" s="21">
        <f t="shared" si="60"/>
        <v>109.51087669516333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4.273076923076923</v>
      </c>
      <c r="BD103" s="12">
        <f>IF('Données projet'!$A$88&gt;35,BD102+BC103-BL102,IF(A103&lt;'Données projet'!$A$88,$BA$205^A103,IF(A103='Données projet'!$A$88,'Données projet'!$B$88,BD102+BC103-BL102)))</f>
        <v>241.59615384615398</v>
      </c>
      <c r="BE103" s="13">
        <f>BD103*VLOOKUP('Données projet'!$B$11,Paramètres!$A$1:$I$89,3,0)*VLOOKUP('Données projet'!$B$11,Paramètres!$A$1:$I$89,5,0)</f>
        <v>113.06700000000006</v>
      </c>
      <c r="BF103" s="13">
        <f t="shared" si="91"/>
        <v>30.052433090806787</v>
      </c>
      <c r="BG103" s="20">
        <f t="shared" si="61"/>
        <v>249.26634596648864</v>
      </c>
      <c r="BH103" s="59">
        <f t="shared" si="62"/>
        <v>542.5996792998219</v>
      </c>
      <c r="BI103" s="59">
        <f ca="1">AVERAGE(OFFSET($BH$3,0,0,'Données projet'!$E$11+1,1))-AVERAGE(OFFSET($H$3,0,0,'Données projet'!$E$11+1,1))</f>
        <v>111.85541298746966</v>
      </c>
      <c r="BJ103" s="59">
        <f t="shared" si="92"/>
        <v>27.56942482401746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27.456443143169587</v>
      </c>
      <c r="BQ103" s="21">
        <f>EXP(-LN(2)/25)*BQ102+(1-EXP(-LN(2)/25))/(LN(2)/25)*Calculateur!BL103*Calculateur!BN103*VLOOKUP('Données projet'!$B$11,Paramètres!$A$1:$I$89,3,0)*0.475*44/12</f>
        <v>11.786829186471619</v>
      </c>
      <c r="BR103" s="21">
        <f>EXP(-LN(2)/2)*BR102+(1-EXP(-LN(2)/2))/(LN(2)/2)*BL103*BO103*VLOOKUP('Données projet'!$B$11,Paramètres!$A$1:$I$89,3,0)*0.475*44/12</f>
        <v>3.1241557224351473</v>
      </c>
      <c r="BS103" s="22">
        <f t="shared" si="63"/>
        <v>42.367428052076356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253.62423410951334</v>
      </c>
      <c r="CE103" s="59">
        <f t="shared" si="94"/>
        <v>230.93438491511529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116.19250972093349</v>
      </c>
      <c r="CL103" s="21">
        <f>EXP(-LN(2)/25)*CL102+(1-EXP(-LN(2)/25))/(LN(2)/25)*Calculateur!CG103*Calculateur!CI103*VLOOKUP('Données projet'!$B$12,Paramètres!$A$1:$I$89,3,0)*0.475*44/12</f>
        <v>24.127272595312576</v>
      </c>
      <c r="CM103" s="21">
        <f>EXP(-LN(2)/2)*CM102+(1-EXP(-LN(2)/2))/(LN(2)/2)*CG103*CJ103*VLOOKUP('Données projet'!$B$12,Paramètres!$A$1:$I$89,3,0)*0.475*44/12</f>
        <v>1.2155871676136013E-3</v>
      </c>
      <c r="CN103" s="22">
        <f t="shared" si="66"/>
        <v>140.32099790341368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>
        <f>VLOOKUP(A104,'Données projet'!$A$35:$I$55,2,0)</f>
        <v>307.60769230769228</v>
      </c>
      <c r="L104" s="12">
        <f>VLOOKUP(A104,'Données projet'!$A$35:$I$55,9,0)</f>
        <v>7.5784615384615392</v>
      </c>
      <c r="M104" s="12">
        <f t="array" ref="M104">INDEX(L:L,MIN(IF(ISNUMBER(L104:L300),ROW(L104:L300),"")))</f>
        <v>7.5784615384615392</v>
      </c>
      <c r="N104" s="13">
        <f>IF('Données projet'!$A$36&gt;35,N103+M104-V103,IF(A104&lt;'Données projet'!$A$36,$K$205^A104,IF(A104='Données projet'!$A$36,'Données projet'!$B$36,N103+M104-V103)))</f>
        <v>307.60769230769154</v>
      </c>
      <c r="O104" s="13">
        <f>N104*VLOOKUP('Données projet'!$B$9,Paramètres!$A$1:$I$89,3,0)*VLOOKUP('Données projet'!$B$9,Paramètres!$A$1:$I$89,5,0)</f>
        <v>143.96039999999965</v>
      </c>
      <c r="P104" s="13">
        <f t="shared" si="87"/>
        <v>37.202799286612169</v>
      </c>
      <c r="Q104" s="20">
        <f t="shared" si="107"/>
        <v>315.52590542418221</v>
      </c>
      <c r="R104" s="59">
        <f t="shared" si="55"/>
        <v>608.85923875751553</v>
      </c>
      <c r="S104" s="59">
        <f ca="1">AVERAGE(OFFSET($R$3,0,0,'Données projet'!$E$9+1,1))-AVERAGE(OFFSET($H$3,0,0,'Données projet'!$E$9+1,1))</f>
        <v>190.74210845597287</v>
      </c>
      <c r="T104" s="59">
        <f t="shared" si="88"/>
        <v>131.88015896015884</v>
      </c>
      <c r="U104" s="15">
        <f>IF(ISNA(VLOOKUP(A104,'Données projet'!$A$35:$I$55,3,0)),0,VLOOKUP(A104,'Données projet'!$A$35:$I$55,3,0))</f>
        <v>8</v>
      </c>
      <c r="V104" s="15">
        <f>IF(ISNA(VLOOKUP(A104,'Données projet'!$A$35:$I$55,4,0)),0,VLOOKUP(A104,'Données projet'!$A$35:$I$55,4,0))</f>
        <v>307.60769230769228</v>
      </c>
      <c r="W104" s="16">
        <f>IF(ISNA(VLOOKUP(A104,'Données projet'!$A$35:$I$55,5,0)),0%,VLOOKUP(A104,'Données projet'!$A$35:$I$55,5,0)*VLOOKUP('Données projet'!$B$9,Paramètres!$A$1:$I$89,7,0))</f>
        <v>0.38500000000000001</v>
      </c>
      <c r="X104" s="16">
        <f>IF(ISNA(VLOOKUP(A104,'Données projet'!$A$35:$I$55,6,0)),0%,VLOOKUP(A104,'Données projet'!$A$35:$I$55,6,0)*VLOOKUP('Données projet'!$B$9,Paramètres!$A$1:$I$89,7,0))</f>
        <v>9.240000000000001E-2</v>
      </c>
      <c r="Y104" s="16">
        <f>IF(ISNA(VLOOKUP(A104,'Données projet'!$A$35:$I$55,7,0)),0%,VLOOKUP(A104,'Données projet'!$A$35:$I$55,7,0))</f>
        <v>0.13200000000000001</v>
      </c>
      <c r="Z104" s="21">
        <f>EXP(-LN(2)/35)*Z103+(1-EXP(-LN(2)/35))/(LN(2)/35)*V104*W104*VLOOKUP('Données projet'!$B$9,Paramètres!$A$1:$I$89,3,0)*0.475*44/12</f>
        <v>169.51168177392393</v>
      </c>
      <c r="AA104" s="21">
        <f>EXP(-LN(2)/25)*AA103+(1-EXP(-LN(2)/25))/(LN(2)/25)*Calculateur!V104*Calculateur!X104*VLOOKUP('Données projet'!$B$9,Paramètres!$A$1:$I$89,3,0)*0.475*44/12</f>
        <v>40.866720942624497</v>
      </c>
      <c r="AB104" s="21">
        <f>EXP(-LN(2)/2)*AB103+(1-EXP(-LN(2)/2))/(LN(2)/2)*V104*Y104*VLOOKUP('Données projet'!$B$9,Paramètres!$A$1:$I$89,3,0)*0.475*44/12</f>
        <v>22.029299059635388</v>
      </c>
      <c r="AC104" s="22">
        <f t="shared" si="57"/>
        <v>232.40770177618379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-6.3550942286383367E-14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278.5296012747549</v>
      </c>
      <c r="AO104" s="59">
        <f t="shared" si="90"/>
        <v>370.55343097937077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91.144374825507398</v>
      </c>
      <c r="AV104" s="21">
        <f>EXP(-LN(2)/25)*AV103+(1-EXP(-LN(2)/25))/(LN(2)/25)*Calculateur!AQ104*Calculateur!AS104*VLOOKUP('Données projet'!$B$10,Paramètres!$A$1:$I$89,3,0)*0.475*44/12</f>
        <v>16.091080087988935</v>
      </c>
      <c r="AW104" s="21">
        <f>EXP(-LN(2)/2)*AW103+(1-EXP(-LN(2)/2))/(LN(2)/2)*AQ104*AT104*VLOOKUP('Données projet'!$B$10,Paramètres!$A$1:$I$89,3,0)*0.475*44/12</f>
        <v>4.0723447804585067E-6</v>
      </c>
      <c r="AX104" s="21">
        <f t="shared" si="60"/>
        <v>107.23545898584112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4.273076923076923</v>
      </c>
      <c r="BD104" s="12">
        <f>IF('Données projet'!$A$88&gt;35,BD103+BC104-BL103,IF(A104&lt;'Données projet'!$A$88,$BA$205^A104,IF(A104='Données projet'!$A$88,'Données projet'!$B$88,BD103+BC104-BL103)))</f>
        <v>245.86923076923091</v>
      </c>
      <c r="BE104" s="13">
        <f>BD104*VLOOKUP('Données projet'!$B$11,Paramètres!$A$1:$I$89,3,0)*VLOOKUP('Données projet'!$B$11,Paramètres!$A$1:$I$89,5,0)</f>
        <v>115.06680000000007</v>
      </c>
      <c r="BF104" s="13">
        <f t="shared" si="91"/>
        <v>30.521615452421145</v>
      </c>
      <c r="BG104" s="20">
        <f t="shared" si="61"/>
        <v>253.56649024630022</v>
      </c>
      <c r="BH104" s="59">
        <f t="shared" si="62"/>
        <v>546.89982357963356</v>
      </c>
      <c r="BI104" s="59">
        <f ca="1">AVERAGE(OFFSET($BH$3,0,0,'Données projet'!$E$11+1,1))-AVERAGE(OFFSET($H$3,0,0,'Données projet'!$E$11+1,1))</f>
        <v>111.85541298746966</v>
      </c>
      <c r="BJ104" s="59">
        <f t="shared" si="92"/>
        <v>27.56942482401746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26.918039039908741</v>
      </c>
      <c r="BQ104" s="21">
        <f>EXP(-LN(2)/25)*BQ103+(1-EXP(-LN(2)/25))/(LN(2)/25)*Calculateur!BL104*Calculateur!BN104*VLOOKUP('Données projet'!$B$11,Paramètres!$A$1:$I$89,3,0)*0.475*44/12</f>
        <v>11.464517722525144</v>
      </c>
      <c r="BR104" s="21">
        <f>EXP(-LN(2)/2)*BR103+(1-EXP(-LN(2)/2))/(LN(2)/2)*BL104*BO104*VLOOKUP('Données projet'!$B$11,Paramètres!$A$1:$I$89,3,0)*0.475*44/12</f>
        <v>2.2091116968166502</v>
      </c>
      <c r="BS104" s="22">
        <f t="shared" si="63"/>
        <v>40.591668459250535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253.62423410951334</v>
      </c>
      <c r="CE104" s="59">
        <f t="shared" si="94"/>
        <v>230.93438491511529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113.91404547573903</v>
      </c>
      <c r="CL104" s="21">
        <f>EXP(-LN(2)/25)*CL103+(1-EXP(-LN(2)/25))/(LN(2)/25)*Calculateur!CG104*Calculateur!CI104*VLOOKUP('Données projet'!$B$12,Paramètres!$A$1:$I$89,3,0)*0.475*44/12</f>
        <v>23.46751105739563</v>
      </c>
      <c r="CM104" s="21">
        <f>EXP(-LN(2)/2)*CM103+(1-EXP(-LN(2)/2))/(LN(2)/2)*CG104*CJ104*VLOOKUP('Données projet'!$B$12,Paramètres!$A$1:$I$89,3,0)*0.475*44/12</f>
        <v>8.5954992934292589E-4</v>
      </c>
      <c r="CN104" s="22">
        <f t="shared" si="66"/>
        <v>137.38241608306402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-7.3896444519050419E-13</v>
      </c>
      <c r="O105" s="13">
        <f>N105*VLOOKUP('Données projet'!$B$9,Paramètres!$A$1:$I$89,3,0)*VLOOKUP('Données projet'!$B$9,Paramètres!$A$1:$I$89,5,0)</f>
        <v>-3.4583536034915594E-13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190.74210845597287</v>
      </c>
      <c r="T105" s="59">
        <f t="shared" si="88"/>
        <v>131.88015896015884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166.18766108625405</v>
      </c>
      <c r="AA105" s="21">
        <f>EXP(-LN(2)/25)*AA104+(1-EXP(-LN(2)/25))/(LN(2)/25)*Calculateur!V105*Calculateur!X105*VLOOKUP('Données projet'!$B$9,Paramètres!$A$1:$I$89,3,0)*0.475*44/12</f>
        <v>39.749218309360977</v>
      </c>
      <c r="AB105" s="21">
        <f>EXP(-LN(2)/2)*AB104+(1-EXP(-LN(2)/2))/(LN(2)/2)*V105*Y105*VLOOKUP('Données projet'!$B$9,Paramètres!$A$1:$I$89,3,0)*0.475*44/12</f>
        <v>15.577066749854618</v>
      </c>
      <c r="AC105" s="22">
        <f t="shared" si="57"/>
        <v>221.51394614546965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-6.3550942286383367E-14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278.5296012747549</v>
      </c>
      <c r="AO105" s="59">
        <f t="shared" si="90"/>
        <v>370.55343097937077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89.357089227758536</v>
      </c>
      <c r="AV105" s="21">
        <f>EXP(-LN(2)/25)*AV104+(1-EXP(-LN(2)/25))/(LN(2)/25)*Calculateur!AQ105*Calculateur!AS105*VLOOKUP('Données projet'!$B$10,Paramètres!$A$1:$I$89,3,0)*0.475*44/12</f>
        <v>15.651068656789752</v>
      </c>
      <c r="AW105" s="21">
        <f>EXP(-LN(2)/2)*AW104+(1-EXP(-LN(2)/2))/(LN(2)/2)*AQ105*AT105*VLOOKUP('Données projet'!$B$10,Paramètres!$A$1:$I$89,3,0)*0.475*44/12</f>
        <v>2.8795826095918523E-6</v>
      </c>
      <c r="AX105" s="21">
        <f t="shared" si="60"/>
        <v>105.00816076413089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4.273076923076923</v>
      </c>
      <c r="BD105" s="12">
        <f>IF('Données projet'!$A$88&gt;35,BD104+BC105-BL104,IF(A105&lt;'Données projet'!$A$88,$BA$205^A105,IF(A105='Données projet'!$A$88,'Données projet'!$B$88,BD104+BC105-BL104)))</f>
        <v>250.14230769230784</v>
      </c>
      <c r="BE105" s="13">
        <f>BD105*VLOOKUP('Données projet'!$B$11,Paramètres!$A$1:$I$89,3,0)*VLOOKUP('Données projet'!$B$11,Paramètres!$A$1:$I$89,5,0)</f>
        <v>117.06660000000007</v>
      </c>
      <c r="BF105" s="13">
        <f t="shared" si="91"/>
        <v>30.98984958097844</v>
      </c>
      <c r="BG105" s="20">
        <f t="shared" si="61"/>
        <v>257.86498302020419</v>
      </c>
      <c r="BH105" s="59">
        <f t="shared" si="62"/>
        <v>551.19831635353751</v>
      </c>
      <c r="BI105" s="59">
        <f ca="1">AVERAGE(OFFSET($BH$3,0,0,'Données projet'!$E$11+1,1))-AVERAGE(OFFSET($H$3,0,0,'Données projet'!$E$11+1,1))</f>
        <v>111.85541298746966</v>
      </c>
      <c r="BJ105" s="59">
        <f t="shared" si="92"/>
        <v>27.56942482401746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26.390192712718765</v>
      </c>
      <c r="BQ105" s="21">
        <f>EXP(-LN(2)/25)*BQ104+(1-EXP(-LN(2)/25))/(LN(2)/25)*Calculateur!BL105*Calculateur!BN105*VLOOKUP('Données projet'!$B$11,Paramètres!$A$1:$I$89,3,0)*0.475*44/12</f>
        <v>11.15101988250991</v>
      </c>
      <c r="BR105" s="21">
        <f>EXP(-LN(2)/2)*BR104+(1-EXP(-LN(2)/2))/(LN(2)/2)*BL105*BO105*VLOOKUP('Données projet'!$B$11,Paramètres!$A$1:$I$89,3,0)*0.475*44/12</f>
        <v>1.5620778612175739</v>
      </c>
      <c r="BS105" s="22">
        <f t="shared" si="63"/>
        <v>39.103290456446246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253.62423410951334</v>
      </c>
      <c r="CE105" s="59">
        <f t="shared" si="94"/>
        <v>230.93438491511529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111.68026052466688</v>
      </c>
      <c r="CL105" s="21">
        <f>EXP(-LN(2)/25)*CL104+(1-EXP(-LN(2)/25))/(LN(2)/25)*Calculateur!CG105*Calculateur!CI105*VLOOKUP('Données projet'!$B$12,Paramètres!$A$1:$I$89,3,0)*0.475*44/12</f>
        <v>22.825790733428374</v>
      </c>
      <c r="CM105" s="21">
        <f>EXP(-LN(2)/2)*CM104+(1-EXP(-LN(2)/2))/(LN(2)/2)*CG105*CJ105*VLOOKUP('Données projet'!$B$12,Paramètres!$A$1:$I$89,3,0)*0.475*44/12</f>
        <v>6.0779358380680067E-4</v>
      </c>
      <c r="CN105" s="22">
        <f t="shared" si="66"/>
        <v>134.50665905167907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-7.3896444519050419E-13</v>
      </c>
      <c r="O106" s="13">
        <f>N106*VLOOKUP('Données projet'!$B$9,Paramètres!$A$1:$I$89,3,0)*VLOOKUP('Données projet'!$B$9,Paramètres!$A$1:$I$89,5,0)</f>
        <v>-3.4583536034915594E-13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190.74210845597287</v>
      </c>
      <c r="T106" s="59">
        <f t="shared" si="88"/>
        <v>131.88015896015884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162.92882241681696</v>
      </c>
      <c r="AA106" s="21">
        <f>EXP(-LN(2)/25)*AA105+(1-EXP(-LN(2)/25))/(LN(2)/25)*Calculateur!V106*Calculateur!X106*VLOOKUP('Données projet'!$B$9,Paramètres!$A$1:$I$89,3,0)*0.475*44/12</f>
        <v>38.662273844370958</v>
      </c>
      <c r="AB106" s="21">
        <f>EXP(-LN(2)/2)*AB105+(1-EXP(-LN(2)/2))/(LN(2)/2)*V106*Y106*VLOOKUP('Données projet'!$B$9,Paramètres!$A$1:$I$89,3,0)*0.475*44/12</f>
        <v>11.014649529817696</v>
      </c>
      <c r="AC106" s="22">
        <f t="shared" si="57"/>
        <v>212.6057457910056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-6.3550942286383367E-14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278.5296012747549</v>
      </c>
      <c r="AO106" s="59">
        <f t="shared" si="90"/>
        <v>370.55343097937077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87.604851210444949</v>
      </c>
      <c r="AV106" s="21">
        <f>EXP(-LN(2)/25)*AV105+(1-EXP(-LN(2)/25))/(LN(2)/25)*Calculateur!AQ106*Calculateur!AS106*VLOOKUP('Données projet'!$B$10,Paramètres!$A$1:$I$89,3,0)*0.475*44/12</f>
        <v>15.223089361315907</v>
      </c>
      <c r="AW106" s="21">
        <f>EXP(-LN(2)/2)*AW105+(1-EXP(-LN(2)/2))/(LN(2)/2)*AQ106*AT106*VLOOKUP('Données projet'!$B$10,Paramètres!$A$1:$I$89,3,0)*0.475*44/12</f>
        <v>2.0361723902292534E-6</v>
      </c>
      <c r="AX106" s="21">
        <f t="shared" si="60"/>
        <v>102.82794260793324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4.273076923076923</v>
      </c>
      <c r="BD106" s="12">
        <f>IF('Données projet'!$A$88&gt;35,BD105+BC106-BL105,IF(A106&lt;'Données projet'!$A$88,$BA$205^A106,IF(A106='Données projet'!$A$88,'Données projet'!$B$88,BD105+BC106-BL105)))</f>
        <v>254.41538461538477</v>
      </c>
      <c r="BE106" s="13">
        <f>BD106*VLOOKUP('Données projet'!$B$11,Paramètres!$A$1:$I$89,3,0)*VLOOKUP('Données projet'!$B$11,Paramètres!$A$1:$I$89,5,0)</f>
        <v>119.06640000000007</v>
      </c>
      <c r="BF106" s="13">
        <f t="shared" si="91"/>
        <v>31.457153544031957</v>
      </c>
      <c r="BG106" s="20">
        <f t="shared" si="61"/>
        <v>262.16185575585581</v>
      </c>
      <c r="BH106" s="59">
        <f t="shared" si="62"/>
        <v>555.49518908918913</v>
      </c>
      <c r="BI106" s="59">
        <f ca="1">AVERAGE(OFFSET($BH$3,0,0,'Données projet'!$E$11+1,1))-AVERAGE(OFFSET($H$3,0,0,'Données projet'!$E$11+1,1))</f>
        <v>111.85541298746966</v>
      </c>
      <c r="BJ106" s="59">
        <f t="shared" si="92"/>
        <v>27.56942482401746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25.872697130050515</v>
      </c>
      <c r="BQ106" s="21">
        <f>EXP(-LN(2)/25)*BQ105+(1-EXP(-LN(2)/25))/(LN(2)/25)*Calculateur!BL106*Calculateur!BN106*VLOOKUP('Données projet'!$B$11,Paramètres!$A$1:$I$89,3,0)*0.475*44/12</f>
        <v>10.846094657416026</v>
      </c>
      <c r="BR106" s="21">
        <f>EXP(-LN(2)/2)*BR105+(1-EXP(-LN(2)/2))/(LN(2)/2)*BL106*BO106*VLOOKUP('Données projet'!$B$11,Paramètres!$A$1:$I$89,3,0)*0.475*44/12</f>
        <v>1.1045558484083253</v>
      </c>
      <c r="BS106" s="22">
        <f t="shared" si="63"/>
        <v>37.823347635874867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253.62423410951334</v>
      </c>
      <c r="CE106" s="59">
        <f t="shared" si="94"/>
        <v>230.93438491511529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109.49027873401096</v>
      </c>
      <c r="CL106" s="21">
        <f>EXP(-LN(2)/25)*CL105+(1-EXP(-LN(2)/25))/(LN(2)/25)*Calculateur!CG106*Calculateur!CI106*VLOOKUP('Données projet'!$B$12,Paramètres!$A$1:$I$89,3,0)*0.475*44/12</f>
        <v>22.201618285466608</v>
      </c>
      <c r="CM106" s="21">
        <f>EXP(-LN(2)/2)*CM105+(1-EXP(-LN(2)/2))/(LN(2)/2)*CG106*CJ106*VLOOKUP('Données projet'!$B$12,Paramètres!$A$1:$I$89,3,0)*0.475*44/12</f>
        <v>4.2977496467146295E-4</v>
      </c>
      <c r="CN106" s="22">
        <f t="shared" si="66"/>
        <v>131.69232679444221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-7.3896444519050419E-13</v>
      </c>
      <c r="O107" s="13">
        <f>N107*VLOOKUP('Données projet'!$B$9,Paramètres!$A$1:$I$89,3,0)*VLOOKUP('Données projet'!$B$9,Paramètres!$A$1:$I$89,5,0)</f>
        <v>-3.4583536034915594E-13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190.74210845597287</v>
      </c>
      <c r="T107" s="59">
        <f t="shared" si="88"/>
        <v>131.88015896015884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159.73388758599222</v>
      </c>
      <c r="AA107" s="21">
        <f>EXP(-LN(2)/25)*AA106+(1-EXP(-LN(2)/25))/(LN(2)/25)*Calculateur!V107*Calculateur!X107*VLOOKUP('Données projet'!$B$9,Paramètres!$A$1:$I$89,3,0)*0.475*44/12</f>
        <v>37.605051932936014</v>
      </c>
      <c r="AB107" s="21">
        <f>EXP(-LN(2)/2)*AB106+(1-EXP(-LN(2)/2))/(LN(2)/2)*V107*Y107*VLOOKUP('Données projet'!$B$9,Paramètres!$A$1:$I$89,3,0)*0.475*44/12</f>
        <v>7.7885333749273107</v>
      </c>
      <c r="AC107" s="22">
        <f t="shared" si="57"/>
        <v>205.12747289385555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-6.3550942286383367E-14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278.5296012747549</v>
      </c>
      <c r="AO107" s="59">
        <f t="shared" si="90"/>
        <v>370.55343097937077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85.886973511891227</v>
      </c>
      <c r="AV107" s="21">
        <f>EXP(-LN(2)/25)*AV106+(1-EXP(-LN(2)/25))/(LN(2)/25)*Calculateur!AQ107*Calculateur!AS107*VLOOKUP('Données projet'!$B$10,Paramètres!$A$1:$I$89,3,0)*0.475*44/12</f>
        <v>14.806813182183246</v>
      </c>
      <c r="AW107" s="21">
        <f>EXP(-LN(2)/2)*AW106+(1-EXP(-LN(2)/2))/(LN(2)/2)*AQ107*AT107*VLOOKUP('Données projet'!$B$10,Paramètres!$A$1:$I$89,3,0)*0.475*44/12</f>
        <v>1.4397913047959261E-6</v>
      </c>
      <c r="AX107" s="21">
        <f t="shared" si="60"/>
        <v>100.69378813386578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4.273076923076923</v>
      </c>
      <c r="BD107" s="12">
        <f>IF('Données projet'!$A$88&gt;35,BD106+BC107-BL106,IF(A107&lt;'Données projet'!$A$88,$BA$205^A107,IF(A107='Données projet'!$A$88,'Données projet'!$B$88,BD106+BC107-BL106)))</f>
        <v>258.68846153846169</v>
      </c>
      <c r="BE107" s="13">
        <f>BD107*VLOOKUP('Données projet'!$B$11,Paramètres!$A$1:$I$89,3,0)*VLOOKUP('Données projet'!$B$11,Paramètres!$A$1:$I$89,5,0)</f>
        <v>121.06620000000007</v>
      </c>
      <c r="BF107" s="13">
        <f t="shared" si="91"/>
        <v>31.923544767436631</v>
      </c>
      <c r="BG107" s="20">
        <f t="shared" si="61"/>
        <v>266.45713880328555</v>
      </c>
      <c r="BH107" s="59">
        <f t="shared" si="62"/>
        <v>559.79047213661886</v>
      </c>
      <c r="BI107" s="59">
        <f ca="1">AVERAGE(OFFSET($BH$3,0,0,'Données projet'!$E$11+1,1))-AVERAGE(OFFSET($H$3,0,0,'Données projet'!$E$11+1,1))</f>
        <v>111.85541298746966</v>
      </c>
      <c r="BJ107" s="59">
        <f t="shared" si="92"/>
        <v>27.56942482401746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25.36534932011725</v>
      </c>
      <c r="BQ107" s="21">
        <f>EXP(-LN(2)/25)*BQ106+(1-EXP(-LN(2)/25))/(LN(2)/25)*Calculateur!BL107*Calculateur!BN107*VLOOKUP('Données projet'!$B$11,Paramètres!$A$1:$I$89,3,0)*0.475*44/12</f>
        <v>10.549507628637656</v>
      </c>
      <c r="BR107" s="21">
        <f>EXP(-LN(2)/2)*BR106+(1-EXP(-LN(2)/2))/(LN(2)/2)*BL107*BO107*VLOOKUP('Données projet'!$B$11,Paramètres!$A$1:$I$89,3,0)*0.475*44/12</f>
        <v>0.78103893060878715</v>
      </c>
      <c r="BS107" s="22">
        <f t="shared" si="63"/>
        <v>36.69589587936369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253.62423410951334</v>
      </c>
      <c r="CE107" s="59">
        <f t="shared" si="94"/>
        <v>230.93438491511529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107.34324115051281</v>
      </c>
      <c r="CL107" s="21">
        <f>EXP(-LN(2)/25)*CL106+(1-EXP(-LN(2)/25))/(LN(2)/25)*Calculateur!CG107*Calculateur!CI107*VLOOKUP('Données projet'!$B$12,Paramètres!$A$1:$I$89,3,0)*0.475*44/12</f>
        <v>21.594513865918159</v>
      </c>
      <c r="CM107" s="21">
        <f>EXP(-LN(2)/2)*CM106+(1-EXP(-LN(2)/2))/(LN(2)/2)*CG107*CJ107*VLOOKUP('Données projet'!$B$12,Paramètres!$A$1:$I$89,3,0)*0.475*44/12</f>
        <v>3.0389679190340034E-4</v>
      </c>
      <c r="CN107" s="22">
        <f t="shared" si="66"/>
        <v>128.93805891322287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-7.3896444519050419E-13</v>
      </c>
      <c r="O108" s="13">
        <f>N108*VLOOKUP('Données projet'!$B$9,Paramètres!$A$1:$I$89,3,0)*VLOOKUP('Données projet'!$B$9,Paramètres!$A$1:$I$89,5,0)</f>
        <v>-3.4583536034915594E-13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190.74210845597287</v>
      </c>
      <c r="T108" s="59">
        <f t="shared" si="88"/>
        <v>131.88015896015884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156.60160347848213</v>
      </c>
      <c r="AA108" s="21">
        <f>EXP(-LN(2)/25)*AA107+(1-EXP(-LN(2)/25))/(LN(2)/25)*Calculateur!V108*Calculateur!X108*VLOOKUP('Données projet'!$B$9,Paramètres!$A$1:$I$89,3,0)*0.475*44/12</f>
        <v>36.576739810266147</v>
      </c>
      <c r="AB108" s="21">
        <f>EXP(-LN(2)/2)*AB107+(1-EXP(-LN(2)/2))/(LN(2)/2)*V108*Y108*VLOOKUP('Données projet'!$B$9,Paramètres!$A$1:$I$89,3,0)*0.475*44/12</f>
        <v>5.5073247649088488</v>
      </c>
      <c r="AC108" s="22">
        <f t="shared" si="57"/>
        <v>198.68566805365714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-6.3550942286383367E-14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278.5296012747549</v>
      </c>
      <c r="AO108" s="59">
        <f t="shared" si="90"/>
        <v>370.55343097937077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84.202782347204206</v>
      </c>
      <c r="AV108" s="21">
        <f>EXP(-LN(2)/25)*AV107+(1-EXP(-LN(2)/25))/(LN(2)/25)*Calculateur!AQ108*Calculateur!AS108*VLOOKUP('Données projet'!$B$10,Paramètres!$A$1:$I$89,3,0)*0.475*44/12</f>
        <v>14.401920097059982</v>
      </c>
      <c r="AW108" s="21">
        <f>EXP(-LN(2)/2)*AW107+(1-EXP(-LN(2)/2))/(LN(2)/2)*AQ108*AT108*VLOOKUP('Données projet'!$B$10,Paramètres!$A$1:$I$89,3,0)*0.475*44/12</f>
        <v>1.0180861951146267E-6</v>
      </c>
      <c r="AX108" s="21">
        <f t="shared" si="60"/>
        <v>98.604703462350386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4.273076923076923</v>
      </c>
      <c r="BD108" s="12">
        <f>IF('Données projet'!$A$88&gt;35,BD107+BC108-BL107,IF(A108&lt;'Données projet'!$A$88,$BA$205^A108,IF(A108='Données projet'!$A$88,'Données projet'!$B$88,BD107+BC108-BL107)))</f>
        <v>262.96153846153862</v>
      </c>
      <c r="BE108" s="13">
        <f>BD108*VLOOKUP('Données projet'!$B$11,Paramètres!$A$1:$I$89,3,0)*VLOOKUP('Données projet'!$B$11,Paramètres!$A$1:$I$89,5,0)</f>
        <v>123.06600000000007</v>
      </c>
      <c r="BF108" s="13">
        <f t="shared" si="91"/>
        <v>32.389040068355897</v>
      </c>
      <c r="BG108" s="20">
        <f t="shared" si="61"/>
        <v>270.75086145238669</v>
      </c>
      <c r="BH108" s="59">
        <f t="shared" si="62"/>
        <v>564.08419478572</v>
      </c>
      <c r="BI108" s="59">
        <f ca="1">AVERAGE(OFFSET($BH$3,0,0,'Données projet'!$E$11+1,1))-AVERAGE(OFFSET($H$3,0,0,'Données projet'!$E$11+1,1))</f>
        <v>111.85541298746966</v>
      </c>
      <c r="BJ108" s="59">
        <f t="shared" si="92"/>
        <v>27.56942482401746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24.867950291285169</v>
      </c>
      <c r="BQ108" s="21">
        <f>EXP(-LN(2)/25)*BQ107+(1-EXP(-LN(2)/25))/(LN(2)/25)*Calculateur!BL108*Calculateur!BN108*VLOOKUP('Données projet'!$B$11,Paramètres!$A$1:$I$89,3,0)*0.475*44/12</f>
        <v>10.261030787758065</v>
      </c>
      <c r="BR108" s="21">
        <f>EXP(-LN(2)/2)*BR107+(1-EXP(-LN(2)/2))/(LN(2)/2)*BL108*BO108*VLOOKUP('Données projet'!$B$11,Paramètres!$A$1:$I$89,3,0)*0.475*44/12</f>
        <v>0.55227792420416277</v>
      </c>
      <c r="BS108" s="22">
        <f t="shared" si="63"/>
        <v>35.681259003247398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253.62423410951334</v>
      </c>
      <c r="CE108" s="59">
        <f t="shared" si="94"/>
        <v>230.93438491511529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105.23830566446344</v>
      </c>
      <c r="CL108" s="21">
        <f>EXP(-LN(2)/25)*CL107+(1-EXP(-LN(2)/25))/(LN(2)/25)*Calculateur!CG108*Calculateur!CI108*VLOOKUP('Données projet'!$B$12,Paramètres!$A$1:$I$89,3,0)*0.475*44/12</f>
        <v>21.004010748648497</v>
      </c>
      <c r="CM108" s="21">
        <f>EXP(-LN(2)/2)*CM107+(1-EXP(-LN(2)/2))/(LN(2)/2)*CG108*CJ108*VLOOKUP('Données projet'!$B$12,Paramètres!$A$1:$I$89,3,0)*0.475*44/12</f>
        <v>2.1488748233573147E-4</v>
      </c>
      <c r="CN108" s="22">
        <f t="shared" si="66"/>
        <v>126.24253130059427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-7.3896444519050419E-13</v>
      </c>
      <c r="O109" s="13">
        <f>N109*VLOOKUP('Données projet'!$B$9,Paramètres!$A$1:$I$89,3,0)*VLOOKUP('Données projet'!$B$9,Paramètres!$A$1:$I$89,5,0)</f>
        <v>-3.4583536034915594E-13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190.74210845597287</v>
      </c>
      <c r="T109" s="59">
        <f t="shared" si="88"/>
        <v>131.88015896015884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153.53074155181565</v>
      </c>
      <c r="AA109" s="21">
        <f>EXP(-LN(2)/25)*AA108+(1-EXP(-LN(2)/25))/(LN(2)/25)*Calculateur!V109*Calculateur!X109*VLOOKUP('Données projet'!$B$9,Paramètres!$A$1:$I$89,3,0)*0.475*44/12</f>
        <v>35.57654693666727</v>
      </c>
      <c r="AB109" s="21">
        <f>EXP(-LN(2)/2)*AB108+(1-EXP(-LN(2)/2))/(LN(2)/2)*V109*Y109*VLOOKUP('Données projet'!$B$9,Paramètres!$A$1:$I$89,3,0)*0.475*44/12</f>
        <v>3.8942666874636558</v>
      </c>
      <c r="AC109" s="22">
        <f t="shared" si="57"/>
        <v>193.00155517594658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-6.3550942286383367E-14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278.5296012747549</v>
      </c>
      <c r="AO109" s="59">
        <f t="shared" si="90"/>
        <v>370.55343097937077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82.551617144001526</v>
      </c>
      <c r="AV109" s="21">
        <f>EXP(-LN(2)/25)*AV108+(1-EXP(-LN(2)/25))/(LN(2)/25)*Calculateur!AQ109*Calculateur!AS109*VLOOKUP('Données projet'!$B$10,Paramètres!$A$1:$I$89,3,0)*0.475*44/12</f>
        <v>14.008098834641816</v>
      </c>
      <c r="AW109" s="21">
        <f>EXP(-LN(2)/2)*AW108+(1-EXP(-LN(2)/2))/(LN(2)/2)*AQ109*AT109*VLOOKUP('Données projet'!$B$10,Paramètres!$A$1:$I$89,3,0)*0.475*44/12</f>
        <v>7.1989565239796306E-7</v>
      </c>
      <c r="AX109" s="21">
        <f t="shared" si="60"/>
        <v>96.559716698538992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4.273076923076923</v>
      </c>
      <c r="BD109" s="12">
        <f>IF('Données projet'!$A$88&gt;35,BD108+BC109-BL108,IF(A109&lt;'Données projet'!$A$88,$BA$205^A109,IF(A109='Données projet'!$A$88,'Données projet'!$B$88,BD108+BC109-BL108)))</f>
        <v>267.23461538461555</v>
      </c>
      <c r="BE109" s="13">
        <f>BD109*VLOOKUP('Données projet'!$B$11,Paramètres!$A$1:$I$89,3,0)*VLOOKUP('Données projet'!$B$11,Paramètres!$A$1:$I$89,5,0)</f>
        <v>125.06580000000008</v>
      </c>
      <c r="BF109" s="13">
        <f t="shared" si="91"/>
        <v>32.853655686062957</v>
      </c>
      <c r="BG109" s="20">
        <f t="shared" si="61"/>
        <v>275.04305198655976</v>
      </c>
      <c r="BH109" s="59">
        <f t="shared" si="62"/>
        <v>568.37638531989307</v>
      </c>
      <c r="BI109" s="59">
        <f ca="1">AVERAGE(OFFSET($BH$3,0,0,'Données projet'!$E$11+1,1))-AVERAGE(OFFSET($H$3,0,0,'Données projet'!$E$11+1,1))</f>
        <v>111.85541298746966</v>
      </c>
      <c r="BJ109" s="59">
        <f t="shared" si="92"/>
        <v>27.56942482401746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24.380304954025032</v>
      </c>
      <c r="BQ109" s="21">
        <f>EXP(-LN(2)/25)*BQ108+(1-EXP(-LN(2)/25))/(LN(2)/25)*Calculateur!BL109*Calculateur!BN109*VLOOKUP('Données projet'!$B$11,Paramètres!$A$1:$I$89,3,0)*0.475*44/12</f>
        <v>9.9804423612626625</v>
      </c>
      <c r="BR109" s="21">
        <f>EXP(-LN(2)/2)*BR108+(1-EXP(-LN(2)/2))/(LN(2)/2)*BL109*BO109*VLOOKUP('Données projet'!$B$11,Paramètres!$A$1:$I$89,3,0)*0.475*44/12</f>
        <v>0.39051946530439363</v>
      </c>
      <c r="BS109" s="22">
        <f t="shared" si="63"/>
        <v>34.75126678059209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253.62423410951334</v>
      </c>
      <c r="CE109" s="59">
        <f t="shared" si="94"/>
        <v>230.93438491511529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103.17464667941162</v>
      </c>
      <c r="CL109" s="21">
        <f>EXP(-LN(2)/25)*CL108+(1-EXP(-LN(2)/25))/(LN(2)/25)*Calculateur!CG109*Calculateur!CI109*VLOOKUP('Données projet'!$B$12,Paramètres!$A$1:$I$89,3,0)*0.475*44/12</f>
        <v>20.429654970173782</v>
      </c>
      <c r="CM109" s="21">
        <f>EXP(-LN(2)/2)*CM108+(1-EXP(-LN(2)/2))/(LN(2)/2)*CG109*CJ109*VLOOKUP('Données projet'!$B$12,Paramètres!$A$1:$I$89,3,0)*0.475*44/12</f>
        <v>1.5194839595170017E-4</v>
      </c>
      <c r="CN109" s="22">
        <f t="shared" si="66"/>
        <v>123.60445359798136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-7.3896444519050419E-13</v>
      </c>
      <c r="O110" s="13">
        <f>N110*VLOOKUP('Données projet'!$B$9,Paramètres!$A$1:$I$89,3,0)*VLOOKUP('Données projet'!$B$9,Paramètres!$A$1:$I$89,5,0)</f>
        <v>-3.4583536034915594E-13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190.74210845597287</v>
      </c>
      <c r="T110" s="59">
        <f t="shared" si="88"/>
        <v>131.88015896015884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150.52009735449028</v>
      </c>
      <c r="AA110" s="21">
        <f>EXP(-LN(2)/25)*AA109+(1-EXP(-LN(2)/25))/(LN(2)/25)*Calculateur!V110*Calculateur!X110*VLOOKUP('Données projet'!$B$9,Paramètres!$A$1:$I$89,3,0)*0.475*44/12</f>
        <v>34.603704389794814</v>
      </c>
      <c r="AB110" s="21">
        <f>EXP(-LN(2)/2)*AB109+(1-EXP(-LN(2)/2))/(LN(2)/2)*V110*Y110*VLOOKUP('Données projet'!$B$9,Paramètres!$A$1:$I$89,3,0)*0.475*44/12</f>
        <v>2.7536623824544249</v>
      </c>
      <c r="AC110" s="22">
        <f t="shared" si="57"/>
        <v>187.87746412673951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-6.3550942286383367E-14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278.5296012747549</v>
      </c>
      <c r="AO110" s="59">
        <f t="shared" si="90"/>
        <v>370.55343097937077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80.932830283322318</v>
      </c>
      <c r="AV110" s="21">
        <f>EXP(-LN(2)/25)*AV109+(1-EXP(-LN(2)/25))/(LN(2)/25)*Calculateur!AQ110*Calculateur!AS110*VLOOKUP('Données projet'!$B$10,Paramètres!$A$1:$I$89,3,0)*0.475*44/12</f>
        <v>13.625046635354634</v>
      </c>
      <c r="AW110" s="21">
        <f>EXP(-LN(2)/2)*AW109+(1-EXP(-LN(2)/2))/(LN(2)/2)*AQ110*AT110*VLOOKUP('Données projet'!$B$10,Paramètres!$A$1:$I$89,3,0)*0.475*44/12</f>
        <v>5.0904309755731334E-7</v>
      </c>
      <c r="AX110" s="21">
        <f t="shared" si="60"/>
        <v>94.557877427720058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4.273076923076923</v>
      </c>
      <c r="BD110" s="12">
        <f>IF('Données projet'!$A$88&gt;35,BD109+BC110-BL109,IF(A110&lt;'Données projet'!$A$88,$BA$205^A110,IF(A110='Données projet'!$A$88,'Données projet'!$B$88,BD109+BC110-BL109)))</f>
        <v>271.50769230769248</v>
      </c>
      <c r="BE110" s="13">
        <f>BD110*VLOOKUP('Données projet'!$B$11,Paramètres!$A$1:$I$89,3,0)*VLOOKUP('Données projet'!$B$11,Paramètres!$A$1:$I$89,5,0)</f>
        <v>127.06560000000007</v>
      </c>
      <c r="BF110" s="13">
        <f t="shared" si="91"/>
        <v>33.317407310715751</v>
      </c>
      <c r="BG110" s="20">
        <f t="shared" si="61"/>
        <v>279.33373773283</v>
      </c>
      <c r="BH110" s="59">
        <f t="shared" si="62"/>
        <v>572.66707106616332</v>
      </c>
      <c r="BI110" s="59">
        <f ca="1">AVERAGE(OFFSET($BH$3,0,0,'Données projet'!$E$11+1,1))-AVERAGE(OFFSET($H$3,0,0,'Données projet'!$E$11+1,1))</f>
        <v>111.85541298746966</v>
      </c>
      <c r="BJ110" s="59">
        <f t="shared" si="92"/>
        <v>27.56942482401746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23.902222044394282</v>
      </c>
      <c r="BQ110" s="21">
        <f>EXP(-LN(2)/25)*BQ109+(1-EXP(-LN(2)/25))/(LN(2)/25)*Calculateur!BL110*Calculateur!BN110*VLOOKUP('Données projet'!$B$11,Paramètres!$A$1:$I$89,3,0)*0.475*44/12</f>
        <v>9.7075266400452822</v>
      </c>
      <c r="BR110" s="21">
        <f>EXP(-LN(2)/2)*BR109+(1-EXP(-LN(2)/2))/(LN(2)/2)*BL110*BO110*VLOOKUP('Données projet'!$B$11,Paramètres!$A$1:$I$89,3,0)*0.475*44/12</f>
        <v>0.27613896210208144</v>
      </c>
      <c r="BS110" s="22">
        <f t="shared" si="63"/>
        <v>33.885887646541647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253.62423410951334</v>
      </c>
      <c r="CE110" s="59">
        <f t="shared" si="94"/>
        <v>230.93438491511529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101.15145478834899</v>
      </c>
      <c r="CL110" s="21">
        <f>EXP(-LN(2)/25)*CL109+(1-EXP(-LN(2)/25))/(LN(2)/25)*Calculateur!CG110*Calculateur!CI110*VLOOKUP('Données projet'!$B$12,Paramètres!$A$1:$I$89,3,0)*0.475*44/12</f>
        <v>19.871004980665518</v>
      </c>
      <c r="CM110" s="21">
        <f>EXP(-LN(2)/2)*CM109+(1-EXP(-LN(2)/2))/(LN(2)/2)*CG110*CJ110*VLOOKUP('Données projet'!$B$12,Paramètres!$A$1:$I$89,3,0)*0.475*44/12</f>
        <v>1.0744374116786574E-4</v>
      </c>
      <c r="CN110" s="22">
        <f t="shared" si="66"/>
        <v>121.02256721275567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-7.3896444519050419E-13</v>
      </c>
      <c r="O111" s="13">
        <f>N111*VLOOKUP('Données projet'!$B$9,Paramètres!$A$1:$I$89,3,0)*VLOOKUP('Données projet'!$B$9,Paramètres!$A$1:$I$89,5,0)</f>
        <v>-3.4583536034915594E-13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190.74210845597287</v>
      </c>
      <c r="T111" s="59">
        <f t="shared" si="88"/>
        <v>131.88015896015884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147.56849005356281</v>
      </c>
      <c r="AA111" s="21">
        <f>EXP(-LN(2)/25)*AA110+(1-EXP(-LN(2)/25))/(LN(2)/25)*Calculateur!V111*Calculateur!X111*VLOOKUP('Données projet'!$B$9,Paramètres!$A$1:$I$89,3,0)*0.475*44/12</f>
        <v>33.657464273526152</v>
      </c>
      <c r="AB111" s="21">
        <f>EXP(-LN(2)/2)*AB110+(1-EXP(-LN(2)/2))/(LN(2)/2)*V111*Y111*VLOOKUP('Données projet'!$B$9,Paramètres!$A$1:$I$89,3,0)*0.475*44/12</f>
        <v>1.9471333437318283</v>
      </c>
      <c r="AC111" s="22">
        <f t="shared" si="57"/>
        <v>183.17308767082079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-6.3550942286383367E-14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278.5296012747549</v>
      </c>
      <c r="AO111" s="59">
        <f t="shared" si="90"/>
        <v>370.55343097937077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79.345786845618534</v>
      </c>
      <c r="AV111" s="21">
        <f>EXP(-LN(2)/25)*AV110+(1-EXP(-LN(2)/25))/(LN(2)/25)*Calculateur!AQ111*Calculateur!AS111*VLOOKUP('Données projet'!$B$10,Paramètres!$A$1:$I$89,3,0)*0.475*44/12</f>
        <v>13.252469018600799</v>
      </c>
      <c r="AW111" s="21">
        <f>EXP(-LN(2)/2)*AW110+(1-EXP(-LN(2)/2))/(LN(2)/2)*AQ111*AT111*VLOOKUP('Données projet'!$B$10,Paramètres!$A$1:$I$89,3,0)*0.475*44/12</f>
        <v>3.5994782619898153E-7</v>
      </c>
      <c r="AX111" s="21">
        <f t="shared" si="60"/>
        <v>92.598256224167159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4.273076923076923</v>
      </c>
      <c r="BD111" s="12">
        <f>IF('Données projet'!$A$88&gt;35,BD110+BC111-BL110,IF(A111&lt;'Données projet'!$A$88,$BA$205^A111,IF(A111='Données projet'!$A$88,'Données projet'!$B$88,BD110+BC111-BL110)))</f>
        <v>275.78076923076941</v>
      </c>
      <c r="BE111" s="13">
        <f>BD111*VLOOKUP('Données projet'!$B$11,Paramètres!$A$1:$I$89,3,0)*VLOOKUP('Données projet'!$B$11,Paramètres!$A$1:$I$89,5,0)</f>
        <v>129.06540000000007</v>
      </c>
      <c r="BF111" s="13">
        <f t="shared" si="91"/>
        <v>33.780310110269056</v>
      </c>
      <c r="BG111" s="20">
        <f t="shared" si="61"/>
        <v>283.62294510871874</v>
      </c>
      <c r="BH111" s="59">
        <f t="shared" si="62"/>
        <v>576.95627844205205</v>
      </c>
      <c r="BI111" s="59">
        <f ca="1">AVERAGE(OFFSET($BH$3,0,0,'Données projet'!$E$11+1,1))-AVERAGE(OFFSET($H$3,0,0,'Données projet'!$E$11+1,1))</f>
        <v>111.85541298746966</v>
      </c>
      <c r="BJ111" s="59">
        <f t="shared" si="92"/>
        <v>27.56942482401746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23.43351404901961</v>
      </c>
      <c r="BQ111" s="21">
        <f>EXP(-LN(2)/25)*BQ110+(1-EXP(-LN(2)/25))/(LN(2)/25)*Calculateur!BL111*Calculateur!BN111*VLOOKUP('Données projet'!$B$11,Paramètres!$A$1:$I$89,3,0)*0.475*44/12</f>
        <v>9.442073813576604</v>
      </c>
      <c r="BR111" s="21">
        <f>EXP(-LN(2)/2)*BR110+(1-EXP(-LN(2)/2))/(LN(2)/2)*BL111*BO111*VLOOKUP('Données projet'!$B$11,Paramètres!$A$1:$I$89,3,0)*0.475*44/12</f>
        <v>0.19525973265219684</v>
      </c>
      <c r="BS111" s="22">
        <f t="shared" si="63"/>
        <v>33.070847595248409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253.62423410951334</v>
      </c>
      <c r="CE111" s="59">
        <f t="shared" si="94"/>
        <v>230.93438491511529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99.167936456244874</v>
      </c>
      <c r="CL111" s="21">
        <f>EXP(-LN(2)/25)*CL110+(1-EXP(-LN(2)/25))/(LN(2)/25)*Calculateur!CG111*Calculateur!CI111*VLOOKUP('Données projet'!$B$12,Paramètres!$A$1:$I$89,3,0)*0.475*44/12</f>
        <v>19.327631304498482</v>
      </c>
      <c r="CM111" s="21">
        <f>EXP(-LN(2)/2)*CM110+(1-EXP(-LN(2)/2))/(LN(2)/2)*CG111*CJ111*VLOOKUP('Données projet'!$B$12,Paramètres!$A$1:$I$89,3,0)*0.475*44/12</f>
        <v>7.5974197975850084E-5</v>
      </c>
      <c r="CN111" s="22">
        <f t="shared" si="66"/>
        <v>118.49564373494132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-7.3896444519050419E-13</v>
      </c>
      <c r="O112" s="13">
        <f>N112*VLOOKUP('Données projet'!$B$9,Paramètres!$A$1:$I$89,3,0)*VLOOKUP('Données projet'!$B$9,Paramètres!$A$1:$I$89,5,0)</f>
        <v>-3.4583536034915594E-13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190.74210845597287</v>
      </c>
      <c r="T112" s="59">
        <f t="shared" si="88"/>
        <v>131.88015896015884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144.67476197150384</v>
      </c>
      <c r="AA112" s="21">
        <f>EXP(-LN(2)/25)*AA111+(1-EXP(-LN(2)/25))/(LN(2)/25)*Calculateur!V112*Calculateur!X112*VLOOKUP('Données projet'!$B$9,Paramètres!$A$1:$I$89,3,0)*0.475*44/12</f>
        <v>32.737099142997458</v>
      </c>
      <c r="AB112" s="21">
        <f>EXP(-LN(2)/2)*AB111+(1-EXP(-LN(2)/2))/(LN(2)/2)*V112*Y112*VLOOKUP('Données projet'!$B$9,Paramètres!$A$1:$I$89,3,0)*0.475*44/12</f>
        <v>1.3768311912272126</v>
      </c>
      <c r="AC112" s="22">
        <f t="shared" si="57"/>
        <v>178.78869230572852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-6.3550942286383367E-14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278.5296012747549</v>
      </c>
      <c r="AO112" s="59">
        <f t="shared" si="90"/>
        <v>370.55343097937077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77.789864361727211</v>
      </c>
      <c r="AV112" s="21">
        <f>EXP(-LN(2)/25)*AV111+(1-EXP(-LN(2)/25))/(LN(2)/25)*Calculateur!AQ112*Calculateur!AS112*VLOOKUP('Données projet'!$B$10,Paramètres!$A$1:$I$89,3,0)*0.475*44/12</f>
        <v>12.890079556370104</v>
      </c>
      <c r="AW112" s="21">
        <f>EXP(-LN(2)/2)*AW111+(1-EXP(-LN(2)/2))/(LN(2)/2)*AQ112*AT112*VLOOKUP('Données projet'!$B$10,Paramètres!$A$1:$I$89,3,0)*0.475*44/12</f>
        <v>2.5452154877865667E-7</v>
      </c>
      <c r="AX112" s="21">
        <f t="shared" si="60"/>
        <v>90.67994417261886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4.273076923076923</v>
      </c>
      <c r="BD112" s="12">
        <f>IF('Données projet'!$A$88&gt;35,BD111+BC112-BL111,IF(A112&lt;'Données projet'!$A$88,$BA$205^A112,IF(A112='Données projet'!$A$88,'Données projet'!$B$88,BD111+BC112-BL111)))</f>
        <v>280.05384615384634</v>
      </c>
      <c r="BE112" s="13">
        <f>BD112*VLOOKUP('Données projet'!$B$11,Paramètres!$A$1:$I$89,3,0)*VLOOKUP('Données projet'!$B$11,Paramètres!$A$1:$I$89,5,0)</f>
        <v>131.06520000000009</v>
      </c>
      <c r="BF112" s="13">
        <f t="shared" si="91"/>
        <v>34.24237875567141</v>
      </c>
      <c r="BG112" s="20">
        <f t="shared" si="61"/>
        <v>287.91069966612781</v>
      </c>
      <c r="BH112" s="59">
        <f t="shared" si="62"/>
        <v>581.24403299946107</v>
      </c>
      <c r="BI112" s="59">
        <f ca="1">AVERAGE(OFFSET($BH$3,0,0,'Données projet'!$E$11+1,1))-AVERAGE(OFFSET($H$3,0,0,'Données projet'!$E$11+1,1))</f>
        <v>111.85541298746966</v>
      </c>
      <c r="BJ112" s="59">
        <f t="shared" si="92"/>
        <v>27.56942482401746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22.973997131550586</v>
      </c>
      <c r="BQ112" s="21">
        <f>EXP(-LN(2)/25)*BQ111+(1-EXP(-LN(2)/25))/(LN(2)/25)*Calculateur!BL112*Calculateur!BN112*VLOOKUP('Données projet'!$B$11,Paramètres!$A$1:$I$89,3,0)*0.475*44/12</f>
        <v>9.1838798086072693</v>
      </c>
      <c r="BR112" s="21">
        <f>EXP(-LN(2)/2)*BR111+(1-EXP(-LN(2)/2))/(LN(2)/2)*BL112*BO112*VLOOKUP('Données projet'!$B$11,Paramètres!$A$1:$I$89,3,0)*0.475*44/12</f>
        <v>0.13806948105104072</v>
      </c>
      <c r="BS112" s="22">
        <f t="shared" si="63"/>
        <v>32.295946421208896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253.62423410951334</v>
      </c>
      <c r="CE112" s="59">
        <f t="shared" si="94"/>
        <v>230.93438491511529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97.223313708806614</v>
      </c>
      <c r="CL112" s="21">
        <f>EXP(-LN(2)/25)*CL111+(1-EXP(-LN(2)/25))/(LN(2)/25)*Calculateur!CG112*Calculateur!CI112*VLOOKUP('Données projet'!$B$12,Paramètres!$A$1:$I$89,3,0)*0.475*44/12</f>
        <v>18.799116210081014</v>
      </c>
      <c r="CM112" s="21">
        <f>EXP(-LN(2)/2)*CM111+(1-EXP(-LN(2)/2))/(LN(2)/2)*CG112*CJ112*VLOOKUP('Données projet'!$B$12,Paramètres!$A$1:$I$89,3,0)*0.475*44/12</f>
        <v>5.3721870583932868E-5</v>
      </c>
      <c r="CN112" s="22">
        <f t="shared" si="66"/>
        <v>116.02248364075821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-7.3896444519050419E-13</v>
      </c>
      <c r="O113" s="13">
        <f>N113*VLOOKUP('Données projet'!$B$9,Paramètres!$A$1:$I$89,3,0)*VLOOKUP('Données projet'!$B$9,Paramètres!$A$1:$I$89,5,0)</f>
        <v>-3.4583536034915594E-13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190.74210845597287</v>
      </c>
      <c r="T113" s="59">
        <f t="shared" si="88"/>
        <v>131.88015896015884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141.83777813213419</v>
      </c>
      <c r="AA113" s="21">
        <f>EXP(-LN(2)/25)*AA112+(1-EXP(-LN(2)/25))/(LN(2)/25)*Calculateur!V113*Calculateur!X113*VLOOKUP('Données projet'!$B$9,Paramètres!$A$1:$I$89,3,0)*0.475*44/12</f>
        <v>31.841901445362971</v>
      </c>
      <c r="AB113" s="21">
        <f>EXP(-LN(2)/2)*AB112+(1-EXP(-LN(2)/2))/(LN(2)/2)*V113*Y113*VLOOKUP('Données projet'!$B$9,Paramètres!$A$1:$I$89,3,0)*0.475*44/12</f>
        <v>0.97356667186591428</v>
      </c>
      <c r="AC113" s="22">
        <f t="shared" si="57"/>
        <v>174.65324624936306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-6.3550942286383367E-14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278.5296012747549</v>
      </c>
      <c r="AO113" s="59">
        <f t="shared" si="90"/>
        <v>370.55343097937077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76.264452568725986</v>
      </c>
      <c r="AV113" s="21">
        <f>EXP(-LN(2)/25)*AV112+(1-EXP(-LN(2)/25))/(LN(2)/25)*Calculateur!AQ113*Calculateur!AS113*VLOOKUP('Données projet'!$B$10,Paramètres!$A$1:$I$89,3,0)*0.475*44/12</f>
        <v>12.53759965304134</v>
      </c>
      <c r="AW113" s="21">
        <f>EXP(-LN(2)/2)*AW112+(1-EXP(-LN(2)/2))/(LN(2)/2)*AQ113*AT113*VLOOKUP('Données projet'!$B$10,Paramètres!$A$1:$I$89,3,0)*0.475*44/12</f>
        <v>1.7997391309949077E-7</v>
      </c>
      <c r="AX113" s="21">
        <f t="shared" si="60"/>
        <v>88.802052401741236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4.273076923076923</v>
      </c>
      <c r="BD113" s="12">
        <f>IF('Données projet'!$A$88&gt;35,BD112+BC113-BL112,IF(A113&lt;'Données projet'!$A$88,$BA$205^A113,IF(A113='Données projet'!$A$88,'Données projet'!$B$88,BD112+BC113-BL112)))</f>
        <v>284.32692307692326</v>
      </c>
      <c r="BE113" s="13">
        <f>BD113*VLOOKUP('Données projet'!$B$11,Paramètres!$A$1:$I$89,3,0)*VLOOKUP('Données projet'!$B$11,Paramètres!$A$1:$I$89,5,0)</f>
        <v>133.06500000000008</v>
      </c>
      <c r="BF113" s="13">
        <f t="shared" si="91"/>
        <v>34.703627444480645</v>
      </c>
      <c r="BG113" s="20">
        <f t="shared" si="61"/>
        <v>292.19702613247063</v>
      </c>
      <c r="BH113" s="59">
        <f t="shared" si="62"/>
        <v>585.53035946580394</v>
      </c>
      <c r="BI113" s="59">
        <f ca="1">AVERAGE(OFFSET($BH$3,0,0,'Données projet'!$E$11+1,1))-AVERAGE(OFFSET($H$3,0,0,'Données projet'!$E$11+1,1))</f>
        <v>111.85541298746966</v>
      </c>
      <c r="BJ113" s="59">
        <f t="shared" si="92"/>
        <v>27.56942482401746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22.523491060555486</v>
      </c>
      <c r="BQ113" s="21">
        <f>EXP(-LN(2)/25)*BQ112+(1-EXP(-LN(2)/25))/(LN(2)/25)*Calculateur!BL113*Calculateur!BN113*VLOOKUP('Données projet'!$B$11,Paramètres!$A$1:$I$89,3,0)*0.475*44/12</f>
        <v>8.9327461322816539</v>
      </c>
      <c r="BR113" s="21">
        <f>EXP(-LN(2)/2)*BR112+(1-EXP(-LN(2)/2))/(LN(2)/2)*BL113*BO113*VLOOKUP('Données projet'!$B$11,Paramètres!$A$1:$I$89,3,0)*0.475*44/12</f>
        <v>9.7629866326098422E-2</v>
      </c>
      <c r="BS113" s="22">
        <f t="shared" si="63"/>
        <v>31.553867059163238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253.62423410951334</v>
      </c>
      <c r="CE113" s="59">
        <f t="shared" si="94"/>
        <v>230.93438491511529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95.316823827342859</v>
      </c>
      <c r="CL113" s="21">
        <f>EXP(-LN(2)/25)*CL112+(1-EXP(-LN(2)/25))/(LN(2)/25)*Calculateur!CG113*Calculateur!CI113*VLOOKUP('Données projet'!$B$12,Paramètres!$A$1:$I$89,3,0)*0.475*44/12</f>
        <v>18.285053388713791</v>
      </c>
      <c r="CM113" s="21">
        <f>EXP(-LN(2)/2)*CM112+(1-EXP(-LN(2)/2))/(LN(2)/2)*CG113*CJ113*VLOOKUP('Données projet'!$B$12,Paramètres!$A$1:$I$89,3,0)*0.475*44/12</f>
        <v>3.7987098987925042E-5</v>
      </c>
      <c r="CN113" s="22">
        <f t="shared" si="66"/>
        <v>113.60191520315564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-7.3896444519050419E-13</v>
      </c>
      <c r="O114" s="13">
        <f>N114*VLOOKUP('Données projet'!$B$9,Paramètres!$A$1:$I$89,3,0)*VLOOKUP('Données projet'!$B$9,Paramètres!$A$1:$I$89,5,0)</f>
        <v>-3.4583536034915594E-13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190.74210845597287</v>
      </c>
      <c r="T114" s="59">
        <f t="shared" si="88"/>
        <v>131.88015896015884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139.0564258154653</v>
      </c>
      <c r="AA114" s="21">
        <f>EXP(-LN(2)/25)*AA113+(1-EXP(-LN(2)/25))/(LN(2)/25)*Calculateur!V114*Calculateur!X114*VLOOKUP('Données projet'!$B$9,Paramètres!$A$1:$I$89,3,0)*0.475*44/12</f>
        <v>30.971182975846698</v>
      </c>
      <c r="AB114" s="21">
        <f>EXP(-LN(2)/2)*AB113+(1-EXP(-LN(2)/2))/(LN(2)/2)*V114*Y114*VLOOKUP('Données projet'!$B$9,Paramètres!$A$1:$I$89,3,0)*0.475*44/12</f>
        <v>0.68841559561360643</v>
      </c>
      <c r="AC114" s="22">
        <f t="shared" si="57"/>
        <v>170.7160243869256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-6.3550942286383367E-14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278.5296012747549</v>
      </c>
      <c r="AO114" s="59">
        <f t="shared" si="90"/>
        <v>370.55343097937077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74.768953170576196</v>
      </c>
      <c r="AV114" s="21">
        <f>EXP(-LN(2)/25)*AV113+(1-EXP(-LN(2)/25))/(LN(2)/25)*Calculateur!AQ114*Calculateur!AS114*VLOOKUP('Données projet'!$B$10,Paramètres!$A$1:$I$89,3,0)*0.475*44/12</f>
        <v>12.194758331205215</v>
      </c>
      <c r="AW114" s="21">
        <f>EXP(-LN(2)/2)*AW113+(1-EXP(-LN(2)/2))/(LN(2)/2)*AQ114*AT114*VLOOKUP('Données projet'!$B$10,Paramètres!$A$1:$I$89,3,0)*0.475*44/12</f>
        <v>1.2726077438932834E-7</v>
      </c>
      <c r="AX114" s="21">
        <f t="shared" si="60"/>
        <v>86.96371162904218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4.273076923076923</v>
      </c>
      <c r="BD114" s="12">
        <f>IF('Données projet'!$A$88&gt;35,BD113+BC114-BL113,IF(A114&lt;'Données projet'!$A$88,$BA$205^A114,IF(A114='Données projet'!$A$88,'Données projet'!$B$88,BD113+BC114-BL113)))</f>
        <v>288.60000000000019</v>
      </c>
      <c r="BE114" s="13">
        <f>BD114*VLOOKUP('Données projet'!$B$11,Paramètres!$A$1:$I$89,3,0)*VLOOKUP('Données projet'!$B$11,Paramètres!$A$1:$I$89,5,0)</f>
        <v>135.0648000000001</v>
      </c>
      <c r="BF114" s="13">
        <f t="shared" si="91"/>
        <v>35.164069923019127</v>
      </c>
      <c r="BG114" s="20">
        <f t="shared" si="61"/>
        <v>296.48194844925848</v>
      </c>
      <c r="BH114" s="59">
        <f t="shared" si="62"/>
        <v>589.8152817825918</v>
      </c>
      <c r="BI114" s="59">
        <f ca="1">AVERAGE(OFFSET($BH$3,0,0,'Données projet'!$E$11+1,1))-AVERAGE(OFFSET($H$3,0,0,'Données projet'!$E$11+1,1))</f>
        <v>111.85541298746966</v>
      </c>
      <c r="BJ114" s="59">
        <f t="shared" si="92"/>
        <v>27.56942482401746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22.081819138831026</v>
      </c>
      <c r="BQ114" s="21">
        <f>EXP(-LN(2)/25)*BQ113+(1-EXP(-LN(2)/25))/(LN(2)/25)*Calculateur!BL114*Calculateur!BN114*VLOOKUP('Données projet'!$B$11,Paramètres!$A$1:$I$89,3,0)*0.475*44/12</f>
        <v>8.6884797195417089</v>
      </c>
      <c r="BR114" s="21">
        <f>EXP(-LN(2)/2)*BR113+(1-EXP(-LN(2)/2))/(LN(2)/2)*BL114*BO114*VLOOKUP('Données projet'!$B$11,Paramètres!$A$1:$I$89,3,0)*0.475*44/12</f>
        <v>6.9034740525520361E-2</v>
      </c>
      <c r="BS114" s="22">
        <f t="shared" si="63"/>
        <v>30.839333598898254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253.62423410951334</v>
      </c>
      <c r="CE114" s="59">
        <f t="shared" si="94"/>
        <v>230.93438491511529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93.447719049610598</v>
      </c>
      <c r="CL114" s="21">
        <f>EXP(-LN(2)/25)*CL113+(1-EXP(-LN(2)/25))/(LN(2)/25)*Calculateur!CG114*Calculateur!CI114*VLOOKUP('Données projet'!$B$12,Paramètres!$A$1:$I$89,3,0)*0.475*44/12</f>
        <v>17.785047642230246</v>
      </c>
      <c r="CM114" s="21">
        <f>EXP(-LN(2)/2)*CM113+(1-EXP(-LN(2)/2))/(LN(2)/2)*CG114*CJ114*VLOOKUP('Données projet'!$B$12,Paramètres!$A$1:$I$89,3,0)*0.475*44/12</f>
        <v>2.6860935291966434E-5</v>
      </c>
      <c r="CN114" s="22">
        <f t="shared" si="66"/>
        <v>111.23279355277614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-7.3896444519050419E-13</v>
      </c>
      <c r="O115" s="13">
        <f>N115*VLOOKUP('Données projet'!$B$9,Paramètres!$A$1:$I$89,3,0)*VLOOKUP('Données projet'!$B$9,Paramètres!$A$1:$I$89,5,0)</f>
        <v>-3.4583536034915594E-13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190.74210845597287</v>
      </c>
      <c r="T115" s="59">
        <f t="shared" si="88"/>
        <v>131.88015896015884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136.32961412126889</v>
      </c>
      <c r="AA115" s="21">
        <f>EXP(-LN(2)/25)*AA114+(1-EXP(-LN(2)/25))/(LN(2)/25)*Calculateur!V115*Calculateur!X115*VLOOKUP('Données projet'!$B$9,Paramètres!$A$1:$I$89,3,0)*0.475*44/12</f>
        <v>30.124274348668443</v>
      </c>
      <c r="AB115" s="21">
        <f>EXP(-LN(2)/2)*AB114+(1-EXP(-LN(2)/2))/(LN(2)/2)*V115*Y115*VLOOKUP('Données projet'!$B$9,Paramètres!$A$1:$I$89,3,0)*0.475*44/12</f>
        <v>0.48678333593295725</v>
      </c>
      <c r="AC115" s="22">
        <f t="shared" si="57"/>
        <v>166.94067180587029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-6.3550942286383367E-14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278.5296012747549</v>
      </c>
      <c r="AO115" s="59">
        <f t="shared" si="90"/>
        <v>370.55343097937077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73.302779603459555</v>
      </c>
      <c r="AV115" s="21">
        <f>EXP(-LN(2)/25)*AV114+(1-EXP(-LN(2)/25))/(LN(2)/25)*Calculateur!AQ115*Calculateur!AS115*VLOOKUP('Données projet'!$B$10,Paramètres!$A$1:$I$89,3,0)*0.475*44/12</f>
        <v>11.861292023343939</v>
      </c>
      <c r="AW115" s="21">
        <f>EXP(-LN(2)/2)*AW114+(1-EXP(-LN(2)/2))/(LN(2)/2)*AQ115*AT115*VLOOKUP('Données projet'!$B$10,Paramètres!$A$1:$I$89,3,0)*0.475*44/12</f>
        <v>8.9986956549745383E-8</v>
      </c>
      <c r="AX115" s="21">
        <f t="shared" si="60"/>
        <v>85.164071716790446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4.273076923076923</v>
      </c>
      <c r="BD115" s="12">
        <f>IF('Données projet'!$A$88&gt;35,BD114+BC115-BL114,IF(A115&lt;'Données projet'!$A$88,$BA$205^A115,IF(A115='Données projet'!$A$88,'Données projet'!$B$88,BD114+BC115-BL114)))</f>
        <v>292.87307692307712</v>
      </c>
      <c r="BE115" s="13">
        <f>BD115*VLOOKUP('Données projet'!$B$11,Paramètres!$A$1:$I$89,3,0)*VLOOKUP('Données projet'!$B$11,Paramètres!$A$1:$I$89,5,0)</f>
        <v>137.0646000000001</v>
      </c>
      <c r="BF115" s="13">
        <f t="shared" si="91"/>
        <v>35.623719507180027</v>
      </c>
      <c r="BG115" s="20">
        <f t="shared" si="61"/>
        <v>300.76548980833871</v>
      </c>
      <c r="BH115" s="59">
        <f t="shared" si="62"/>
        <v>594.09882314167203</v>
      </c>
      <c r="BI115" s="59">
        <f ca="1">AVERAGE(OFFSET($BH$3,0,0,'Données projet'!$E$11+1,1))-AVERAGE(OFFSET($H$3,0,0,'Données projet'!$E$11+1,1))</f>
        <v>111.85541298746966</v>
      </c>
      <c r="BJ115" s="59">
        <f t="shared" si="92"/>
        <v>27.56942482401746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21.648808134098314</v>
      </c>
      <c r="BQ115" s="21">
        <f>EXP(-LN(2)/25)*BQ114+(1-EXP(-LN(2)/25))/(LN(2)/25)*Calculateur!BL115*Calculateur!BN115*VLOOKUP('Données projet'!$B$11,Paramètres!$A$1:$I$89,3,0)*0.475*44/12</f>
        <v>8.4508927847035498</v>
      </c>
      <c r="BR115" s="21">
        <f>EXP(-LN(2)/2)*BR114+(1-EXP(-LN(2)/2))/(LN(2)/2)*BL115*BO115*VLOOKUP('Données projet'!$B$11,Paramètres!$A$1:$I$89,3,0)*0.475*44/12</f>
        <v>4.8814933163049211E-2</v>
      </c>
      <c r="BS115" s="22">
        <f t="shared" si="63"/>
        <v>30.148515851964916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253.62423410951334</v>
      </c>
      <c r="CE115" s="59">
        <f t="shared" si="94"/>
        <v>230.93438491511529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91.615266276528317</v>
      </c>
      <c r="CL115" s="21">
        <f>EXP(-LN(2)/25)*CL114+(1-EXP(-LN(2)/25))/(LN(2)/25)*Calculateur!CG115*Calculateur!CI115*VLOOKUP('Données projet'!$B$12,Paramètres!$A$1:$I$89,3,0)*0.475*44/12</f>
        <v>17.298714579178451</v>
      </c>
      <c r="CM115" s="21">
        <f>EXP(-LN(2)/2)*CM114+(1-EXP(-LN(2)/2))/(LN(2)/2)*CG115*CJ115*VLOOKUP('Données projet'!$B$12,Paramètres!$A$1:$I$89,3,0)*0.475*44/12</f>
        <v>1.8993549493962521E-5</v>
      </c>
      <c r="CN115" s="22">
        <f t="shared" si="66"/>
        <v>108.91399984925626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-7.3896444519050419E-13</v>
      </c>
      <c r="O116" s="13">
        <f>N116*VLOOKUP('Données projet'!$B$9,Paramètres!$A$1:$I$89,3,0)*VLOOKUP('Données projet'!$B$9,Paramètres!$A$1:$I$89,5,0)</f>
        <v>-3.4583536034915594E-13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190.74210845597287</v>
      </c>
      <c r="T116" s="59">
        <f t="shared" si="88"/>
        <v>131.88015896015884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133.65627354120477</v>
      </c>
      <c r="AA116" s="21">
        <f>EXP(-LN(2)/25)*AA115+(1-EXP(-LN(2)/25))/(LN(2)/25)*Calculateur!V116*Calculateur!X116*VLOOKUP('Données projet'!$B$9,Paramètres!$A$1:$I$89,3,0)*0.475*44/12</f>
        <v>29.300524482437368</v>
      </c>
      <c r="AB116" s="21">
        <f>EXP(-LN(2)/2)*AB115+(1-EXP(-LN(2)/2))/(LN(2)/2)*V116*Y116*VLOOKUP('Données projet'!$B$9,Paramètres!$A$1:$I$89,3,0)*0.475*44/12</f>
        <v>0.34420779780680327</v>
      </c>
      <c r="AC116" s="22">
        <f t="shared" si="57"/>
        <v>163.30100582144894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-6.3550942286383367E-14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278.5296012747549</v>
      </c>
      <c r="AO116" s="59">
        <f t="shared" si="90"/>
        <v>370.55343097937077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71.865356805716502</v>
      </c>
      <c r="AV116" s="21">
        <f>EXP(-LN(2)/25)*AV115+(1-EXP(-LN(2)/25))/(LN(2)/25)*Calculateur!AQ116*Calculateur!AS116*VLOOKUP('Données projet'!$B$10,Paramètres!$A$1:$I$89,3,0)*0.475*44/12</f>
        <v>11.536944369207362</v>
      </c>
      <c r="AW116" s="21">
        <f>EXP(-LN(2)/2)*AW115+(1-EXP(-LN(2)/2))/(LN(2)/2)*AQ116*AT116*VLOOKUP('Données projet'!$B$10,Paramètres!$A$1:$I$89,3,0)*0.475*44/12</f>
        <v>6.3630387194664168E-8</v>
      </c>
      <c r="AX116" s="21">
        <f t="shared" si="60"/>
        <v>83.402301238554244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4.273076923076923</v>
      </c>
      <c r="BD116" s="12">
        <f>IF('Données projet'!$A$88&gt;35,BD115+BC116-BL115,IF(A116&lt;'Données projet'!$A$88,$BA$205^A116,IF(A116='Données projet'!$A$88,'Données projet'!$B$88,BD115+BC116-BL115)))</f>
        <v>297.14615384615405</v>
      </c>
      <c r="BE116" s="13">
        <f>BD116*VLOOKUP('Données projet'!$B$11,Paramètres!$A$1:$I$89,3,0)*VLOOKUP('Données projet'!$B$11,Paramètres!$A$1:$I$89,5,0)</f>
        <v>139.06440000000009</v>
      </c>
      <c r="BF116" s="13">
        <f t="shared" si="91"/>
        <v>36.082589101984382</v>
      </c>
      <c r="BG116" s="20">
        <f t="shared" si="61"/>
        <v>305.04767268595623</v>
      </c>
      <c r="BH116" s="59">
        <f t="shared" si="62"/>
        <v>598.38100601928954</v>
      </c>
      <c r="BI116" s="59">
        <f ca="1">AVERAGE(OFFSET($BH$3,0,0,'Données projet'!$E$11+1,1))-AVERAGE(OFFSET($H$3,0,0,'Données projet'!$E$11+1,1))</f>
        <v>111.85541298746966</v>
      </c>
      <c r="BJ116" s="59">
        <f t="shared" si="92"/>
        <v>27.56942482401746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21.224288211057775</v>
      </c>
      <c r="BQ116" s="21">
        <f>EXP(-LN(2)/25)*BQ115+(1-EXP(-LN(2)/25))/(LN(2)/25)*Calculateur!BL116*Calculateur!BN116*VLOOKUP('Données projet'!$B$11,Paramètres!$A$1:$I$89,3,0)*0.475*44/12</f>
        <v>8.2198026770926944</v>
      </c>
      <c r="BR116" s="21">
        <f>EXP(-LN(2)/2)*BR115+(1-EXP(-LN(2)/2))/(LN(2)/2)*BL116*BO116*VLOOKUP('Données projet'!$B$11,Paramètres!$A$1:$I$89,3,0)*0.475*44/12</f>
        <v>3.451737026276018E-2</v>
      </c>
      <c r="BS116" s="22">
        <f t="shared" si="63"/>
        <v>29.478608258413232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253.62423410951334</v>
      </c>
      <c r="CE116" s="59">
        <f t="shared" si="94"/>
        <v>230.93438491511529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89.818746784640354</v>
      </c>
      <c r="CL116" s="21">
        <f>EXP(-LN(2)/25)*CL115+(1-EXP(-LN(2)/25))/(LN(2)/25)*Calculateur!CG116*Calculateur!CI116*VLOOKUP('Données projet'!$B$12,Paramètres!$A$1:$I$89,3,0)*0.475*44/12</f>
        <v>16.825680319310955</v>
      </c>
      <c r="CM116" s="21">
        <f>EXP(-LN(2)/2)*CM115+(1-EXP(-LN(2)/2))/(LN(2)/2)*CG116*CJ116*VLOOKUP('Données projet'!$B$12,Paramètres!$A$1:$I$89,3,0)*0.475*44/12</f>
        <v>1.3430467645983217E-5</v>
      </c>
      <c r="CN116" s="22">
        <f t="shared" si="66"/>
        <v>106.64444053441895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-7.3896444519050419E-13</v>
      </c>
      <c r="O117" s="13">
        <f>N117*VLOOKUP('Données projet'!$B$9,Paramètres!$A$1:$I$89,3,0)*VLOOKUP('Données projet'!$B$9,Paramètres!$A$1:$I$89,5,0)</f>
        <v>-3.4583536034915594E-13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190.74210845597287</v>
      </c>
      <c r="T117" s="59">
        <f t="shared" si="88"/>
        <v>131.88015896015884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131.03535553933895</v>
      </c>
      <c r="AA117" s="21">
        <f>EXP(-LN(2)/25)*AA116+(1-EXP(-LN(2)/25))/(LN(2)/25)*Calculateur!V117*Calculateur!X117*VLOOKUP('Données projet'!$B$9,Paramètres!$A$1:$I$89,3,0)*0.475*44/12</f>
        <v>28.499300099617503</v>
      </c>
      <c r="AB117" s="21">
        <f>EXP(-LN(2)/2)*AB116+(1-EXP(-LN(2)/2))/(LN(2)/2)*V117*Y117*VLOOKUP('Données projet'!$B$9,Paramètres!$A$1:$I$89,3,0)*0.475*44/12</f>
        <v>0.24339166796647865</v>
      </c>
      <c r="AC117" s="22">
        <f t="shared" si="57"/>
        <v>159.77804730692293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-6.3550942286383367E-14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278.5296012747549</v>
      </c>
      <c r="AO117" s="59">
        <f t="shared" si="90"/>
        <v>370.55343097937077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70.456120992295851</v>
      </c>
      <c r="AV117" s="21">
        <f>EXP(-LN(2)/25)*AV116+(1-EXP(-LN(2)/25))/(LN(2)/25)*Calculateur!AQ117*Calculateur!AS117*VLOOKUP('Données projet'!$B$10,Paramètres!$A$1:$I$89,3,0)*0.475*44/12</f>
        <v>11.221466018729849</v>
      </c>
      <c r="AW117" s="21">
        <f>EXP(-LN(2)/2)*AW116+(1-EXP(-LN(2)/2))/(LN(2)/2)*AQ117*AT117*VLOOKUP('Données projet'!$B$10,Paramètres!$A$1:$I$89,3,0)*0.475*44/12</f>
        <v>4.4993478274872691E-8</v>
      </c>
      <c r="AX117" s="21">
        <f t="shared" si="60"/>
        <v>81.677587056019192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4.273076923076923</v>
      </c>
      <c r="BD117" s="12">
        <f>IF('Données projet'!$A$88&gt;35,BD116+BC117-BL116,IF(A117&lt;'Données projet'!$A$88,$BA$205^A117,IF(A117='Données projet'!$A$88,'Données projet'!$B$88,BD116+BC117-BL116)))</f>
        <v>301.41923076923098</v>
      </c>
      <c r="BE117" s="13">
        <f>BD117*VLOOKUP('Données projet'!$B$11,Paramètres!$A$1:$I$89,3,0)*VLOOKUP('Données projet'!$B$11,Paramètres!$A$1:$I$89,5,0)</f>
        <v>141.06420000000008</v>
      </c>
      <c r="BF117" s="13">
        <f t="shared" si="91"/>
        <v>36.540691219981724</v>
      </c>
      <c r="BG117" s="20">
        <f t="shared" si="61"/>
        <v>309.32851887480166</v>
      </c>
      <c r="BH117" s="59">
        <f t="shared" si="62"/>
        <v>602.66185220813497</v>
      </c>
      <c r="BI117" s="59">
        <f ca="1">AVERAGE(OFFSET($BH$3,0,0,'Données projet'!$E$11+1,1))-AVERAGE(OFFSET($H$3,0,0,'Données projet'!$E$11+1,1))</f>
        <v>111.85541298746966</v>
      </c>
      <c r="BJ117" s="59">
        <f t="shared" si="92"/>
        <v>27.56942482401746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20.808092864776476</v>
      </c>
      <c r="BQ117" s="21">
        <f>EXP(-LN(2)/25)*BQ116+(1-EXP(-LN(2)/25))/(LN(2)/25)*Calculateur!BL117*Calculateur!BN117*VLOOKUP('Données projet'!$B$11,Paramètres!$A$1:$I$89,3,0)*0.475*44/12</f>
        <v>7.9950317406269589</v>
      </c>
      <c r="BR117" s="21">
        <f>EXP(-LN(2)/2)*BR116+(1-EXP(-LN(2)/2))/(LN(2)/2)*BL117*BO117*VLOOKUP('Données projet'!$B$11,Paramètres!$A$1:$I$89,3,0)*0.475*44/12</f>
        <v>2.4407466581524605E-2</v>
      </c>
      <c r="BS117" s="22">
        <f t="shared" si="63"/>
        <v>28.827532071984962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253.62423410951334</v>
      </c>
      <c r="CE117" s="59">
        <f t="shared" si="94"/>
        <v>230.93438491511529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88.057455944219626</v>
      </c>
      <c r="CL117" s="21">
        <f>EXP(-LN(2)/25)*CL116+(1-EXP(-LN(2)/25))/(LN(2)/25)*Calculateur!CG117*Calculateur!CI117*VLOOKUP('Données projet'!$B$12,Paramètres!$A$1:$I$89,3,0)*0.475*44/12</f>
        <v>16.365581206155323</v>
      </c>
      <c r="CM117" s="21">
        <f>EXP(-LN(2)/2)*CM116+(1-EXP(-LN(2)/2))/(LN(2)/2)*CG117*CJ117*VLOOKUP('Données projet'!$B$12,Paramètres!$A$1:$I$89,3,0)*0.475*44/12</f>
        <v>9.4967747469812605E-6</v>
      </c>
      <c r="CN117" s="22">
        <f t="shared" si="66"/>
        <v>104.4230466471497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-7.3896444519050419E-13</v>
      </c>
      <c r="O118" s="13">
        <f>N118*VLOOKUP('Données projet'!$B$9,Paramètres!$A$1:$I$89,3,0)*VLOOKUP('Données projet'!$B$9,Paramètres!$A$1:$I$89,5,0)</f>
        <v>-3.4583536034915594E-13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190.74210845597287</v>
      </c>
      <c r="T118" s="59">
        <f t="shared" si="88"/>
        <v>131.88015896015884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128.46583214088758</v>
      </c>
      <c r="AA118" s="21">
        <f>EXP(-LN(2)/25)*AA117+(1-EXP(-LN(2)/25))/(LN(2)/25)*Calculateur!V118*Calculateur!X118*VLOOKUP('Données projet'!$B$9,Paramètres!$A$1:$I$89,3,0)*0.475*44/12</f>
        <v>27.719985239680408</v>
      </c>
      <c r="AB118" s="21">
        <f>EXP(-LN(2)/2)*AB117+(1-EXP(-LN(2)/2))/(LN(2)/2)*V118*Y118*VLOOKUP('Données projet'!$B$9,Paramètres!$A$1:$I$89,3,0)*0.475*44/12</f>
        <v>0.17210389890340166</v>
      </c>
      <c r="AC118" s="22">
        <f t="shared" si="57"/>
        <v>156.35792127947138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-6.3550942286383367E-14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278.5296012747549</v>
      </c>
      <c r="AO118" s="59">
        <f t="shared" si="90"/>
        <v>370.55343097937077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69.074519433627401</v>
      </c>
      <c r="AV118" s="21">
        <f>EXP(-LN(2)/25)*AV117+(1-EXP(-LN(2)/25))/(LN(2)/25)*Calculateur!AQ118*Calculateur!AS118*VLOOKUP('Données projet'!$B$10,Paramètres!$A$1:$I$89,3,0)*0.475*44/12</f>
        <v>10.914614440336431</v>
      </c>
      <c r="AW118" s="21">
        <f>EXP(-LN(2)/2)*AW117+(1-EXP(-LN(2)/2))/(LN(2)/2)*AQ118*AT118*VLOOKUP('Données projet'!$B$10,Paramètres!$A$1:$I$89,3,0)*0.475*44/12</f>
        <v>3.1815193597332084E-8</v>
      </c>
      <c r="AX118" s="21">
        <f t="shared" si="60"/>
        <v>79.989133905779028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4.273076923076923</v>
      </c>
      <c r="BD118" s="12">
        <f>IF('Données projet'!$A$88&gt;35,BD117+BC118-BL117,IF(A118&lt;'Données projet'!$A$88,$BA$205^A118,IF(A118='Données projet'!$A$88,'Données projet'!$B$88,BD117+BC118-BL117)))</f>
        <v>305.69230769230791</v>
      </c>
      <c r="BE118" s="13">
        <f>BD118*VLOOKUP('Données projet'!$B$11,Paramètres!$A$1:$I$89,3,0)*VLOOKUP('Données projet'!$B$11,Paramètres!$A$1:$I$89,5,0)</f>
        <v>143.06400000000011</v>
      </c>
      <c r="BF118" s="13">
        <f t="shared" si="91"/>
        <v>36.99803799857709</v>
      </c>
      <c r="BG118" s="20">
        <f t="shared" si="61"/>
        <v>313.60804951418856</v>
      </c>
      <c r="BH118" s="59">
        <f t="shared" si="62"/>
        <v>606.94138284752194</v>
      </c>
      <c r="BI118" s="59">
        <f ca="1">AVERAGE(OFFSET($BH$3,0,0,'Données projet'!$E$11+1,1))-AVERAGE(OFFSET($H$3,0,0,'Données projet'!$E$11+1,1))</f>
        <v>111.85541298746966</v>
      </c>
      <c r="BJ118" s="59">
        <f t="shared" si="92"/>
        <v>27.56942482401746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20.400058855381658</v>
      </c>
      <c r="BQ118" s="21">
        <f>EXP(-LN(2)/25)*BQ117+(1-EXP(-LN(2)/25))/(LN(2)/25)*Calculateur!BL118*Calculateur!BN118*VLOOKUP('Données projet'!$B$11,Paramètres!$A$1:$I$89,3,0)*0.475*44/12</f>
        <v>7.7764071772390686</v>
      </c>
      <c r="BR118" s="21">
        <f>EXP(-LN(2)/2)*BR117+(1-EXP(-LN(2)/2))/(LN(2)/2)*BL118*BO118*VLOOKUP('Données projet'!$B$11,Paramètres!$A$1:$I$89,3,0)*0.475*44/12</f>
        <v>1.725868513138009E-2</v>
      </c>
      <c r="BS118" s="22">
        <f t="shared" si="63"/>
        <v>28.193724717752108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253.62423410951334</v>
      </c>
      <c r="CE118" s="59">
        <f t="shared" si="94"/>
        <v>230.93438491511529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86.330702942898213</v>
      </c>
      <c r="CL118" s="21">
        <f>EXP(-LN(2)/25)*CL117+(1-EXP(-LN(2)/25))/(LN(2)/25)*Calculateur!CG118*Calculateur!CI118*VLOOKUP('Données projet'!$B$12,Paramètres!$A$1:$I$89,3,0)*0.475*44/12</f>
        <v>15.918063527444493</v>
      </c>
      <c r="CM118" s="21">
        <f>EXP(-LN(2)/2)*CM117+(1-EXP(-LN(2)/2))/(LN(2)/2)*CG118*CJ118*VLOOKUP('Données projet'!$B$12,Paramètres!$A$1:$I$89,3,0)*0.475*44/12</f>
        <v>6.7152338229916085E-6</v>
      </c>
      <c r="CN118" s="22">
        <f t="shared" si="66"/>
        <v>102.24877318557652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-7.3896444519050419E-13</v>
      </c>
      <c r="O119" s="13">
        <f>N119*VLOOKUP('Données projet'!$B$9,Paramètres!$A$1:$I$89,3,0)*VLOOKUP('Données projet'!$B$9,Paramètres!$A$1:$I$89,5,0)</f>
        <v>-3.4583536034915594E-13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190.74210845597287</v>
      </c>
      <c r="T119" s="59">
        <f t="shared" si="88"/>
        <v>131.88015896015884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125.94669552902533</v>
      </c>
      <c r="AA119" s="21">
        <f>EXP(-LN(2)/25)*AA118+(1-EXP(-LN(2)/25))/(LN(2)/25)*Calculateur!V119*Calculateur!X119*VLOOKUP('Données projet'!$B$9,Paramètres!$A$1:$I$89,3,0)*0.475*44/12</f>
        <v>26.961980785570677</v>
      </c>
      <c r="AB119" s="21">
        <f>EXP(-LN(2)/2)*AB118+(1-EXP(-LN(2)/2))/(LN(2)/2)*V119*Y119*VLOOKUP('Données projet'!$B$9,Paramètres!$A$1:$I$89,3,0)*0.475*44/12</f>
        <v>0.12169583398323934</v>
      </c>
      <c r="AC119" s="22">
        <f t="shared" si="57"/>
        <v>153.03037214857926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-6.3550942286383367E-14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278.5296012747549</v>
      </c>
      <c r="AO119" s="59">
        <f t="shared" si="90"/>
        <v>370.55343097937077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67.720010238830696</v>
      </c>
      <c r="AV119" s="21">
        <f>EXP(-LN(2)/25)*AV118+(1-EXP(-LN(2)/25))/(LN(2)/25)*Calculateur!AQ119*Calculateur!AS119*VLOOKUP('Données projet'!$B$10,Paramètres!$A$1:$I$89,3,0)*0.475*44/12</f>
        <v>10.616153734490803</v>
      </c>
      <c r="AW119" s="21">
        <f>EXP(-LN(2)/2)*AW118+(1-EXP(-LN(2)/2))/(LN(2)/2)*AQ119*AT119*VLOOKUP('Données projet'!$B$10,Paramètres!$A$1:$I$89,3,0)*0.475*44/12</f>
        <v>2.2496739137436346E-8</v>
      </c>
      <c r="AX119" s="21">
        <f t="shared" si="60"/>
        <v>78.336163995818239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4.273076923076923</v>
      </c>
      <c r="BD119" s="12">
        <f>IF('Données projet'!$A$88&gt;35,BD118+BC119-BL118,IF(A119&lt;'Données projet'!$A$88,$BA$205^A119,IF(A119='Données projet'!$A$88,'Données projet'!$B$88,BD118+BC119-BL118)))</f>
        <v>309.96538461538483</v>
      </c>
      <c r="BE119" s="13">
        <f>BD119*VLOOKUP('Données projet'!$B$11,Paramètres!$A$1:$I$89,3,0)*VLOOKUP('Données projet'!$B$11,Paramètres!$A$1:$I$89,5,0)</f>
        <v>145.0638000000001</v>
      </c>
      <c r="BF119" s="13">
        <f t="shared" si="91"/>
        <v>37.454641216362205</v>
      </c>
      <c r="BG119" s="20">
        <f t="shared" si="61"/>
        <v>317.88628511849771</v>
      </c>
      <c r="BH119" s="59">
        <f t="shared" si="62"/>
        <v>611.21961845183102</v>
      </c>
      <c r="BI119" s="59">
        <f ca="1">AVERAGE(OFFSET($BH$3,0,0,'Données projet'!$E$11+1,1))-AVERAGE(OFFSET($H$3,0,0,'Données projet'!$E$11+1,1))</f>
        <v>111.85541298746966</v>
      </c>
      <c r="BJ119" s="59">
        <f t="shared" si="92"/>
        <v>27.56942482401746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20.000026144034901</v>
      </c>
      <c r="BQ119" s="21">
        <f>EXP(-LN(2)/25)*BQ118+(1-EXP(-LN(2)/25))/(LN(2)/25)*Calculateur!BL119*Calculateur!BN119*VLOOKUP('Données projet'!$B$11,Paramètres!$A$1:$I$89,3,0)*0.475*44/12</f>
        <v>7.5637609140339856</v>
      </c>
      <c r="BR119" s="21">
        <f>EXP(-LN(2)/2)*BR118+(1-EXP(-LN(2)/2))/(LN(2)/2)*BL119*BO119*VLOOKUP('Données projet'!$B$11,Paramètres!$A$1:$I$89,3,0)*0.475*44/12</f>
        <v>1.2203733290762303E-2</v>
      </c>
      <c r="BS119" s="22">
        <f t="shared" si="63"/>
        <v>27.575990791359647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253.62423410951334</v>
      </c>
      <c r="CE119" s="59">
        <f t="shared" si="94"/>
        <v>230.93438491511529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84.637810514717373</v>
      </c>
      <c r="CL119" s="21">
        <f>EXP(-LN(2)/25)*CL118+(1-EXP(-LN(2)/25))/(LN(2)/25)*Calculateur!CG119*Calculateur!CI119*VLOOKUP('Données projet'!$B$12,Paramètres!$A$1:$I$89,3,0)*0.475*44/12</f>
        <v>15.482783243191944</v>
      </c>
      <c r="CM119" s="21">
        <f>EXP(-LN(2)/2)*CM118+(1-EXP(-LN(2)/2))/(LN(2)/2)*CG119*CJ119*VLOOKUP('Données projet'!$B$12,Paramètres!$A$1:$I$89,3,0)*0.475*44/12</f>
        <v>4.7483873734906303E-6</v>
      </c>
      <c r="CN119" s="22">
        <f t="shared" si="66"/>
        <v>100.12059850629669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-7.3896444519050419E-13</v>
      </c>
      <c r="O120" s="13">
        <f>N120*VLOOKUP('Données projet'!$B$9,Paramètres!$A$1:$I$89,3,0)*VLOOKUP('Données projet'!$B$9,Paramètres!$A$1:$I$89,5,0)</f>
        <v>-3.4583536034915594E-13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190.74210845597287</v>
      </c>
      <c r="T120" s="59">
        <f t="shared" si="88"/>
        <v>131.88015896015884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123.47695764960008</v>
      </c>
      <c r="AA120" s="21">
        <f>EXP(-LN(2)/25)*AA119+(1-EXP(-LN(2)/25))/(LN(2)/25)*Calculateur!V120*Calculateur!X120*VLOOKUP('Données projet'!$B$9,Paramètres!$A$1:$I$89,3,0)*0.475*44/12</f>
        <v>26.224704003120301</v>
      </c>
      <c r="AB120" s="21">
        <f>EXP(-LN(2)/2)*AB119+(1-EXP(-LN(2)/2))/(LN(2)/2)*V120*Y120*VLOOKUP('Données projet'!$B$9,Paramètres!$A$1:$I$89,3,0)*0.475*44/12</f>
        <v>8.6051949451700846E-2</v>
      </c>
      <c r="AC120" s="22">
        <f t="shared" si="57"/>
        <v>149.78771360217209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-6.3550942286383367E-14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278.5296012747549</v>
      </c>
      <c r="AO120" s="59">
        <f t="shared" si="90"/>
        <v>370.55343097937077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66.392062143174925</v>
      </c>
      <c r="AV120" s="21">
        <f>EXP(-LN(2)/25)*AV119+(1-EXP(-LN(2)/25))/(LN(2)/25)*Calculateur!AQ120*Calculateur!AS120*VLOOKUP('Données projet'!$B$10,Paramètres!$A$1:$I$89,3,0)*0.475*44/12</f>
        <v>10.32585445234189</v>
      </c>
      <c r="AW120" s="21">
        <f>EXP(-LN(2)/2)*AW119+(1-EXP(-LN(2)/2))/(LN(2)/2)*AQ120*AT120*VLOOKUP('Données projet'!$B$10,Paramètres!$A$1:$I$89,3,0)*0.475*44/12</f>
        <v>1.5907596798666042E-8</v>
      </c>
      <c r="AX120" s="21">
        <f t="shared" si="60"/>
        <v>76.717916611424414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4.273076923076923</v>
      </c>
      <c r="BD120" s="12">
        <f>IF('Données projet'!$A$88&gt;35,BD119+BC120-BL119,IF(A120&lt;'Données projet'!$A$88,$BA$205^A120,IF(A120='Données projet'!$A$88,'Données projet'!$B$88,BD119+BC120-BL119)))</f>
        <v>314.23846153846176</v>
      </c>
      <c r="BE120" s="13">
        <f>BD120*VLOOKUP('Données projet'!$B$11,Paramètres!$A$1:$I$89,3,0)*VLOOKUP('Données projet'!$B$11,Paramètres!$A$1:$I$89,5,0)</f>
        <v>147.06360000000009</v>
      </c>
      <c r="BF120" s="13">
        <f t="shared" si="91"/>
        <v>37.910512308519969</v>
      </c>
      <c r="BG120" s="20">
        <f t="shared" si="61"/>
        <v>322.16324560400574</v>
      </c>
      <c r="BH120" s="59">
        <f t="shared" si="62"/>
        <v>615.49657893733911</v>
      </c>
      <c r="BI120" s="59">
        <f ca="1">AVERAGE(OFFSET($BH$3,0,0,'Données projet'!$E$11+1,1))-AVERAGE(OFFSET($H$3,0,0,'Données projet'!$E$11+1,1))</f>
        <v>111.85541298746966</v>
      </c>
      <c r="BJ120" s="59">
        <f t="shared" si="92"/>
        <v>27.56942482401746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19.607837830161792</v>
      </c>
      <c r="BQ120" s="21">
        <f>EXP(-LN(2)/25)*BQ119+(1-EXP(-LN(2)/25))/(LN(2)/25)*Calculateur!BL120*Calculateur!BN120*VLOOKUP('Données projet'!$B$11,Paramètres!$A$1:$I$89,3,0)*0.475*44/12</f>
        <v>7.3569294740788269</v>
      </c>
      <c r="BR120" s="21">
        <f>EXP(-LN(2)/2)*BR119+(1-EXP(-LN(2)/2))/(LN(2)/2)*BL120*BO120*VLOOKUP('Données projet'!$B$11,Paramètres!$A$1:$I$89,3,0)*0.475*44/12</f>
        <v>8.6293425656900451E-3</v>
      </c>
      <c r="BS120" s="22">
        <f t="shared" si="63"/>
        <v>26.973396646806307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253.62423410951334</v>
      </c>
      <c r="CE120" s="59">
        <f t="shared" si="94"/>
        <v>230.93438491511529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82.97811467449074</v>
      </c>
      <c r="CL120" s="21">
        <f>EXP(-LN(2)/25)*CL119+(1-EXP(-LN(2)/25))/(LN(2)/25)*Calculateur!CG120*Calculateur!CI120*VLOOKUP('Données projet'!$B$12,Paramètres!$A$1:$I$89,3,0)*0.475*44/12</f>
        <v>15.059405721202676</v>
      </c>
      <c r="CM120" s="21">
        <f>EXP(-LN(2)/2)*CM119+(1-EXP(-LN(2)/2))/(LN(2)/2)*CG120*CJ120*VLOOKUP('Données projet'!$B$12,Paramètres!$A$1:$I$89,3,0)*0.475*44/12</f>
        <v>3.3576169114958043E-6</v>
      </c>
      <c r="CN120" s="22">
        <f t="shared" si="66"/>
        <v>98.037523753310325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-7.3896444519050419E-13</v>
      </c>
      <c r="O121" s="13">
        <f>N121*VLOOKUP('Données projet'!$B$9,Paramètres!$A$1:$I$89,3,0)*VLOOKUP('Données projet'!$B$9,Paramètres!$A$1:$I$89,5,0)</f>
        <v>-3.4583536034915594E-13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190.74210845597287</v>
      </c>
      <c r="T121" s="59">
        <f t="shared" si="88"/>
        <v>131.88015896015884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121.055649823599</v>
      </c>
      <c r="AA121" s="21">
        <f>EXP(-LN(2)/25)*AA120+(1-EXP(-LN(2)/25))/(LN(2)/25)*Calculateur!V121*Calculateur!X121*VLOOKUP('Données projet'!$B$9,Paramètres!$A$1:$I$89,3,0)*0.475*44/12</f>
        <v>25.507588093057731</v>
      </c>
      <c r="AB121" s="21">
        <f>EXP(-LN(2)/2)*AB120+(1-EXP(-LN(2)/2))/(LN(2)/2)*V121*Y121*VLOOKUP('Données projet'!$B$9,Paramètres!$A$1:$I$89,3,0)*0.475*44/12</f>
        <v>6.0847916991619684E-2</v>
      </c>
      <c r="AC121" s="22">
        <f t="shared" si="57"/>
        <v>146.62408583364837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-6.3550942286383367E-14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278.5296012747549</v>
      </c>
      <c r="AO121" s="59">
        <f t="shared" si="90"/>
        <v>370.55343097937077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65.090154299706612</v>
      </c>
      <c r="AV121" s="21">
        <f>EXP(-LN(2)/25)*AV120+(1-EXP(-LN(2)/25))/(LN(2)/25)*Calculateur!AQ121*Calculateur!AS121*VLOOKUP('Données projet'!$B$10,Paramètres!$A$1:$I$89,3,0)*0.475*44/12</f>
        <v>10.043493419329515</v>
      </c>
      <c r="AW121" s="21">
        <f>EXP(-LN(2)/2)*AW120+(1-EXP(-LN(2)/2))/(LN(2)/2)*AQ121*AT121*VLOOKUP('Données projet'!$B$10,Paramètres!$A$1:$I$89,3,0)*0.475*44/12</f>
        <v>1.1248369568718173E-8</v>
      </c>
      <c r="AX121" s="21">
        <f t="shared" si="60"/>
        <v>75.133647730284508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4.273076923076923</v>
      </c>
      <c r="BD121" s="12">
        <f>IF('Données projet'!$A$88&gt;35,BD120+BC121-BL120,IF(A121&lt;'Données projet'!$A$88,$BA$205^A121,IF(A121='Données projet'!$A$88,'Données projet'!$B$88,BD120+BC121-BL120)))</f>
        <v>318.51153846153869</v>
      </c>
      <c r="BE121" s="13">
        <f>BD121*VLOOKUP('Données projet'!$B$11,Paramètres!$A$1:$I$89,3,0)*VLOOKUP('Données projet'!$B$11,Paramètres!$A$1:$I$89,5,0)</f>
        <v>149.06340000000012</v>
      </c>
      <c r="BF121" s="13">
        <f t="shared" si="91"/>
        <v>38.365662381367819</v>
      </c>
      <c r="BG121" s="20">
        <f t="shared" si="61"/>
        <v>326.43895031421579</v>
      </c>
      <c r="BH121" s="59">
        <f t="shared" si="62"/>
        <v>619.7722836475491</v>
      </c>
      <c r="BI121" s="59">
        <f ca="1">AVERAGE(OFFSET($BH$3,0,0,'Données projet'!$E$11+1,1))-AVERAGE(OFFSET($H$3,0,0,'Données projet'!$E$11+1,1))</f>
        <v>111.85541298746966</v>
      </c>
      <c r="BJ121" s="59">
        <f t="shared" si="92"/>
        <v>27.56942482401746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19.223340089912483</v>
      </c>
      <c r="BQ121" s="21">
        <f>EXP(-LN(2)/25)*BQ120+(1-EXP(-LN(2)/25))/(LN(2)/25)*Calculateur!BL121*Calculateur!BN121*VLOOKUP('Données projet'!$B$11,Paramètres!$A$1:$I$89,3,0)*0.475*44/12</f>
        <v>7.1557538507260352</v>
      </c>
      <c r="BR121" s="21">
        <f>EXP(-LN(2)/2)*BR120+(1-EXP(-LN(2)/2))/(LN(2)/2)*BL121*BO121*VLOOKUP('Données projet'!$B$11,Paramètres!$A$1:$I$89,3,0)*0.475*44/12</f>
        <v>6.1018666453811514E-3</v>
      </c>
      <c r="BS121" s="22">
        <f t="shared" si="63"/>
        <v>26.3851958072839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253.62423410951334</v>
      </c>
      <c r="CE121" s="59">
        <f t="shared" si="94"/>
        <v>230.93438491511529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81.350964457376449</v>
      </c>
      <c r="CL121" s="21">
        <f>EXP(-LN(2)/25)*CL120+(1-EXP(-LN(2)/25))/(LN(2)/25)*Calculateur!CG121*Calculateur!CI121*VLOOKUP('Données projet'!$B$12,Paramètres!$A$1:$I$89,3,0)*0.475*44/12</f>
        <v>14.647605479816662</v>
      </c>
      <c r="CM121" s="21">
        <f>EXP(-LN(2)/2)*CM120+(1-EXP(-LN(2)/2))/(LN(2)/2)*CG121*CJ121*VLOOKUP('Données projet'!$B$12,Paramètres!$A$1:$I$89,3,0)*0.475*44/12</f>
        <v>2.3741936867453151E-6</v>
      </c>
      <c r="CN121" s="22">
        <f t="shared" si="66"/>
        <v>95.998572311386795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-7.3896444519050419E-13</v>
      </c>
      <c r="O122" s="13">
        <f>N122*VLOOKUP('Données projet'!$B$9,Paramètres!$A$1:$I$89,3,0)*VLOOKUP('Données projet'!$B$9,Paramètres!$A$1:$I$89,5,0)</f>
        <v>-3.4583536034915594E-13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190.74210845597287</v>
      </c>
      <c r="T122" s="59">
        <f t="shared" si="88"/>
        <v>131.88015896015884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118.68182236721385</v>
      </c>
      <c r="AA122" s="21">
        <f>EXP(-LN(2)/25)*AA121+(1-EXP(-LN(2)/25))/(LN(2)/25)*Calculateur!V122*Calculateur!X122*VLOOKUP('Données projet'!$B$9,Paramètres!$A$1:$I$89,3,0)*0.475*44/12</f>
        <v>24.810081755267309</v>
      </c>
      <c r="AB122" s="21">
        <f>EXP(-LN(2)/2)*AB121+(1-EXP(-LN(2)/2))/(LN(2)/2)*V122*Y122*VLOOKUP('Données projet'!$B$9,Paramètres!$A$1:$I$89,3,0)*0.475*44/12</f>
        <v>4.302597472585043E-2</v>
      </c>
      <c r="AC122" s="22">
        <f t="shared" si="57"/>
        <v>143.53493009720702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-6.3550942286383367E-14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278.5296012747549</v>
      </c>
      <c r="AO122" s="59">
        <f t="shared" si="90"/>
        <v>370.55343097937077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63.813776074963336</v>
      </c>
      <c r="AV122" s="21">
        <f>EXP(-LN(2)/25)*AV121+(1-EXP(-LN(2)/25))/(LN(2)/25)*Calculateur!AQ122*Calculateur!AS122*VLOOKUP('Données projet'!$B$10,Paramètres!$A$1:$I$89,3,0)*0.475*44/12</f>
        <v>9.7688535636135843</v>
      </c>
      <c r="AW122" s="21">
        <f>EXP(-LN(2)/2)*AW121+(1-EXP(-LN(2)/2))/(LN(2)/2)*AQ122*AT122*VLOOKUP('Données projet'!$B$10,Paramètres!$A$1:$I$89,3,0)*0.475*44/12</f>
        <v>7.953798399333021E-9</v>
      </c>
      <c r="AX122" s="21">
        <f t="shared" si="60"/>
        <v>73.582629646530719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322.78461538461539</v>
      </c>
      <c r="BB122" s="12">
        <f>VLOOKUP(A122,'Données projet'!$A$87:$I$107,9,0)</f>
        <v>4.273076923076923</v>
      </c>
      <c r="BC122" s="12">
        <f t="array" ref="BC122">INDEX(BB:BB,MIN(IF(ISNUMBER(BB122:BB318),ROW(BB122:BB318),"")))</f>
        <v>4.273076923076923</v>
      </c>
      <c r="BD122" s="12">
        <f>IF('Données projet'!$A$88&gt;35,BD121+BC122-BL121,IF(A122&lt;'Données projet'!$A$88,$BA$205^A122,IF(A122='Données projet'!$A$88,'Données projet'!$B$88,BD121+BC122-BL121)))</f>
        <v>322.78461538461562</v>
      </c>
      <c r="BE122" s="13">
        <f>BD122*VLOOKUP('Données projet'!$B$11,Paramètres!$A$1:$I$89,3,0)*VLOOKUP('Données projet'!$B$11,Paramètres!$A$1:$I$89,5,0)</f>
        <v>151.06320000000011</v>
      </c>
      <c r="BF122" s="13">
        <f t="shared" si="91"/>
        <v>38.820102226097937</v>
      </c>
      <c r="BG122" s="20">
        <f t="shared" si="61"/>
        <v>330.71341804378739</v>
      </c>
      <c r="BH122" s="59">
        <f t="shared" si="62"/>
        <v>624.0467513771207</v>
      </c>
      <c r="BI122" s="59">
        <f ca="1">AVERAGE(OFFSET($BH$3,0,0,'Données projet'!$E$11+1,1))-AVERAGE(OFFSET($H$3,0,0,'Données projet'!$E$11+1,1))</f>
        <v>111.85541298746966</v>
      </c>
      <c r="BJ122" s="59">
        <f t="shared" si="92"/>
        <v>27.56942482401746</v>
      </c>
      <c r="BK122" s="15">
        <f>IF(ISNA(VLOOKUP(A122,'Données projet'!$A$87:$I$107,3,0)),0,VLOOKUP(A122,'Données projet'!$A$87:$I$107,3,0))</f>
        <v>4</v>
      </c>
      <c r="BL122" s="15">
        <f>IF(ISNA(VLOOKUP(A122,'Données projet'!$A$87:$I$107,4,0)),0,VLOOKUP(A122,'Données projet'!$A$87:$I$107,4,0))</f>
        <v>59.215384615384615</v>
      </c>
      <c r="BM122" s="16">
        <f>IF(ISNA(VLOOKUP(A122,'Données projet'!$A$87:$I$107,5,0)),0%,VLOOKUP(A122,'Données projet'!$A$87:$I$107,5,0)*VLOOKUP('Données projet'!$B$11,Paramètres!$A$1:$I$89,7,0))</f>
        <v>0.38500000000000001</v>
      </c>
      <c r="BN122" s="16">
        <f>IF(ISNA(VLOOKUP(A122,'Données projet'!$A$87:$I$107,6,0)),0%,VLOOKUP(A122,'Données projet'!$A$87:$I$107,6,0)*VLOOKUP('Données projet'!$B$11,Paramètres!$A$1:$I$89,7,0))</f>
        <v>9.240000000000001E-2</v>
      </c>
      <c r="BO122" s="16">
        <f>IF(ISNA(VLOOKUP(A122,'Données projet'!$A$87:$I$107,7,0)),0%,VLOOKUP(A122,'Données projet'!$A$87:$I$107,7,0))</f>
        <v>0.13200000000000001</v>
      </c>
      <c r="BP122" s="21">
        <f>EXP(-LN(2)/35)*BP121+(1-EXP(-LN(2)/35))/(LN(2)/35)*BL122*BM122*VLOOKUP('Données projet'!$B$11,Paramètres!$A$1:$I$89,3,0)*0.475*44/12</f>
        <v>33.00006606050038</v>
      </c>
      <c r="BQ122" s="21">
        <f>EXP(-LN(2)/25)*BQ121+(1-EXP(-LN(2)/25))/(LN(2)/25)*Calculateur!BL122*Calculateur!BN122*VLOOKUP('Données projet'!$B$11,Paramètres!$A$1:$I$89,3,0)*0.475*44/12</f>
        <v>10.34358870489435</v>
      </c>
      <c r="BR122" s="21">
        <f>EXP(-LN(2)/2)*BR121+(1-EXP(-LN(2)/2))/(LN(2)/2)*BL122*BO122*VLOOKUP('Données projet'!$B$11,Paramètres!$A$1:$I$89,3,0)*0.475*44/12</f>
        <v>4.1461218636485162</v>
      </c>
      <c r="BS122" s="22">
        <f t="shared" si="63"/>
        <v>47.489776629043249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253.62423410951334</v>
      </c>
      <c r="CE122" s="59">
        <f t="shared" si="94"/>
        <v>230.93438491511529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79.75572166355613</v>
      </c>
      <c r="CL122" s="21">
        <f>EXP(-LN(2)/25)*CL121+(1-EXP(-LN(2)/25))/(LN(2)/25)*Calculateur!CG122*Calculateur!CI122*VLOOKUP('Données projet'!$B$12,Paramètres!$A$1:$I$89,3,0)*0.475*44/12</f>
        <v>14.24706593768698</v>
      </c>
      <c r="CM122" s="21">
        <f>EXP(-LN(2)/2)*CM121+(1-EXP(-LN(2)/2))/(LN(2)/2)*CG122*CJ122*VLOOKUP('Données projet'!$B$12,Paramètres!$A$1:$I$89,3,0)*0.475*44/12</f>
        <v>1.6788084557479021E-6</v>
      </c>
      <c r="CN122" s="22">
        <f t="shared" si="66"/>
        <v>94.002789280051573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-7.3896444519050419E-13</v>
      </c>
      <c r="O123" s="13">
        <f>N123*VLOOKUP('Données projet'!$B$9,Paramètres!$A$1:$I$89,3,0)*VLOOKUP('Données projet'!$B$9,Paramètres!$A$1:$I$89,5,0)</f>
        <v>-3.4583536034915594E-13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190.74210845597287</v>
      </c>
      <c r="T123" s="59">
        <f t="shared" si="88"/>
        <v>131.88015896015884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116.35454421935664</v>
      </c>
      <c r="AA123" s="21">
        <f>EXP(-LN(2)/25)*AA122+(1-EXP(-LN(2)/25))/(LN(2)/25)*Calculateur!V123*Calculateur!X123*VLOOKUP('Données projet'!$B$9,Paramètres!$A$1:$I$89,3,0)*0.475*44/12</f>
        <v>24.13164876496403</v>
      </c>
      <c r="AB123" s="21">
        <f>EXP(-LN(2)/2)*AB122+(1-EXP(-LN(2)/2))/(LN(2)/2)*V123*Y123*VLOOKUP('Données projet'!$B$9,Paramètres!$A$1:$I$89,3,0)*0.475*44/12</f>
        <v>3.0423958495809846E-2</v>
      </c>
      <c r="AC123" s="22">
        <f t="shared" si="57"/>
        <v>140.51661694281648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-6.3550942286383367E-14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278.5296012747549</v>
      </c>
      <c r="AO123" s="59">
        <f t="shared" si="90"/>
        <v>370.55343097937077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62.562426848693427</v>
      </c>
      <c r="AV123" s="21">
        <f>EXP(-LN(2)/25)*AV122+(1-EXP(-LN(2)/25))/(LN(2)/25)*Calculateur!AQ123*Calculateur!AS123*VLOOKUP('Données projet'!$B$10,Paramètres!$A$1:$I$89,3,0)*0.475*44/12</f>
        <v>9.5017237491948894</v>
      </c>
      <c r="AW123" s="21">
        <f>EXP(-LN(2)/2)*AW122+(1-EXP(-LN(2)/2))/(LN(2)/2)*AQ123*AT123*VLOOKUP('Données projet'!$B$10,Paramètres!$A$1:$I$89,3,0)*0.475*44/12</f>
        <v>5.6241847843590864E-9</v>
      </c>
      <c r="AX123" s="21">
        <f t="shared" si="60"/>
        <v>72.064150603512502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3.6517948717948721</v>
      </c>
      <c r="BD123" s="12">
        <f>IF('Données projet'!$A$88&gt;35,BD122+BC123-BL122,IF(A123&lt;'Données projet'!$A$88,$BA$205^A123,IF(A123='Données projet'!$A$88,'Données projet'!$B$88,BD122+BC123-BL122)))</f>
        <v>267.2210256410259</v>
      </c>
      <c r="BE123" s="13">
        <f>BD123*VLOOKUP('Données projet'!$B$11,Paramètres!$A$1:$I$89,3,0)*VLOOKUP('Données projet'!$B$11,Paramètres!$A$1:$I$89,5,0)</f>
        <v>125.05944000000014</v>
      </c>
      <c r="BF123" s="13">
        <f t="shared" si="91"/>
        <v>32.852179438328648</v>
      </c>
      <c r="BG123" s="20">
        <f t="shared" si="61"/>
        <v>275.0294038550893</v>
      </c>
      <c r="BH123" s="59">
        <f t="shared" si="62"/>
        <v>568.36273718842267</v>
      </c>
      <c r="BI123" s="59">
        <f ca="1">AVERAGE(OFFSET($BH$3,0,0,'Données projet'!$E$11+1,1))-AVERAGE(OFFSET($H$3,0,0,'Données projet'!$E$11+1,1))</f>
        <v>111.85541298746966</v>
      </c>
      <c r="BJ123" s="59">
        <f t="shared" si="92"/>
        <v>27.56942482401746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32.352954893106784</v>
      </c>
      <c r="BQ123" s="21">
        <f>EXP(-LN(2)/25)*BQ122+(1-EXP(-LN(2)/25))/(LN(2)/25)*Calculateur!BL123*Calculateur!BN123*VLOOKUP('Données projet'!$B$11,Paramètres!$A$1:$I$89,3,0)*0.475*44/12</f>
        <v>10.060742727813324</v>
      </c>
      <c r="BR123" s="21">
        <f>EXP(-LN(2)/2)*BR122+(1-EXP(-LN(2)/2))/(LN(2)/2)*BL123*BO123*VLOOKUP('Données projet'!$B$11,Paramètres!$A$1:$I$89,3,0)*0.475*44/12</f>
        <v>2.9317508854116721</v>
      </c>
      <c r="BS123" s="22">
        <f t="shared" si="63"/>
        <v>45.345448506331778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253.62423410951334</v>
      </c>
      <c r="CE123" s="59">
        <f t="shared" si="94"/>
        <v>230.93438491511529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78.1917606079206</v>
      </c>
      <c r="CL123" s="21">
        <f>EXP(-LN(2)/25)*CL122+(1-EXP(-LN(2)/25))/(LN(2)/25)*Calculateur!CG123*Calculateur!CI123*VLOOKUP('Données projet'!$B$12,Paramètres!$A$1:$I$89,3,0)*0.475*44/12</f>
        <v>13.857479170400294</v>
      </c>
      <c r="CM123" s="21">
        <f>EXP(-LN(2)/2)*CM122+(1-EXP(-LN(2)/2))/(LN(2)/2)*CG123*CJ123*VLOOKUP('Données projet'!$B$12,Paramètres!$A$1:$I$89,3,0)*0.475*44/12</f>
        <v>1.1870968433726576E-6</v>
      </c>
      <c r="CN123" s="22">
        <f t="shared" si="66"/>
        <v>92.049240965417738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-7.3896444519050419E-13</v>
      </c>
      <c r="O124" s="13">
        <f>N124*VLOOKUP('Données projet'!$B$9,Paramètres!$A$1:$I$89,3,0)*VLOOKUP('Données projet'!$B$9,Paramètres!$A$1:$I$89,5,0)</f>
        <v>-3.4583536034915594E-13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190.74210845597287</v>
      </c>
      <c r="T124" s="59">
        <f t="shared" si="88"/>
        <v>131.88015896015884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114.07290257647939</v>
      </c>
      <c r="AA124" s="21">
        <f>EXP(-LN(2)/25)*AA123+(1-EXP(-LN(2)/25))/(LN(2)/25)*Calculateur!V124*Calculateur!X124*VLOOKUP('Données projet'!$B$9,Paramètres!$A$1:$I$89,3,0)*0.475*44/12</f>
        <v>23.471767560457835</v>
      </c>
      <c r="AB124" s="21">
        <f>EXP(-LN(2)/2)*AB123+(1-EXP(-LN(2)/2))/(LN(2)/2)*V124*Y124*VLOOKUP('Données projet'!$B$9,Paramètres!$A$1:$I$89,3,0)*0.475*44/12</f>
        <v>2.1512987362925218E-2</v>
      </c>
      <c r="AC124" s="22">
        <f t="shared" si="57"/>
        <v>137.56618312430015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-6.3550942286383367E-14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278.5296012747549</v>
      </c>
      <c r="AO124" s="59">
        <f t="shared" si="90"/>
        <v>370.55343097937077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61.335615817503005</v>
      </c>
      <c r="AV124" s="21">
        <f>EXP(-LN(2)/25)*AV123+(1-EXP(-LN(2)/25))/(LN(2)/25)*Calculateur!AQ124*Calculateur!AS124*VLOOKUP('Données projet'!$B$10,Paramètres!$A$1:$I$89,3,0)*0.475*44/12</f>
        <v>9.2418986135992203</v>
      </c>
      <c r="AW124" s="21">
        <f>EXP(-LN(2)/2)*AW123+(1-EXP(-LN(2)/2))/(LN(2)/2)*AQ124*AT124*VLOOKUP('Données projet'!$B$10,Paramètres!$A$1:$I$89,3,0)*0.475*44/12</f>
        <v>3.9768991996665105E-9</v>
      </c>
      <c r="AX124" s="21">
        <f t="shared" si="60"/>
        <v>70.577514435079124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3.6517948717948721</v>
      </c>
      <c r="BD124" s="12">
        <f>IF('Données projet'!$A$88&gt;35,BD123+BC124-BL123,IF(A124&lt;'Données projet'!$A$88,$BA$205^A124,IF(A124='Données projet'!$A$88,'Données projet'!$B$88,BD123+BC124-BL123)))</f>
        <v>270.87282051282079</v>
      </c>
      <c r="BE124" s="13">
        <f>BD124*VLOOKUP('Données projet'!$B$11,Paramètres!$A$1:$I$89,3,0)*VLOOKUP('Données projet'!$B$11,Paramètres!$A$1:$I$89,5,0)</f>
        <v>126.76848000000014</v>
      </c>
      <c r="BF124" s="13">
        <f t="shared" si="91"/>
        <v>33.248559529135186</v>
      </c>
      <c r="BG124" s="20">
        <f t="shared" si="61"/>
        <v>278.69634384657735</v>
      </c>
      <c r="BH124" s="59">
        <f t="shared" si="62"/>
        <v>572.02967717991066</v>
      </c>
      <c r="BI124" s="59">
        <f ca="1">AVERAGE(OFFSET($BH$3,0,0,'Données projet'!$E$11+1,1))-AVERAGE(OFFSET($H$3,0,0,'Données projet'!$E$11+1,1))</f>
        <v>111.85541298746966</v>
      </c>
      <c r="BJ124" s="59">
        <f t="shared" si="92"/>
        <v>27.56942482401746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31.718533181006936</v>
      </c>
      <c r="BQ124" s="21">
        <f>EXP(-LN(2)/25)*BQ123+(1-EXP(-LN(2)/25))/(LN(2)/25)*Calculateur!BL124*Calculateur!BN124*VLOOKUP('Données projet'!$B$11,Paramètres!$A$1:$I$89,3,0)*0.475*44/12</f>
        <v>9.785631188849802</v>
      </c>
      <c r="BR124" s="21">
        <f>EXP(-LN(2)/2)*BR123+(1-EXP(-LN(2)/2))/(LN(2)/2)*BL124*BO124*VLOOKUP('Données projet'!$B$11,Paramètres!$A$1:$I$89,3,0)*0.475*44/12</f>
        <v>2.0730609318242581</v>
      </c>
      <c r="BS124" s="22">
        <f t="shared" si="63"/>
        <v>43.577225301680997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253.62423410951334</v>
      </c>
      <c r="CE124" s="59">
        <f t="shared" si="94"/>
        <v>230.93438491511529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76.658467874664026</v>
      </c>
      <c r="CL124" s="21">
        <f>EXP(-LN(2)/25)*CL123+(1-EXP(-LN(2)/25))/(LN(2)/25)*Calculateur!CG124*Calculateur!CI124*VLOOKUP('Données projet'!$B$12,Paramètres!$A$1:$I$89,3,0)*0.475*44/12</f>
        <v>13.47854567375254</v>
      </c>
      <c r="CM124" s="21">
        <f>EXP(-LN(2)/2)*CM123+(1-EXP(-LN(2)/2))/(LN(2)/2)*CG124*CJ124*VLOOKUP('Données projet'!$B$12,Paramètres!$A$1:$I$89,3,0)*0.475*44/12</f>
        <v>8.3940422787395107E-7</v>
      </c>
      <c r="CN124" s="22">
        <f t="shared" si="66"/>
        <v>90.137014387820784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-7.3896444519050419E-13</v>
      </c>
      <c r="O125" s="13">
        <f>N125*VLOOKUP('Données projet'!$B$9,Paramètres!$A$1:$I$89,3,0)*VLOOKUP('Données projet'!$B$9,Paramètres!$A$1:$I$89,5,0)</f>
        <v>-3.4583536034915594E-13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190.74210845597287</v>
      </c>
      <c r="T125" s="59">
        <f t="shared" si="88"/>
        <v>131.88015896015884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111.83600253455499</v>
      </c>
      <c r="AA125" s="21">
        <f>EXP(-LN(2)/25)*AA124+(1-EXP(-LN(2)/25))/(LN(2)/25)*Calculateur!V125*Calculateur!X125*VLOOKUP('Données projet'!$B$9,Paramètres!$A$1:$I$89,3,0)*0.475*44/12</f>
        <v>22.829930842190503</v>
      </c>
      <c r="AB125" s="21">
        <f>EXP(-LN(2)/2)*AB124+(1-EXP(-LN(2)/2))/(LN(2)/2)*V125*Y125*VLOOKUP('Données projet'!$B$9,Paramètres!$A$1:$I$89,3,0)*0.475*44/12</f>
        <v>1.5211979247904926E-2</v>
      </c>
      <c r="AC125" s="22">
        <f t="shared" si="57"/>
        <v>134.68114535599341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-6.3550942286383367E-14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278.5296012747549</v>
      </c>
      <c r="AO125" s="59">
        <f t="shared" si="90"/>
        <v>370.55343097937077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60.132861802353389</v>
      </c>
      <c r="AV125" s="21">
        <f>EXP(-LN(2)/25)*AV124+(1-EXP(-LN(2)/25))/(LN(2)/25)*Calculateur!AQ125*Calculateur!AS125*VLOOKUP('Données projet'!$B$10,Paramètres!$A$1:$I$89,3,0)*0.475*44/12</f>
        <v>8.989178410000024</v>
      </c>
      <c r="AW125" s="21">
        <f>EXP(-LN(2)/2)*AW124+(1-EXP(-LN(2)/2))/(LN(2)/2)*AQ125*AT125*VLOOKUP('Données projet'!$B$10,Paramètres!$A$1:$I$89,3,0)*0.475*44/12</f>
        <v>2.8120923921795432E-9</v>
      </c>
      <c r="AX125" s="21">
        <f t="shared" si="60"/>
        <v>69.122040215165498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3.6517948717948721</v>
      </c>
      <c r="BD125" s="12">
        <f>IF('Données projet'!$A$88&gt;35,BD124+BC125-BL124,IF(A125&lt;'Données projet'!$A$88,$BA$205^A125,IF(A125='Données projet'!$A$88,'Données projet'!$B$88,BD124+BC125-BL124)))</f>
        <v>274.52461538461569</v>
      </c>
      <c r="BE125" s="13">
        <f>BD125*VLOOKUP('Données projet'!$B$11,Paramètres!$A$1:$I$89,3,0)*VLOOKUP('Données projet'!$B$11,Paramètres!$A$1:$I$89,5,0)</f>
        <v>128.47752000000014</v>
      </c>
      <c r="BF125" s="13">
        <f t="shared" si="91"/>
        <v>33.644318065815632</v>
      </c>
      <c r="BG125" s="20">
        <f t="shared" si="61"/>
        <v>282.36220129796249</v>
      </c>
      <c r="BH125" s="59">
        <f t="shared" si="62"/>
        <v>575.6955346312958</v>
      </c>
      <c r="BI125" s="59">
        <f ca="1">AVERAGE(OFFSET($BH$3,0,0,'Données projet'!$E$11+1,1))-AVERAGE(OFFSET($H$3,0,0,'Données projet'!$E$11+1,1))</f>
        <v>111.85541298746966</v>
      </c>
      <c r="BJ125" s="59">
        <f t="shared" si="92"/>
        <v>27.56942482401746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31.096552091722334</v>
      </c>
      <c r="BQ125" s="21">
        <f>EXP(-LN(2)/25)*BQ124+(1-EXP(-LN(2)/25))/(LN(2)/25)*Calculateur!BL125*Calculateur!BN125*VLOOKUP('Données projet'!$B$11,Paramètres!$A$1:$I$89,3,0)*0.475*44/12</f>
        <v>9.5180425893867255</v>
      </c>
      <c r="BR125" s="21">
        <f>EXP(-LN(2)/2)*BR124+(1-EXP(-LN(2)/2))/(LN(2)/2)*BL125*BO125*VLOOKUP('Données projet'!$B$11,Paramètres!$A$1:$I$89,3,0)*0.475*44/12</f>
        <v>1.465875442705836</v>
      </c>
      <c r="BS125" s="22">
        <f t="shared" si="63"/>
        <v>42.080470123814898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253.62423410951334</v>
      </c>
      <c r="CE125" s="59">
        <f t="shared" si="94"/>
        <v>230.93438491511529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75.155242076690399</v>
      </c>
      <c r="CL125" s="21">
        <f>EXP(-LN(2)/25)*CL124+(1-EXP(-LN(2)/25))/(LN(2)/25)*Calculateur!CG125*Calculateur!CI125*VLOOKUP('Données projet'!$B$12,Paramètres!$A$1:$I$89,3,0)*0.475*44/12</f>
        <v>13.109974133497866</v>
      </c>
      <c r="CM125" s="21">
        <f>EXP(-LN(2)/2)*CM124+(1-EXP(-LN(2)/2))/(LN(2)/2)*CG125*CJ125*VLOOKUP('Données projet'!$B$12,Paramètres!$A$1:$I$89,3,0)*0.475*44/12</f>
        <v>5.9354842168632878E-7</v>
      </c>
      <c r="CN125" s="22">
        <f t="shared" si="66"/>
        <v>88.265216803736692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-7.3896444519050419E-13</v>
      </c>
      <c r="O126" s="13">
        <f>N126*VLOOKUP('Données projet'!$B$9,Paramètres!$A$1:$I$89,3,0)*VLOOKUP('Données projet'!$B$9,Paramètres!$A$1:$I$89,5,0)</f>
        <v>-3.4583536034915594E-13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190.74210845597287</v>
      </c>
      <c r="T126" s="59">
        <f t="shared" si="88"/>
        <v>131.88015896015884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109.64296673807841</v>
      </c>
      <c r="AA126" s="21">
        <f>EXP(-LN(2)/25)*AA125+(1-EXP(-LN(2)/25))/(LN(2)/25)*Calculateur!V126*Calculateur!X126*VLOOKUP('Données projet'!$B$9,Paramètres!$A$1:$I$89,3,0)*0.475*44/12</f>
        <v>22.205645182736919</v>
      </c>
      <c r="AB126" s="21">
        <f>EXP(-LN(2)/2)*AB125+(1-EXP(-LN(2)/2))/(LN(2)/2)*V126*Y126*VLOOKUP('Données projet'!$B$9,Paramètres!$A$1:$I$89,3,0)*0.475*44/12</f>
        <v>1.0756493681462611E-2</v>
      </c>
      <c r="AC126" s="22">
        <f t="shared" si="57"/>
        <v>131.8593684144968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-6.3550942286383367E-14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278.5296012747549</v>
      </c>
      <c r="AO126" s="59">
        <f t="shared" si="90"/>
        <v>370.55343097937077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58.953693059833341</v>
      </c>
      <c r="AV126" s="21">
        <f>EXP(-LN(2)/25)*AV125+(1-EXP(-LN(2)/25))/(LN(2)/25)*Calculateur!AQ126*Calculateur!AS126*VLOOKUP('Données projet'!$B$10,Paramètres!$A$1:$I$89,3,0)*0.475*44/12</f>
        <v>8.7433688536582252</v>
      </c>
      <c r="AW126" s="21">
        <f>EXP(-LN(2)/2)*AW125+(1-EXP(-LN(2)/2))/(LN(2)/2)*AQ126*AT126*VLOOKUP('Données projet'!$B$10,Paramètres!$A$1:$I$89,3,0)*0.475*44/12</f>
        <v>1.9884495998332552E-9</v>
      </c>
      <c r="AX126" s="21">
        <f t="shared" si="60"/>
        <v>67.69706191548002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3.6517948717948721</v>
      </c>
      <c r="BD126" s="12">
        <f>IF('Données projet'!$A$88&gt;35,BD125+BC126-BL125,IF(A126&lt;'Données projet'!$A$88,$BA$205^A126,IF(A126='Données projet'!$A$88,'Données projet'!$B$88,BD125+BC126-BL125)))</f>
        <v>278.17641025641058</v>
      </c>
      <c r="BE126" s="13">
        <f>BD126*VLOOKUP('Données projet'!$B$11,Paramètres!$A$1:$I$89,3,0)*VLOOKUP('Données projet'!$B$11,Paramètres!$A$1:$I$89,5,0)</f>
        <v>130.18656000000016</v>
      </c>
      <c r="BF126" s="13">
        <f t="shared" si="91"/>
        <v>34.039464272245915</v>
      </c>
      <c r="BG126" s="20">
        <f t="shared" si="61"/>
        <v>286.0269922741619</v>
      </c>
      <c r="BH126" s="59">
        <f t="shared" si="62"/>
        <v>579.36032560749527</v>
      </c>
      <c r="BI126" s="59">
        <f ca="1">AVERAGE(OFFSET($BH$3,0,0,'Données projet'!$E$11+1,1))-AVERAGE(OFFSET($H$3,0,0,'Données projet'!$E$11+1,1))</f>
        <v>111.85541298746966</v>
      </c>
      <c r="BJ126" s="59">
        <f t="shared" si="92"/>
        <v>27.56942482401746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30.486767672227597</v>
      </c>
      <c r="BQ126" s="21">
        <f>EXP(-LN(2)/25)*BQ125+(1-EXP(-LN(2)/25))/(LN(2)/25)*Calculateur!BL126*Calculateur!BN126*VLOOKUP('Données projet'!$B$11,Paramètres!$A$1:$I$89,3,0)*0.475*44/12</f>
        <v>9.257771214247839</v>
      </c>
      <c r="BR126" s="21">
        <f>EXP(-LN(2)/2)*BR125+(1-EXP(-LN(2)/2))/(LN(2)/2)*BL126*BO126*VLOOKUP('Données projet'!$B$11,Paramètres!$A$1:$I$89,3,0)*0.475*44/12</f>
        <v>1.0365304659121291</v>
      </c>
      <c r="BS126" s="22">
        <f t="shared" si="63"/>
        <v>40.781069352387568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253.62423410951334</v>
      </c>
      <c r="CE126" s="59">
        <f t="shared" si="94"/>
        <v>230.93438491511529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73.681493619737822</v>
      </c>
      <c r="CL126" s="21">
        <f>EXP(-LN(2)/25)*CL125+(1-EXP(-LN(2)/25))/(LN(2)/25)*Calculateur!CG126*Calculateur!CI126*VLOOKUP('Données projet'!$B$12,Paramètres!$A$1:$I$89,3,0)*0.475*44/12</f>
        <v>12.751481201393791</v>
      </c>
      <c r="CM126" s="21">
        <f>EXP(-LN(2)/2)*CM125+(1-EXP(-LN(2)/2))/(LN(2)/2)*CG126*CJ126*VLOOKUP('Données projet'!$B$12,Paramètres!$A$1:$I$89,3,0)*0.475*44/12</f>
        <v>4.1970211393697553E-7</v>
      </c>
      <c r="CN126" s="22">
        <f t="shared" si="66"/>
        <v>86.432975240833727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-7.3896444519050419E-13</v>
      </c>
      <c r="O127" s="13">
        <f>N127*VLOOKUP('Données projet'!$B$9,Paramètres!$A$1:$I$89,3,0)*VLOOKUP('Données projet'!$B$9,Paramètres!$A$1:$I$89,5,0)</f>
        <v>-3.4583536034915594E-13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190.74210845597287</v>
      </c>
      <c r="T127" s="59">
        <f t="shared" si="88"/>
        <v>131.88015896015884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107.49293503595099</v>
      </c>
      <c r="AA127" s="21">
        <f>EXP(-LN(2)/25)*AA126+(1-EXP(-LN(2)/25))/(LN(2)/25)*Calculateur!V127*Calculateur!X127*VLOOKUP('Données projet'!$B$9,Paramètres!$A$1:$I$89,3,0)*0.475*44/12</f>
        <v>21.598430647470849</v>
      </c>
      <c r="AB127" s="21">
        <f>EXP(-LN(2)/2)*AB126+(1-EXP(-LN(2)/2))/(LN(2)/2)*V127*Y127*VLOOKUP('Données projet'!$B$9,Paramètres!$A$1:$I$89,3,0)*0.475*44/12</f>
        <v>7.605989623952464E-3</v>
      </c>
      <c r="AC127" s="22">
        <f t="shared" si="57"/>
        <v>129.09897167304578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-6.3550942286383367E-14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278.5296012747549</v>
      </c>
      <c r="AO127" s="59">
        <f t="shared" si="90"/>
        <v>370.55343097937077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57.797647097132199</v>
      </c>
      <c r="AV127" s="21">
        <f>EXP(-LN(2)/25)*AV126+(1-EXP(-LN(2)/25))/(LN(2)/25)*Calculateur!AQ127*Calculateur!AS127*VLOOKUP('Données projet'!$B$10,Paramètres!$A$1:$I$89,3,0)*0.475*44/12</f>
        <v>8.5042809725611566</v>
      </c>
      <c r="AW127" s="21">
        <f>EXP(-LN(2)/2)*AW126+(1-EXP(-LN(2)/2))/(LN(2)/2)*AQ127*AT127*VLOOKUP('Données projet'!$B$10,Paramètres!$A$1:$I$89,3,0)*0.475*44/12</f>
        <v>1.4060461960897716E-9</v>
      </c>
      <c r="AX127" s="21">
        <f t="shared" si="60"/>
        <v>66.301928071099411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3.6517948717948721</v>
      </c>
      <c r="BD127" s="12">
        <f>IF('Données projet'!$A$88&gt;35,BD126+BC127-BL126,IF(A127&lt;'Données projet'!$A$88,$BA$205^A127,IF(A127='Données projet'!$A$88,'Données projet'!$B$88,BD126+BC127-BL126)))</f>
        <v>281.82820512820547</v>
      </c>
      <c r="BE127" s="13">
        <f>BD127*VLOOKUP('Données projet'!$B$11,Paramètres!$A$1:$I$89,3,0)*VLOOKUP('Données projet'!$B$11,Paramètres!$A$1:$I$89,5,0)</f>
        <v>131.89560000000014</v>
      </c>
      <c r="BF127" s="13">
        <f t="shared" si="91"/>
        <v>34.434007116206082</v>
      </c>
      <c r="BG127" s="20">
        <f t="shared" si="61"/>
        <v>289.69073239405918</v>
      </c>
      <c r="BH127" s="59">
        <f t="shared" si="62"/>
        <v>583.02406572739255</v>
      </c>
      <c r="BI127" s="59">
        <f ca="1">AVERAGE(OFFSET($BH$3,0,0,'Données projet'!$E$11+1,1))-AVERAGE(OFFSET($H$3,0,0,'Données projet'!$E$11+1,1))</f>
        <v>111.85541298746966</v>
      </c>
      <c r="BJ127" s="59">
        <f t="shared" si="92"/>
        <v>27.56942482401746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29.888940753267381</v>
      </c>
      <c r="BQ127" s="21">
        <f>EXP(-LN(2)/25)*BQ126+(1-EXP(-LN(2)/25))/(LN(2)/25)*Calculateur!BL127*Calculateur!BN127*VLOOKUP('Données projet'!$B$11,Paramètres!$A$1:$I$89,3,0)*0.475*44/12</f>
        <v>9.0046169735492025</v>
      </c>
      <c r="BR127" s="21">
        <f>EXP(-LN(2)/2)*BR126+(1-EXP(-LN(2)/2))/(LN(2)/2)*BL127*BO127*VLOOKUP('Données projet'!$B$11,Paramètres!$A$1:$I$89,3,0)*0.475*44/12</f>
        <v>0.73293772135291801</v>
      </c>
      <c r="BS127" s="22">
        <f t="shared" si="63"/>
        <v>39.6264954481695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253.62423410951334</v>
      </c>
      <c r="CE127" s="59">
        <f t="shared" si="94"/>
        <v>230.93438491511529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72.236644471128287</v>
      </c>
      <c r="CL127" s="21">
        <f>EXP(-LN(2)/25)*CL126+(1-EXP(-LN(2)/25))/(LN(2)/25)*Calculateur!CG127*Calculateur!CI127*VLOOKUP('Données projet'!$B$12,Paramètres!$A$1:$I$89,3,0)*0.475*44/12</f>
        <v>12.402791277370424</v>
      </c>
      <c r="CM127" s="21">
        <f>EXP(-LN(2)/2)*CM126+(1-EXP(-LN(2)/2))/(LN(2)/2)*CG127*CJ127*VLOOKUP('Données projet'!$B$12,Paramètres!$A$1:$I$89,3,0)*0.475*44/12</f>
        <v>2.9677421084316439E-7</v>
      </c>
      <c r="CN127" s="22">
        <f t="shared" si="66"/>
        <v>84.63943604527293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-7.3896444519050419E-13</v>
      </c>
      <c r="O128" s="13">
        <f>N128*VLOOKUP('Données projet'!$B$9,Paramètres!$A$1:$I$89,3,0)*VLOOKUP('Données projet'!$B$9,Paramètres!$A$1:$I$89,5,0)</f>
        <v>-3.4583536034915594E-13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190.74210845597287</v>
      </c>
      <c r="T128" s="59">
        <f t="shared" si="88"/>
        <v>131.88015896015884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105.38506414411243</v>
      </c>
      <c r="AA128" s="21">
        <f>EXP(-LN(2)/25)*AA127+(1-EXP(-LN(2)/25))/(LN(2)/25)*Calculateur!V128*Calculateur!X128*VLOOKUP('Données projet'!$B$9,Paramètres!$A$1:$I$89,3,0)*0.475*44/12</f>
        <v>21.007820425603654</v>
      </c>
      <c r="AB128" s="21">
        <f>EXP(-LN(2)/2)*AB127+(1-EXP(-LN(2)/2))/(LN(2)/2)*V128*Y128*VLOOKUP('Données projet'!$B$9,Paramètres!$A$1:$I$89,3,0)*0.475*44/12</f>
        <v>5.3782468407313063E-3</v>
      </c>
      <c r="AC128" s="22">
        <f t="shared" si="57"/>
        <v>126.39826281655682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-6.3550942286383367E-14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278.5296012747549</v>
      </c>
      <c r="AO128" s="59">
        <f t="shared" si="90"/>
        <v>370.55343097937077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56.664270490641215</v>
      </c>
      <c r="AV128" s="21">
        <f>EXP(-LN(2)/25)*AV127+(1-EXP(-LN(2)/25))/(LN(2)/25)*Calculateur!AQ128*Calculateur!AS128*VLOOKUP('Données projet'!$B$10,Paramètres!$A$1:$I$89,3,0)*0.475*44/12</f>
        <v>8.2717309621457726</v>
      </c>
      <c r="AW128" s="21">
        <f>EXP(-LN(2)/2)*AW127+(1-EXP(-LN(2)/2))/(LN(2)/2)*AQ128*AT128*VLOOKUP('Données projet'!$B$10,Paramètres!$A$1:$I$89,3,0)*0.475*44/12</f>
        <v>9.9422479991662762E-10</v>
      </c>
      <c r="AX128" s="21">
        <f t="shared" si="60"/>
        <v>64.936001453781202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3.6517948717948721</v>
      </c>
      <c r="BD128" s="12">
        <f>IF('Données projet'!$A$88&gt;35,BD127+BC128-BL127,IF(A128&lt;'Données projet'!$A$88,$BA$205^A128,IF(A128='Données projet'!$A$88,'Données projet'!$B$88,BD127+BC128-BL127)))</f>
        <v>285.48000000000036</v>
      </c>
      <c r="BE128" s="13">
        <f>BD128*VLOOKUP('Données projet'!$B$11,Paramètres!$A$1:$I$89,3,0)*VLOOKUP('Données projet'!$B$11,Paramètres!$A$1:$I$89,5,0)</f>
        <v>133.60464000000019</v>
      </c>
      <c r="BF128" s="13">
        <f t="shared" si="91"/>
        <v>34.827955319714818</v>
      </c>
      <c r="BG128" s="20">
        <f t="shared" si="61"/>
        <v>293.35343684850363</v>
      </c>
      <c r="BH128" s="59">
        <f t="shared" si="62"/>
        <v>586.68677018183689</v>
      </c>
      <c r="BI128" s="59">
        <f ca="1">AVERAGE(OFFSET($BH$3,0,0,'Données projet'!$E$11+1,1))-AVERAGE(OFFSET($H$3,0,0,'Données projet'!$E$11+1,1))</f>
        <v>111.85541298746966</v>
      </c>
      <c r="BJ128" s="59">
        <f t="shared" si="92"/>
        <v>27.56942482401746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29.302836855549558</v>
      </c>
      <c r="BQ128" s="21">
        <f>EXP(-LN(2)/25)*BQ127+(1-EXP(-LN(2)/25))/(LN(2)/25)*Calculateur!BL128*Calculateur!BN128*VLOOKUP('Données projet'!$B$11,Paramètres!$A$1:$I$89,3,0)*0.475*44/12</f>
        <v>8.7583852488752729</v>
      </c>
      <c r="BR128" s="21">
        <f>EXP(-LN(2)/2)*BR127+(1-EXP(-LN(2)/2))/(LN(2)/2)*BL128*BO128*VLOOKUP('Données projet'!$B$11,Paramètres!$A$1:$I$89,3,0)*0.475*44/12</f>
        <v>0.51826523295606453</v>
      </c>
      <c r="BS128" s="22">
        <f t="shared" si="63"/>
        <v>38.57948733738089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253.62423410951334</v>
      </c>
      <c r="CE128" s="59">
        <f t="shared" si="94"/>
        <v>230.93438491511529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70.820127933052021</v>
      </c>
      <c r="CL128" s="21">
        <f>EXP(-LN(2)/25)*CL127+(1-EXP(-LN(2)/25))/(LN(2)/25)*Calculateur!CG128*Calculateur!CI128*VLOOKUP('Données projet'!$B$12,Paramètres!$A$1:$I$89,3,0)*0.475*44/12</f>
        <v>12.063636297656284</v>
      </c>
      <c r="CM128" s="21">
        <f>EXP(-LN(2)/2)*CM127+(1-EXP(-LN(2)/2))/(LN(2)/2)*CG128*CJ128*VLOOKUP('Données projet'!$B$12,Paramètres!$A$1:$I$89,3,0)*0.475*44/12</f>
        <v>2.0985105696848777E-7</v>
      </c>
      <c r="CN128" s="22">
        <f t="shared" si="66"/>
        <v>82.883764440559361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-7.3896444519050419E-13</v>
      </c>
      <c r="O129" s="13">
        <f>N129*VLOOKUP('Données projet'!$B$9,Paramètres!$A$1:$I$89,3,0)*VLOOKUP('Données projet'!$B$9,Paramètres!$A$1:$I$89,5,0)</f>
        <v>-3.4583536034915594E-13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190.74210845597287</v>
      </c>
      <c r="T129" s="59">
        <f t="shared" si="88"/>
        <v>131.88015896015884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103.31852731478854</v>
      </c>
      <c r="AA129" s="21">
        <f>EXP(-LN(2)/25)*AA128+(1-EXP(-LN(2)/25))/(LN(2)/25)*Calculateur!V129*Calculateur!X129*VLOOKUP('Données projet'!$B$9,Paramètres!$A$1:$I$89,3,0)*0.475*44/12</f>
        <v>20.433360471312259</v>
      </c>
      <c r="AB129" s="21">
        <f>EXP(-LN(2)/2)*AB128+(1-EXP(-LN(2)/2))/(LN(2)/2)*V129*Y129*VLOOKUP('Données projet'!$B$9,Paramètres!$A$1:$I$89,3,0)*0.475*44/12</f>
        <v>3.8029948119762324E-3</v>
      </c>
      <c r="AC129" s="22">
        <f t="shared" si="57"/>
        <v>123.75569078091277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-6.3550942286383367E-14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278.5296012747549</v>
      </c>
      <c r="AO129" s="59">
        <f t="shared" si="90"/>
        <v>370.55343097937077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55.553118708112045</v>
      </c>
      <c r="AV129" s="21">
        <f>EXP(-LN(2)/25)*AV128+(1-EXP(-LN(2)/25))/(LN(2)/25)*Calculateur!AQ129*Calculateur!AS129*VLOOKUP('Données projet'!$B$10,Paramètres!$A$1:$I$89,3,0)*0.475*44/12</f>
        <v>8.0455400439944711</v>
      </c>
      <c r="AW129" s="21">
        <f>EXP(-LN(2)/2)*AW128+(1-EXP(-LN(2)/2))/(LN(2)/2)*AQ129*AT129*VLOOKUP('Données projet'!$B$10,Paramètres!$A$1:$I$89,3,0)*0.475*44/12</f>
        <v>7.030230980448858E-10</v>
      </c>
      <c r="AX129" s="21">
        <f t="shared" si="60"/>
        <v>63.598658752809541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3.6517948717948721</v>
      </c>
      <c r="BD129" s="12">
        <f>IF('Données projet'!$A$88&gt;35,BD128+BC129-BL128,IF(A129&lt;'Données projet'!$A$88,$BA$205^A129,IF(A129='Données projet'!$A$88,'Données projet'!$B$88,BD128+BC129-BL128)))</f>
        <v>289.13179487179525</v>
      </c>
      <c r="BE129" s="13">
        <f>BD129*VLOOKUP('Données projet'!$B$11,Paramètres!$A$1:$I$89,3,0)*VLOOKUP('Données projet'!$B$11,Paramètres!$A$1:$I$89,5,0)</f>
        <v>135.31368000000018</v>
      </c>
      <c r="BF129" s="13">
        <f t="shared" si="91"/>
        <v>35.221317368820515</v>
      </c>
      <c r="BG129" s="20">
        <f t="shared" si="61"/>
        <v>297.01512041736265</v>
      </c>
      <c r="BH129" s="59">
        <f t="shared" si="62"/>
        <v>590.34845375069597</v>
      </c>
      <c r="BI129" s="59">
        <f ca="1">AVERAGE(OFFSET($BH$3,0,0,'Données projet'!$E$11+1,1))-AVERAGE(OFFSET($H$3,0,0,'Données projet'!$E$11+1,1))</f>
        <v>111.85541298746966</v>
      </c>
      <c r="BJ129" s="59">
        <f t="shared" si="92"/>
        <v>27.56942482401746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28.728226097777902</v>
      </c>
      <c r="BQ129" s="21">
        <f>EXP(-LN(2)/25)*BQ128+(1-EXP(-LN(2)/25))/(LN(2)/25)*Calculateur!BL129*Calculateur!BN129*VLOOKUP('Données projet'!$B$11,Paramètres!$A$1:$I$89,3,0)*0.475*44/12</f>
        <v>8.5188867436613158</v>
      </c>
      <c r="BR129" s="21">
        <f>EXP(-LN(2)/2)*BR128+(1-EXP(-LN(2)/2))/(LN(2)/2)*BL129*BO129*VLOOKUP('Données projet'!$B$11,Paramètres!$A$1:$I$89,3,0)*0.475*44/12</f>
        <v>0.36646886067645901</v>
      </c>
      <c r="BS129" s="22">
        <f t="shared" si="63"/>
        <v>37.613581702115674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253.62423410951334</v>
      </c>
      <c r="CE129" s="59">
        <f t="shared" si="94"/>
        <v>230.93438491511529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69.431388420297651</v>
      </c>
      <c r="CL129" s="21">
        <f>EXP(-LN(2)/25)*CL128+(1-EXP(-LN(2)/25))/(LN(2)/25)*Calculateur!CG129*Calculateur!CI129*VLOOKUP('Données projet'!$B$12,Paramètres!$A$1:$I$89,3,0)*0.475*44/12</f>
        <v>11.733755528697813</v>
      </c>
      <c r="CM129" s="21">
        <f>EXP(-LN(2)/2)*CM128+(1-EXP(-LN(2)/2))/(LN(2)/2)*CG129*CJ129*VLOOKUP('Données projet'!$B$12,Paramètres!$A$1:$I$89,3,0)*0.475*44/12</f>
        <v>1.483871054215822E-7</v>
      </c>
      <c r="CN129" s="22">
        <f t="shared" si="66"/>
        <v>81.165144097382566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-7.3896444519050419E-13</v>
      </c>
      <c r="O130" s="13">
        <f>N130*VLOOKUP('Données projet'!$B$9,Paramètres!$A$1:$I$89,3,0)*VLOOKUP('Données projet'!$B$9,Paramètres!$A$1:$I$89,5,0)</f>
        <v>-3.4583536034915594E-13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190.74210845597287</v>
      </c>
      <c r="T130" s="59">
        <f t="shared" si="88"/>
        <v>131.88015896015884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101.29251401222469</v>
      </c>
      <c r="AA130" s="21">
        <f>EXP(-LN(2)/25)*AA129+(1-EXP(-LN(2)/25))/(LN(2)/25)*Calculateur!V130*Calculateur!X130*VLOOKUP('Données projet'!$B$9,Paramètres!$A$1:$I$89,3,0)*0.475*44/12</f>
        <v>19.874609154680499</v>
      </c>
      <c r="AB130" s="21">
        <f>EXP(-LN(2)/2)*AB129+(1-EXP(-LN(2)/2))/(LN(2)/2)*V130*Y130*VLOOKUP('Données projet'!$B$9,Paramètres!$A$1:$I$89,3,0)*0.475*44/12</f>
        <v>2.6891234203656536E-3</v>
      </c>
      <c r="AC130" s="22">
        <f t="shared" si="57"/>
        <v>121.16981229032555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-6.3550942286383367E-14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278.5296012747549</v>
      </c>
      <c r="AO130" s="59">
        <f t="shared" si="90"/>
        <v>370.55343097937077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54.463755934302604</v>
      </c>
      <c r="AV130" s="21">
        <f>EXP(-LN(2)/25)*AV129+(1-EXP(-LN(2)/25))/(LN(2)/25)*Calculateur!AQ130*Calculateur!AS130*VLOOKUP('Données projet'!$B$10,Paramètres!$A$1:$I$89,3,0)*0.475*44/12</f>
        <v>7.8255343283948795</v>
      </c>
      <c r="AW130" s="21">
        <f>EXP(-LN(2)/2)*AW129+(1-EXP(-LN(2)/2))/(LN(2)/2)*AQ130*AT130*VLOOKUP('Données projet'!$B$10,Paramètres!$A$1:$I$89,3,0)*0.475*44/12</f>
        <v>4.9711239995831381E-10</v>
      </c>
      <c r="AX130" s="21">
        <f t="shared" si="60"/>
        <v>62.289290263194594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3.6517948717948721</v>
      </c>
      <c r="BD130" s="12">
        <f>IF('Données projet'!$A$88&gt;35,BD129+BC130-BL129,IF(A130&lt;'Données projet'!$A$88,$BA$205^A130,IF(A130='Données projet'!$A$88,'Données projet'!$B$88,BD129+BC130-BL129)))</f>
        <v>292.78358974359014</v>
      </c>
      <c r="BE130" s="13">
        <f>BD130*VLOOKUP('Données projet'!$B$11,Paramètres!$A$1:$I$89,3,0)*VLOOKUP('Données projet'!$B$11,Paramètres!$A$1:$I$89,5,0)</f>
        <v>137.02272000000019</v>
      </c>
      <c r="BF130" s="13">
        <f t="shared" si="91"/>
        <v>35.614101522883395</v>
      </c>
      <c r="BG130" s="20">
        <f t="shared" si="61"/>
        <v>300.67579748568892</v>
      </c>
      <c r="BH130" s="59">
        <f t="shared" si="62"/>
        <v>594.00913081902218</v>
      </c>
      <c r="BI130" s="59">
        <f ca="1">AVERAGE(OFFSET($BH$3,0,0,'Données projet'!$E$11+1,1))-AVERAGE(OFFSET($H$3,0,0,'Données projet'!$E$11+1,1))</f>
        <v>111.85541298746966</v>
      </c>
      <c r="BJ130" s="59">
        <f t="shared" si="92"/>
        <v>27.56942482401746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28.164883106488194</v>
      </c>
      <c r="BQ130" s="21">
        <f>EXP(-LN(2)/25)*BQ129+(1-EXP(-LN(2)/25))/(LN(2)/25)*Calculateur!BL130*Calculateur!BN130*VLOOKUP('Données projet'!$B$11,Paramètres!$A$1:$I$89,3,0)*0.475*44/12</f>
        <v>8.2859373376671126</v>
      </c>
      <c r="BR130" s="21">
        <f>EXP(-LN(2)/2)*BR129+(1-EXP(-LN(2)/2))/(LN(2)/2)*BL130*BO130*VLOOKUP('Données projet'!$B$11,Paramètres!$A$1:$I$89,3,0)*0.475*44/12</f>
        <v>0.25913261647803226</v>
      </c>
      <c r="BS130" s="22">
        <f t="shared" si="63"/>
        <v>36.709953060633339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253.62423410951334</v>
      </c>
      <c r="CE130" s="59">
        <f t="shared" si="94"/>
        <v>230.93438491511529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68.069881242340941</v>
      </c>
      <c r="CL130" s="21">
        <f>EXP(-LN(2)/25)*CL129+(1-EXP(-LN(2)/25))/(LN(2)/25)*Calculateur!CG130*Calculateur!CI130*VLOOKUP('Données projet'!$B$12,Paramètres!$A$1:$I$89,3,0)*0.475*44/12</f>
        <v>11.412895366714187</v>
      </c>
      <c r="CM130" s="21">
        <f>EXP(-LN(2)/2)*CM129+(1-EXP(-LN(2)/2))/(LN(2)/2)*CG130*CJ130*VLOOKUP('Données projet'!$B$12,Paramètres!$A$1:$I$89,3,0)*0.475*44/12</f>
        <v>1.0492552848424388E-7</v>
      </c>
      <c r="CN130" s="22">
        <f t="shared" si="66"/>
        <v>79.482776713980655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-7.3896444519050419E-13</v>
      </c>
      <c r="O131" s="13">
        <f>N131*VLOOKUP('Données projet'!$B$9,Paramètres!$A$1:$I$89,3,0)*VLOOKUP('Données projet'!$B$9,Paramètres!$A$1:$I$89,5,0)</f>
        <v>-3.4583536034915594E-13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190.74210845597287</v>
      </c>
      <c r="T131" s="59">
        <f t="shared" si="88"/>
        <v>131.88015896015884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99.306229594778003</v>
      </c>
      <c r="AA131" s="21">
        <f>EXP(-LN(2)/25)*AA130+(1-EXP(-LN(2)/25))/(LN(2)/25)*Calculateur!V131*Calculateur!X131*VLOOKUP('Données projet'!$B$9,Paramètres!$A$1:$I$89,3,0)*0.475*44/12</f>
        <v>19.33113692218549</v>
      </c>
      <c r="AB131" s="21">
        <f>EXP(-LN(2)/2)*AB130+(1-EXP(-LN(2)/2))/(LN(2)/2)*V131*Y131*VLOOKUP('Données projet'!$B$9,Paramètres!$A$1:$I$89,3,0)*0.475*44/12</f>
        <v>1.9014974059881166E-3</v>
      </c>
      <c r="AC131" s="22">
        <f t="shared" si="57"/>
        <v>118.63926801436948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-6.3550942286383367E-14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278.5296012747549</v>
      </c>
      <c r="AO131" s="59">
        <f t="shared" si="90"/>
        <v>370.55343097937077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53.395754900041887</v>
      </c>
      <c r="AV131" s="21">
        <f>EXP(-LN(2)/25)*AV130+(1-EXP(-LN(2)/25))/(LN(2)/25)*Calculateur!AQ131*Calculateur!AS131*VLOOKUP('Données projet'!$B$10,Paramètres!$A$1:$I$89,3,0)*0.475*44/12</f>
        <v>7.611544680657957</v>
      </c>
      <c r="AW131" s="21">
        <f>EXP(-LN(2)/2)*AW130+(1-EXP(-LN(2)/2))/(LN(2)/2)*AQ131*AT131*VLOOKUP('Données projet'!$B$10,Paramètres!$A$1:$I$89,3,0)*0.475*44/12</f>
        <v>3.515115490224429E-10</v>
      </c>
      <c r="AX131" s="21">
        <f t="shared" si="60"/>
        <v>61.007299581051356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3.6517948717948721</v>
      </c>
      <c r="BD131" s="12">
        <f>IF('Données projet'!$A$88&gt;35,BD130+BC131-BL130,IF(A131&lt;'Données projet'!$A$88,$BA$205^A131,IF(A131='Données projet'!$A$88,'Données projet'!$B$88,BD130+BC131-BL130)))</f>
        <v>296.43538461538503</v>
      </c>
      <c r="BE131" s="13">
        <f>BD131*VLOOKUP('Données projet'!$B$11,Paramètres!$A$1:$I$89,3,0)*VLOOKUP('Données projet'!$B$11,Paramètres!$A$1:$I$89,5,0)</f>
        <v>138.73176000000021</v>
      </c>
      <c r="BF131" s="13">
        <f t="shared" si="91"/>
        <v>36.00631582338125</v>
      </c>
      <c r="BG131" s="20">
        <f t="shared" si="61"/>
        <v>304.33548205905601</v>
      </c>
      <c r="BH131" s="59">
        <f t="shared" si="62"/>
        <v>597.66881539238932</v>
      </c>
      <c r="BI131" s="59">
        <f ca="1">AVERAGE(OFFSET($BH$3,0,0,'Données projet'!$E$11+1,1))-AVERAGE(OFFSET($H$3,0,0,'Données projet'!$E$11+1,1))</f>
        <v>111.85541298746966</v>
      </c>
      <c r="BJ131" s="59">
        <f t="shared" si="92"/>
        <v>27.56942482401746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27.61258692765238</v>
      </c>
      <c r="BQ131" s="21">
        <f>EXP(-LN(2)/25)*BQ130+(1-EXP(-LN(2)/25))/(LN(2)/25)*Calculateur!BL131*Calculateur!BN131*VLOOKUP('Données projet'!$B$11,Paramètres!$A$1:$I$89,3,0)*0.475*44/12</f>
        <v>8.059357945430099</v>
      </c>
      <c r="BR131" s="21">
        <f>EXP(-LN(2)/2)*BR130+(1-EXP(-LN(2)/2))/(LN(2)/2)*BL131*BO131*VLOOKUP('Données projet'!$B$11,Paramètres!$A$1:$I$89,3,0)*0.475*44/12</f>
        <v>0.1832344303382295</v>
      </c>
      <c r="BS131" s="22">
        <f t="shared" si="63"/>
        <v>35.855179303420712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253.62423410951334</v>
      </c>
      <c r="CE131" s="59">
        <f t="shared" si="94"/>
        <v>230.93438491511529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66.735072389706573</v>
      </c>
      <c r="CL131" s="21">
        <f>EXP(-LN(2)/25)*CL130+(1-EXP(-LN(2)/25))/(LN(2)/25)*Calculateur!CG131*Calculateur!CI131*VLOOKUP('Données projet'!$B$12,Paramètres!$A$1:$I$89,3,0)*0.475*44/12</f>
        <v>11.100809142733304</v>
      </c>
      <c r="CM131" s="21">
        <f>EXP(-LN(2)/2)*CM130+(1-EXP(-LN(2)/2))/(LN(2)/2)*CG131*CJ131*VLOOKUP('Données projet'!$B$12,Paramètres!$A$1:$I$89,3,0)*0.475*44/12</f>
        <v>7.4193552710791098E-8</v>
      </c>
      <c r="CN131" s="22">
        <f t="shared" si="66"/>
        <v>77.835881606633436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-7.3896444519050419E-13</v>
      </c>
      <c r="O132" s="13">
        <f>N132*VLOOKUP('Données projet'!$B$9,Paramètres!$A$1:$I$89,3,0)*VLOOKUP('Données projet'!$B$9,Paramètres!$A$1:$I$89,5,0)</f>
        <v>-3.4583536034915594E-13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190.74210845597287</v>
      </c>
      <c r="T132" s="59">
        <f t="shared" si="88"/>
        <v>131.88015896015884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97.358895003243589</v>
      </c>
      <c r="AA132" s="21">
        <f>EXP(-LN(2)/25)*AA131+(1-EXP(-LN(2)/25))/(LN(2)/25)*Calculateur!V132*Calculateur!X132*VLOOKUP('Données projet'!$B$9,Paramètres!$A$1:$I$89,3,0)*0.475*44/12</f>
        <v>18.802525966468018</v>
      </c>
      <c r="AB132" s="21">
        <f>EXP(-LN(2)/2)*AB131+(1-EXP(-LN(2)/2))/(LN(2)/2)*V132*Y132*VLOOKUP('Données projet'!$B$9,Paramètres!$A$1:$I$89,3,0)*0.475*44/12</f>
        <v>1.344561710182827E-3</v>
      </c>
      <c r="AC132" s="22">
        <f t="shared" ref="AC132:AC153" si="111">SUM(Z132:AB132)</f>
        <v>116.16276553142178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-6.3550942286383367E-14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278.5296012747549</v>
      </c>
      <c r="AO132" s="59">
        <f t="shared" si="90"/>
        <v>370.55343097937077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52.348696714646714</v>
      </c>
      <c r="AV132" s="21">
        <f>EXP(-LN(2)/25)*AV131+(1-EXP(-LN(2)/25))/(LN(2)/25)*Calculateur!AQ132*Calculateur!AS132*VLOOKUP('Données projet'!$B$10,Paramètres!$A$1:$I$89,3,0)*0.475*44/12</f>
        <v>7.4034065910916267</v>
      </c>
      <c r="AW132" s="21">
        <f>EXP(-LN(2)/2)*AW131+(1-EXP(-LN(2)/2))/(LN(2)/2)*AQ132*AT132*VLOOKUP('Données projet'!$B$10,Paramètres!$A$1:$I$89,3,0)*0.475*44/12</f>
        <v>2.4855619997915691E-10</v>
      </c>
      <c r="AX132" s="21">
        <f t="shared" ref="AX132:AX153" si="114">SUM(AU132:AW132)</f>
        <v>59.752103305986893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3.6517948717948721</v>
      </c>
      <c r="BD132" s="12">
        <f>IF('Données projet'!$A$88&gt;35,BD131+BC132-BL131,IF(A132&lt;'Données projet'!$A$88,$BA$205^A132,IF(A132='Données projet'!$A$88,'Données projet'!$B$88,BD131+BC132-BL131)))</f>
        <v>300.08717948717992</v>
      </c>
      <c r="BE132" s="13">
        <f>BD132*VLOOKUP('Données projet'!$B$11,Paramètres!$A$1:$I$89,3,0)*VLOOKUP('Données projet'!$B$11,Paramètres!$A$1:$I$89,5,0)</f>
        <v>140.44080000000019</v>
      </c>
      <c r="BF132" s="13">
        <f t="shared" si="91"/>
        <v>36.39796810226904</v>
      </c>
      <c r="BG132" s="20">
        <f t="shared" ref="BG132:BG153" si="115">(BE132+BF132)*0.475*44/12</f>
        <v>307.99418777811889</v>
      </c>
      <c r="BH132" s="59">
        <f t="shared" ref="BH132:BH195" si="116">BG132+(AY132+AZ132)*44/12</f>
        <v>601.32752111145214</v>
      </c>
      <c r="BI132" s="59">
        <f ca="1">AVERAGE(OFFSET($BH$3,0,0,'Données projet'!$E$11+1,1))-AVERAGE(OFFSET($H$3,0,0,'Données projet'!$E$11+1,1))</f>
        <v>111.85541298746966</v>
      </c>
      <c r="BJ132" s="59">
        <f t="shared" si="92"/>
        <v>27.56942482401746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27.071120940016133</v>
      </c>
      <c r="BQ132" s="21">
        <f>EXP(-LN(2)/25)*BQ131+(1-EXP(-LN(2)/25))/(LN(2)/25)*Calculateur!BL132*Calculateur!BN132*VLOOKUP('Données projet'!$B$11,Paramètres!$A$1:$I$89,3,0)*0.475*44/12</f>
        <v>7.8389743785890982</v>
      </c>
      <c r="BR132" s="21">
        <f>EXP(-LN(2)/2)*BR131+(1-EXP(-LN(2)/2))/(LN(2)/2)*BL132*BO132*VLOOKUP('Données projet'!$B$11,Paramètres!$A$1:$I$89,3,0)*0.475*44/12</f>
        <v>0.12956630823901613</v>
      </c>
      <c r="BS132" s="22">
        <f t="shared" ref="BS132:BS153" si="117">SUM(BP132:BR132)</f>
        <v>35.039661626844243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253.62423410951334</v>
      </c>
      <c r="CE132" s="59">
        <f t="shared" si="94"/>
        <v>230.93438491511529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65.426438324519367</v>
      </c>
      <c r="CL132" s="21">
        <f>EXP(-LN(2)/25)*CL131+(1-EXP(-LN(2)/25))/(LN(2)/25)*Calculateur!CG132*Calculateur!CI132*VLOOKUP('Données projet'!$B$12,Paramètres!$A$1:$I$89,3,0)*0.475*44/12</f>
        <v>10.79725693295908</v>
      </c>
      <c r="CM132" s="21">
        <f>EXP(-LN(2)/2)*CM131+(1-EXP(-LN(2)/2))/(LN(2)/2)*CG132*CJ132*VLOOKUP('Données projet'!$B$12,Paramètres!$A$1:$I$89,3,0)*0.475*44/12</f>
        <v>5.2462764242121942E-8</v>
      </c>
      <c r="CN132" s="22">
        <f t="shared" ref="CN132:CN153" si="120">SUM(CK132:CM132)</f>
        <v>76.22369530994122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-7.3896444519050419E-13</v>
      </c>
      <c r="O133" s="13">
        <f>N133*VLOOKUP('Données projet'!$B$9,Paramètres!$A$1:$I$89,3,0)*VLOOKUP('Données projet'!$B$9,Paramètres!$A$1:$I$89,5,0)</f>
        <v>-3.4583536034915594E-13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190.74210845597287</v>
      </c>
      <c r="T133" s="59">
        <f t="shared" ref="T133:T196" si="142">$T$3</f>
        <v>131.88015896015884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95.449746455292342</v>
      </c>
      <c r="AA133" s="21">
        <f>EXP(-LN(2)/25)*AA132+(1-EXP(-LN(2)/25))/(LN(2)/25)*Calculateur!V133*Calculateur!X133*VLOOKUP('Données projet'!$B$9,Paramètres!$A$1:$I$89,3,0)*0.475*44/12</f>
        <v>18.288369905133084</v>
      </c>
      <c r="AB133" s="21">
        <f>EXP(-LN(2)/2)*AB132+(1-EXP(-LN(2)/2))/(LN(2)/2)*V133*Y133*VLOOKUP('Données projet'!$B$9,Paramètres!$A$1:$I$89,3,0)*0.475*44/12</f>
        <v>9.5074870299405843E-4</v>
      </c>
      <c r="AC133" s="22">
        <f t="shared" si="111"/>
        <v>113.73906710912841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-6.3550942286383367E-14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278.5296012747549</v>
      </c>
      <c r="AO133" s="59">
        <f t="shared" ref="AO133:AO196" si="144">$AO$3</f>
        <v>370.55343097937077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51.322170701624707</v>
      </c>
      <c r="AV133" s="21">
        <f>EXP(-LN(2)/25)*AV132+(1-EXP(-LN(2)/25))/(LN(2)/25)*Calculateur!AQ133*Calculateur!AS133*VLOOKUP('Données projet'!$B$10,Paramètres!$A$1:$I$89,3,0)*0.475*44/12</f>
        <v>7.2009600485299945</v>
      </c>
      <c r="AW133" s="21">
        <f>EXP(-LN(2)/2)*AW132+(1-EXP(-LN(2)/2))/(LN(2)/2)*AQ133*AT133*VLOOKUP('Données projet'!$B$10,Paramètres!$A$1:$I$89,3,0)*0.475*44/12</f>
        <v>1.7575577451122145E-10</v>
      </c>
      <c r="AX133" s="21">
        <f t="shared" si="114"/>
        <v>58.523130750330452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3.6517948717948721</v>
      </c>
      <c r="BD133" s="12">
        <f>IF('Données projet'!$A$88&gt;35,BD132+BC133-BL132,IF(A133&lt;'Données projet'!$A$88,$BA$205^A133,IF(A133='Données projet'!$A$88,'Données projet'!$B$88,BD132+BC133-BL132)))</f>
        <v>303.73897435897482</v>
      </c>
      <c r="BE133" s="13">
        <f>BD133*VLOOKUP('Données projet'!$B$11,Paramètres!$A$1:$I$89,3,0)*VLOOKUP('Données projet'!$B$11,Paramètres!$A$1:$I$89,5,0)</f>
        <v>142.14984000000021</v>
      </c>
      <c r="BF133" s="13">
        <f t="shared" ref="BF133:BF153" si="145">EXP(-1.0587+0.8836*LN(BE133)+0.284)</f>
        <v>36.78906598992004</v>
      </c>
      <c r="BG133" s="20">
        <f t="shared" si="115"/>
        <v>311.65192793244444</v>
      </c>
      <c r="BH133" s="59">
        <f t="shared" si="116"/>
        <v>604.98526126577781</v>
      </c>
      <c r="BI133" s="59">
        <f ca="1">AVERAGE(OFFSET($BH$3,0,0,'Données projet'!$E$11+1,1))-AVERAGE(OFFSET($H$3,0,0,'Données projet'!$E$11+1,1))</f>
        <v>111.85541298746966</v>
      </c>
      <c r="BJ133" s="59">
        <f t="shared" ref="BJ133:BJ196" si="146">$BJ$3</f>
        <v>27.56942482401746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26.54027277013579</v>
      </c>
      <c r="BQ133" s="21">
        <f>EXP(-LN(2)/25)*BQ132+(1-EXP(-LN(2)/25))/(LN(2)/25)*Calculateur!BL133*Calculateur!BN133*VLOOKUP('Données projet'!$B$11,Paramètres!$A$1:$I$89,3,0)*0.475*44/12</f>
        <v>7.6246172119728328</v>
      </c>
      <c r="BR133" s="21">
        <f>EXP(-LN(2)/2)*BR132+(1-EXP(-LN(2)/2))/(LN(2)/2)*BL133*BO133*VLOOKUP('Données projet'!$B$11,Paramètres!$A$1:$I$89,3,0)*0.475*44/12</f>
        <v>9.1617215169114752E-2</v>
      </c>
      <c r="BS133" s="22">
        <f t="shared" si="117"/>
        <v>34.256507197277735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253.62423410951334</v>
      </c>
      <c r="CE133" s="59">
        <f t="shared" ref="CE133:CE196" si="148">$CE$3</f>
        <v>230.93438491511529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64.143465775162511</v>
      </c>
      <c r="CL133" s="21">
        <f>EXP(-LN(2)/25)*CL132+(1-EXP(-LN(2)/25))/(LN(2)/25)*Calculateur!CG133*Calculateur!CI133*VLOOKUP('Données projet'!$B$12,Paramètres!$A$1:$I$89,3,0)*0.475*44/12</f>
        <v>10.502005374324249</v>
      </c>
      <c r="CM133" s="21">
        <f>EXP(-LN(2)/2)*CM132+(1-EXP(-LN(2)/2))/(LN(2)/2)*CG133*CJ133*VLOOKUP('Données projet'!$B$12,Paramètres!$A$1:$I$89,3,0)*0.475*44/12</f>
        <v>3.7096776355395549E-8</v>
      </c>
      <c r="CN133" s="22">
        <f t="shared" si="120"/>
        <v>74.645471186583535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-7.3896444519050419E-13</v>
      </c>
      <c r="O134" s="13">
        <f>N134*VLOOKUP('Données projet'!$B$9,Paramètres!$A$1:$I$89,3,0)*VLOOKUP('Données projet'!$B$9,Paramètres!$A$1:$I$89,5,0)</f>
        <v>-3.4583536034915594E-13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190.74210845597287</v>
      </c>
      <c r="T134" s="59">
        <f t="shared" si="142"/>
        <v>131.88015896015884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93.578035145900785</v>
      </c>
      <c r="AA134" s="21">
        <f>EXP(-LN(2)/25)*AA133+(1-EXP(-LN(2)/25))/(LN(2)/25)*Calculateur!V134*Calculateur!X134*VLOOKUP('Données projet'!$B$9,Paramètres!$A$1:$I$89,3,0)*0.475*44/12</f>
        <v>17.788273468333646</v>
      </c>
      <c r="AB134" s="21">
        <f>EXP(-LN(2)/2)*AB133+(1-EXP(-LN(2)/2))/(LN(2)/2)*V134*Y134*VLOOKUP('Données projet'!$B$9,Paramètres!$A$1:$I$89,3,0)*0.475*44/12</f>
        <v>6.7228085509141362E-4</v>
      </c>
      <c r="AC134" s="22">
        <f t="shared" si="111"/>
        <v>111.36698089508951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-6.3550942286383367E-14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278.5296012747549</v>
      </c>
      <c r="AO134" s="59">
        <f t="shared" si="144"/>
        <v>370.55343097937077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50.315774237599015</v>
      </c>
      <c r="AV134" s="21">
        <f>EXP(-LN(2)/25)*AV133+(1-EXP(-LN(2)/25))/(LN(2)/25)*Calculateur!AQ134*Calculateur!AS134*VLOOKUP('Données projet'!$B$10,Paramètres!$A$1:$I$89,3,0)*0.475*44/12</f>
        <v>7.0040494173209105</v>
      </c>
      <c r="AW134" s="21">
        <f>EXP(-LN(2)/2)*AW133+(1-EXP(-LN(2)/2))/(LN(2)/2)*AQ134*AT134*VLOOKUP('Données projet'!$B$10,Paramètres!$A$1:$I$89,3,0)*0.475*44/12</f>
        <v>1.2427809998957845E-10</v>
      </c>
      <c r="AX134" s="21">
        <f t="shared" si="114"/>
        <v>57.31982365504421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3.6517948717948721</v>
      </c>
      <c r="BD134" s="12">
        <f>IF('Données projet'!$A$88&gt;35,BD133+BC134-BL133,IF(A134&lt;'Données projet'!$A$88,$BA$205^A134,IF(A134='Données projet'!$A$88,'Données projet'!$B$88,BD133+BC134-BL133)))</f>
        <v>307.39076923076971</v>
      </c>
      <c r="BE134" s="13">
        <f>BD134*VLOOKUP('Données projet'!$B$11,Paramètres!$A$1:$I$89,3,0)*VLOOKUP('Données projet'!$B$11,Paramètres!$A$1:$I$89,5,0)</f>
        <v>143.85888000000023</v>
      </c>
      <c r="BF134" s="13">
        <f t="shared" si="145"/>
        <v>37.179616922673958</v>
      </c>
      <c r="BG134" s="20">
        <f t="shared" si="115"/>
        <v>315.30871547365751</v>
      </c>
      <c r="BH134" s="59">
        <f t="shared" si="116"/>
        <v>608.64204880699083</v>
      </c>
      <c r="BI134" s="59">
        <f ca="1">AVERAGE(OFFSET($BH$3,0,0,'Données projet'!$E$11+1,1))-AVERAGE(OFFSET($H$3,0,0,'Données projet'!$E$11+1,1))</f>
        <v>111.85541298746966</v>
      </c>
      <c r="BJ134" s="59">
        <f t="shared" si="146"/>
        <v>27.56942482401746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26.019834209081388</v>
      </c>
      <c r="BQ134" s="21">
        <f>EXP(-LN(2)/25)*BQ133+(1-EXP(-LN(2)/25))/(LN(2)/25)*Calculateur!BL134*Calculateur!BN134*VLOOKUP('Données projet'!$B$11,Paramètres!$A$1:$I$89,3,0)*0.475*44/12</f>
        <v>7.4161216533502428</v>
      </c>
      <c r="BR134" s="21">
        <f>EXP(-LN(2)/2)*BR133+(1-EXP(-LN(2)/2))/(LN(2)/2)*BL134*BO134*VLOOKUP('Données projet'!$B$11,Paramètres!$A$1:$I$89,3,0)*0.475*44/12</f>
        <v>6.4783154119508066E-2</v>
      </c>
      <c r="BS134" s="22">
        <f t="shared" si="117"/>
        <v>33.500739016551144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253.62423410951334</v>
      </c>
      <c r="CE134" s="59">
        <f t="shared" si="148"/>
        <v>230.93438491511529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62.885651534962555</v>
      </c>
      <c r="CL134" s="21">
        <f>EXP(-LN(2)/25)*CL133+(1-EXP(-LN(2)/25))/(LN(2)/25)*Calculateur!CG134*Calculateur!CI134*VLOOKUP('Données projet'!$B$12,Paramètres!$A$1:$I$89,3,0)*0.475*44/12</f>
        <v>10.214827485086891</v>
      </c>
      <c r="CM134" s="21">
        <f>EXP(-LN(2)/2)*CM133+(1-EXP(-LN(2)/2))/(LN(2)/2)*CG134*CJ134*VLOOKUP('Données projet'!$B$12,Paramètres!$A$1:$I$89,3,0)*0.475*44/12</f>
        <v>2.6231382121060971E-8</v>
      </c>
      <c r="CN134" s="22">
        <f t="shared" si="120"/>
        <v>73.100479046280824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-7.3896444519050419E-13</v>
      </c>
      <c r="O135" s="13">
        <f>N135*VLOOKUP('Données projet'!$B$9,Paramètres!$A$1:$I$89,3,0)*VLOOKUP('Données projet'!$B$9,Paramètres!$A$1:$I$89,5,0)</f>
        <v>-3.4583536034915594E-13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190.74210845597287</v>
      </c>
      <c r="T135" s="59">
        <f t="shared" si="142"/>
        <v>131.88015896015884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91.743026953655232</v>
      </c>
      <c r="AA135" s="21">
        <f>EXP(-LN(2)/25)*AA134+(1-EXP(-LN(2)/25))/(LN(2)/25)*Calculateur!V135*Calculateur!X135*VLOOKUP('Données projet'!$B$9,Paramètres!$A$1:$I$89,3,0)*0.475*44/12</f>
        <v>17.301852194897418</v>
      </c>
      <c r="AB135" s="21">
        <f>EXP(-LN(2)/2)*AB134+(1-EXP(-LN(2)/2))/(LN(2)/2)*V135*Y135*VLOOKUP('Données projet'!$B$9,Paramètres!$A$1:$I$89,3,0)*0.475*44/12</f>
        <v>4.7537435149702932E-4</v>
      </c>
      <c r="AC135" s="22">
        <f t="shared" si="111"/>
        <v>109.04535452290415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-6.3550942286383367E-14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278.5296012747549</v>
      </c>
      <c r="AO135" s="59">
        <f t="shared" si="144"/>
        <v>370.55343097937077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49.329112594391638</v>
      </c>
      <c r="AV135" s="21">
        <f>EXP(-LN(2)/25)*AV134+(1-EXP(-LN(2)/25))/(LN(2)/25)*Calculateur!AQ135*Calculateur!AS135*VLOOKUP('Données projet'!$B$10,Paramètres!$A$1:$I$89,3,0)*0.475*44/12</f>
        <v>6.8125233176773197</v>
      </c>
      <c r="AW135" s="21">
        <f>EXP(-LN(2)/2)*AW134+(1-EXP(-LN(2)/2))/(LN(2)/2)*AQ135*AT135*VLOOKUP('Données projet'!$B$10,Paramètres!$A$1:$I$89,3,0)*0.475*44/12</f>
        <v>8.7877887255610725E-11</v>
      </c>
      <c r="AX135" s="21">
        <f t="shared" si="114"/>
        <v>56.141635912156836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3.6517948717948721</v>
      </c>
      <c r="BD135" s="12">
        <f>IF('Données projet'!$A$88&gt;35,BD134+BC135-BL134,IF(A135&lt;'Données projet'!$A$88,$BA$205^A135,IF(A135='Données projet'!$A$88,'Données projet'!$B$88,BD134+BC135-BL134)))</f>
        <v>311.0425641025646</v>
      </c>
      <c r="BE135" s="13">
        <f>BD135*VLOOKUP('Données projet'!$B$11,Paramètres!$A$1:$I$89,3,0)*VLOOKUP('Données projet'!$B$11,Paramètres!$A$1:$I$89,5,0)</f>
        <v>145.56792000000021</v>
      </c>
      <c r="BF135" s="13">
        <f t="shared" si="145"/>
        <v>37.569628150016491</v>
      </c>
      <c r="BG135" s="20">
        <f t="shared" si="115"/>
        <v>318.96456302794576</v>
      </c>
      <c r="BH135" s="59">
        <f t="shared" si="116"/>
        <v>612.29789636127907</v>
      </c>
      <c r="BI135" s="59">
        <f ca="1">AVERAGE(OFFSET($BH$3,0,0,'Données projet'!$E$11+1,1))-AVERAGE(OFFSET($H$3,0,0,'Données projet'!$E$11+1,1))</f>
        <v>111.85541298746966</v>
      </c>
      <c r="BJ135" s="59">
        <f t="shared" si="146"/>
        <v>27.56942482401746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25.509601130773085</v>
      </c>
      <c r="BQ135" s="21">
        <f>EXP(-LN(2)/25)*BQ134+(1-EXP(-LN(2)/25))/(LN(2)/25)*Calculateur!BL135*Calculateur!BN135*VLOOKUP('Données projet'!$B$11,Paramètres!$A$1:$I$89,3,0)*0.475*44/12</f>
        <v>7.2133274167424926</v>
      </c>
      <c r="BR135" s="21">
        <f>EXP(-LN(2)/2)*BR134+(1-EXP(-LN(2)/2))/(LN(2)/2)*BL135*BO135*VLOOKUP('Données projet'!$B$11,Paramètres!$A$1:$I$89,3,0)*0.475*44/12</f>
        <v>4.5808607584557376E-2</v>
      </c>
      <c r="BS135" s="22">
        <f t="shared" si="117"/>
        <v>32.768737155100133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253.62423410951334</v>
      </c>
      <c r="CE135" s="59">
        <f t="shared" si="148"/>
        <v>230.93438491511529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61.65250226482199</v>
      </c>
      <c r="CL135" s="21">
        <f>EXP(-LN(2)/25)*CL134+(1-EXP(-LN(2)/25))/(LN(2)/25)*Calculateur!CG135*Calculateur!CI135*VLOOKUP('Données projet'!$B$12,Paramètres!$A$1:$I$89,3,0)*0.475*44/12</f>
        <v>9.9355024903327589</v>
      </c>
      <c r="CM135" s="21">
        <f>EXP(-LN(2)/2)*CM134+(1-EXP(-LN(2)/2))/(LN(2)/2)*CG135*CJ135*VLOOKUP('Données projet'!$B$12,Paramètres!$A$1:$I$89,3,0)*0.475*44/12</f>
        <v>1.8548388177697774E-8</v>
      </c>
      <c r="CN135" s="22">
        <f t="shared" si="120"/>
        <v>71.588004773703133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-7.3896444519050419E-13</v>
      </c>
      <c r="O136" s="13">
        <f>N136*VLOOKUP('Données projet'!$B$9,Paramètres!$A$1:$I$89,3,0)*VLOOKUP('Données projet'!$B$9,Paramètres!$A$1:$I$89,5,0)</f>
        <v>-3.4583536034915594E-13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190.74210845597287</v>
      </c>
      <c r="T136" s="59">
        <f t="shared" si="142"/>
        <v>131.88015896015884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89.944002152815131</v>
      </c>
      <c r="AA136" s="21">
        <f>EXP(-LN(2)/25)*AA135+(1-EXP(-LN(2)/25))/(LN(2)/25)*Calculateur!V136*Calculateur!X136*VLOOKUP('Données projet'!$B$9,Paramètres!$A$1:$I$89,3,0)*0.475*44/12</f>
        <v>16.828732136763083</v>
      </c>
      <c r="AB136" s="21">
        <f>EXP(-LN(2)/2)*AB135+(1-EXP(-LN(2)/2))/(LN(2)/2)*V136*Y136*VLOOKUP('Données projet'!$B$9,Paramètres!$A$1:$I$89,3,0)*0.475*44/12</f>
        <v>3.3614042754570686E-4</v>
      </c>
      <c r="AC136" s="22">
        <f t="shared" si="111"/>
        <v>106.77307043000576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-6.3550942286383367E-14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278.5296012747549</v>
      </c>
      <c r="AO136" s="59">
        <f t="shared" si="144"/>
        <v>370.55343097937077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48.36179878420338</v>
      </c>
      <c r="AV136" s="21">
        <f>EXP(-LN(2)/25)*AV135+(1-EXP(-LN(2)/25))/(LN(2)/25)*Calculateur!AQ136*Calculateur!AS136*VLOOKUP('Données projet'!$B$10,Paramètres!$A$1:$I$89,3,0)*0.475*44/12</f>
        <v>6.626234509300402</v>
      </c>
      <c r="AW136" s="21">
        <f>EXP(-LN(2)/2)*AW135+(1-EXP(-LN(2)/2))/(LN(2)/2)*AQ136*AT136*VLOOKUP('Données projet'!$B$10,Paramètres!$A$1:$I$89,3,0)*0.475*44/12</f>
        <v>6.2139049994789226E-11</v>
      </c>
      <c r="AX136" s="21">
        <f t="shared" si="114"/>
        <v>54.98803329356592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3.6517948717948721</v>
      </c>
      <c r="BD136" s="12">
        <f>IF('Données projet'!$A$88&gt;35,BD135+BC136-BL135,IF(A136&lt;'Données projet'!$A$88,$BA$205^A136,IF(A136='Données projet'!$A$88,'Données projet'!$B$88,BD135+BC136-BL135)))</f>
        <v>314.69435897435949</v>
      </c>
      <c r="BE136" s="13">
        <f>BD136*VLOOKUP('Données projet'!$B$11,Paramètres!$A$1:$I$89,3,0)*VLOOKUP('Données projet'!$B$11,Paramètres!$A$1:$I$89,5,0)</f>
        <v>147.27696000000026</v>
      </c>
      <c r="BF136" s="13">
        <f t="shared" si="145"/>
        <v>37.959106741411667</v>
      </c>
      <c r="BG136" s="20">
        <f t="shared" si="115"/>
        <v>322.61948290795908</v>
      </c>
      <c r="BH136" s="59">
        <f t="shared" si="116"/>
        <v>615.95281624129234</v>
      </c>
      <c r="BI136" s="59">
        <f ca="1">AVERAGE(OFFSET($BH$3,0,0,'Données projet'!$E$11+1,1))-AVERAGE(OFFSET($H$3,0,0,'Données projet'!$E$11+1,1))</f>
        <v>111.85541298746966</v>
      </c>
      <c r="BJ136" s="59">
        <f t="shared" si="146"/>
        <v>27.56942482401746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25.009373411918958</v>
      </c>
      <c r="BQ136" s="21">
        <f>EXP(-LN(2)/25)*BQ135+(1-EXP(-LN(2)/25))/(LN(2)/25)*Calculateur!BL136*Calculateur!BN136*VLOOKUP('Données projet'!$B$11,Paramètres!$A$1:$I$89,3,0)*0.475*44/12</f>
        <v>7.0160785991992665</v>
      </c>
      <c r="BR136" s="21">
        <f>EXP(-LN(2)/2)*BR135+(1-EXP(-LN(2)/2))/(LN(2)/2)*BL136*BO136*VLOOKUP('Données projet'!$B$11,Paramètres!$A$1:$I$89,3,0)*0.475*44/12</f>
        <v>3.2391577059754033E-2</v>
      </c>
      <c r="BS136" s="22">
        <f t="shared" si="117"/>
        <v>32.057843588177981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253.62423410951334</v>
      </c>
      <c r="CE136" s="59">
        <f t="shared" si="148"/>
        <v>230.93438491511529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60.443534299722096</v>
      </c>
      <c r="CL136" s="21">
        <f>EXP(-LN(2)/25)*CL135+(1-EXP(-LN(2)/25))/(LN(2)/25)*Calculateur!CG136*Calculateur!CI136*VLOOKUP('Données projet'!$B$12,Paramètres!$A$1:$I$89,3,0)*0.475*44/12</f>
        <v>9.6638156522492409</v>
      </c>
      <c r="CM136" s="21">
        <f>EXP(-LN(2)/2)*CM135+(1-EXP(-LN(2)/2))/(LN(2)/2)*CG136*CJ136*VLOOKUP('Données projet'!$B$12,Paramètres!$A$1:$I$89,3,0)*0.475*44/12</f>
        <v>1.3115691060530485E-8</v>
      </c>
      <c r="CN136" s="22">
        <f t="shared" si="120"/>
        <v>70.107349965087039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-7.3896444519050419E-13</v>
      </c>
      <c r="O137" s="13">
        <f>N137*VLOOKUP('Données projet'!$B$9,Paramètres!$A$1:$I$89,3,0)*VLOOKUP('Données projet'!$B$9,Paramètres!$A$1:$I$89,5,0)</f>
        <v>-3.4583536034915594E-13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190.74210845597287</v>
      </c>
      <c r="T137" s="59">
        <f t="shared" si="142"/>
        <v>131.88015896015884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88.180255131022719</v>
      </c>
      <c r="AA137" s="21">
        <f>EXP(-LN(2)/25)*AA136+(1-EXP(-LN(2)/25))/(LN(2)/25)*Calculateur!V137*Calculateur!X137*VLOOKUP('Données projet'!$B$9,Paramètres!$A$1:$I$89,3,0)*0.475*44/12</f>
        <v>16.368549571498736</v>
      </c>
      <c r="AB137" s="21">
        <f>EXP(-LN(2)/2)*AB136+(1-EXP(-LN(2)/2))/(LN(2)/2)*V137*Y137*VLOOKUP('Données projet'!$B$9,Paramètres!$A$1:$I$89,3,0)*0.475*44/12</f>
        <v>2.3768717574851469E-4</v>
      </c>
      <c r="AC137" s="22">
        <f t="shared" si="111"/>
        <v>104.54904238969721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-6.3550942286383367E-14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278.5296012747549</v>
      </c>
      <c r="AO137" s="59">
        <f t="shared" si="144"/>
        <v>370.55343097937077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47.413453407829749</v>
      </c>
      <c r="AV137" s="21">
        <f>EXP(-LN(2)/25)*AV136+(1-EXP(-LN(2)/25))/(LN(2)/25)*Calculateur!AQ137*Calculateur!AS137*VLOOKUP('Données projet'!$B$10,Paramètres!$A$1:$I$89,3,0)*0.475*44/12</f>
        <v>6.4450397781850546</v>
      </c>
      <c r="AW137" s="21">
        <f>EXP(-LN(2)/2)*AW136+(1-EXP(-LN(2)/2))/(LN(2)/2)*AQ137*AT137*VLOOKUP('Données projet'!$B$10,Paramètres!$A$1:$I$89,3,0)*0.475*44/12</f>
        <v>4.3938943627805363E-11</v>
      </c>
      <c r="AX137" s="21">
        <f t="shared" si="114"/>
        <v>53.858493186058745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318.34615384615387</v>
      </c>
      <c r="BB137" s="12">
        <f>VLOOKUP(A137,'Données projet'!$A$87:$I$107,9,0)</f>
        <v>3.6517948717948721</v>
      </c>
      <c r="BC137" s="12">
        <f t="array" ref="BC137">INDEX(BB:BB,MIN(IF(ISNUMBER(BB137:BB333),ROW(BB137:BB333),"")))</f>
        <v>3.6517948717948721</v>
      </c>
      <c r="BD137" s="12">
        <f>IF('Données projet'!$A$88&gt;35,BD136+BC137-BL136,IF(A137&lt;'Données projet'!$A$88,$BA$205^A137,IF(A137='Données projet'!$A$88,'Données projet'!$B$88,BD136+BC137-BL136)))</f>
        <v>318.34615384615438</v>
      </c>
      <c r="BE137" s="13">
        <f>BD137*VLOOKUP('Données projet'!$B$11,Paramètres!$A$1:$I$89,3,0)*VLOOKUP('Données projet'!$B$11,Paramètres!$A$1:$I$89,5,0)</f>
        <v>148.98600000000025</v>
      </c>
      <c r="BF137" s="13">
        <f t="shared" si="145"/>
        <v>38.348059592808461</v>
      </c>
      <c r="BG137" s="20">
        <f t="shared" si="115"/>
        <v>326.27348712414181</v>
      </c>
      <c r="BH137" s="59">
        <f t="shared" si="116"/>
        <v>619.60682045747512</v>
      </c>
      <c r="BI137" s="59">
        <f ca="1">AVERAGE(OFFSET($BH$3,0,0,'Données projet'!$E$11+1,1))-AVERAGE(OFFSET($H$3,0,0,'Données projet'!$E$11+1,1))</f>
        <v>111.85541298746966</v>
      </c>
      <c r="BJ137" s="59">
        <f t="shared" si="146"/>
        <v>27.56942482401746</v>
      </c>
      <c r="BK137" s="15">
        <f>IF(ISNA(VLOOKUP(A137,'Données projet'!$A$87:$I$107,3,0)),0,VLOOKUP(A137,'Données projet'!$A$87:$I$107,3,0))</f>
        <v>5</v>
      </c>
      <c r="BL137" s="15">
        <f>IF(ISNA(VLOOKUP(A137,'Données projet'!$A$87:$I$107,4,0)),0,VLOOKUP(A137,'Données projet'!$A$87:$I$107,4,0))</f>
        <v>158.87692307692308</v>
      </c>
      <c r="BM137" s="16">
        <f>IF(ISNA(VLOOKUP(A137,'Données projet'!$A$87:$I$107,5,0)),0%,VLOOKUP(A137,'Données projet'!$A$87:$I$107,5,0)*VLOOKUP('Données projet'!$B$11,Paramètres!$A$1:$I$89,7,0))</f>
        <v>0.38500000000000001</v>
      </c>
      <c r="BN137" s="16">
        <f>IF(ISNA(VLOOKUP(A137,'Données projet'!$A$87:$I$107,6,0)),0%,VLOOKUP(A137,'Données projet'!$A$87:$I$107,6,0)*VLOOKUP('Données projet'!$B$11,Paramètres!$A$1:$I$89,7,0))</f>
        <v>9.240000000000001E-2</v>
      </c>
      <c r="BO137" s="16">
        <f>IF(ISNA(VLOOKUP(A137,'Données projet'!$A$87:$I$107,7,0)),0%,VLOOKUP(A137,'Données projet'!$A$87:$I$107,7,0))</f>
        <v>0.13200000000000001</v>
      </c>
      <c r="BP137" s="21">
        <f>EXP(-LN(2)/35)*BP136+(1-EXP(-LN(2)/35))/(LN(2)/35)*BL137*BM137*VLOOKUP('Données projet'!$B$11,Paramètres!$A$1:$I$89,3,0)*0.475*44/12</f>
        <v>62.493777949553269</v>
      </c>
      <c r="BQ137" s="21">
        <f>EXP(-LN(2)/25)*BQ136+(1-EXP(-LN(2)/25))/(LN(2)/25)*Calculateur!BL137*Calculateur!BN137*VLOOKUP('Données projet'!$B$11,Paramètres!$A$1:$I$89,3,0)*0.475*44/12</f>
        <v>15.902295980454888</v>
      </c>
      <c r="BR137" s="21">
        <f>EXP(-LN(2)/2)*BR136+(1-EXP(-LN(2)/2))/(LN(2)/2)*BL137*BO137*VLOOKUP('Données projet'!$B$11,Paramètres!$A$1:$I$89,3,0)*0.475*44/12</f>
        <v>11.135516118694923</v>
      </c>
      <c r="BS137" s="22">
        <f t="shared" si="117"/>
        <v>89.53159004870308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253.62423410951334</v>
      </c>
      <c r="CE137" s="59">
        <f t="shared" si="148"/>
        <v>230.93438491511529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59.25827345902016</v>
      </c>
      <c r="CL137" s="21">
        <f>EXP(-LN(2)/25)*CL136+(1-EXP(-LN(2)/25))/(LN(2)/25)*Calculateur!CG137*Calculateur!CI137*VLOOKUP('Données projet'!$B$12,Paramètres!$A$1:$I$89,3,0)*0.475*44/12</f>
        <v>9.3995581050405068</v>
      </c>
      <c r="CM137" s="21">
        <f>EXP(-LN(2)/2)*CM136+(1-EXP(-LN(2)/2))/(LN(2)/2)*CG137*CJ137*VLOOKUP('Données projet'!$B$12,Paramètres!$A$1:$I$89,3,0)*0.475*44/12</f>
        <v>9.2741940888488872E-9</v>
      </c>
      <c r="CN137" s="22">
        <f t="shared" si="120"/>
        <v>68.65783157333486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-7.3896444519050419E-13</v>
      </c>
      <c r="O138" s="13">
        <f>N138*VLOOKUP('Données projet'!$B$9,Paramètres!$A$1:$I$89,3,0)*VLOOKUP('Données projet'!$B$9,Paramètres!$A$1:$I$89,5,0)</f>
        <v>-3.4583536034915594E-13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190.74210845597287</v>
      </c>
      <c r="T138" s="59">
        <f t="shared" si="142"/>
        <v>131.88015896015884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86.451094112548205</v>
      </c>
      <c r="AA138" s="21">
        <f>EXP(-LN(2)/25)*AA137+(1-EXP(-LN(2)/25))/(LN(2)/25)*Calculateur!V138*Calculateur!X138*VLOOKUP('Données projet'!$B$9,Paramètres!$A$1:$I$89,3,0)*0.475*44/12</f>
        <v>15.920950722681493</v>
      </c>
      <c r="AB138" s="21">
        <f>EXP(-LN(2)/2)*AB137+(1-EXP(-LN(2)/2))/(LN(2)/2)*V138*Y138*VLOOKUP('Données projet'!$B$9,Paramètres!$A$1:$I$89,3,0)*0.475*44/12</f>
        <v>1.6807021377285346E-4</v>
      </c>
      <c r="AC138" s="22">
        <f t="shared" si="111"/>
        <v>102.37221290544348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-6.3550942286383367E-14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278.5296012747549</v>
      </c>
      <c r="AO138" s="59">
        <f t="shared" si="144"/>
        <v>370.55343097937077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46.48370450585324</v>
      </c>
      <c r="AV138" s="21">
        <f>EXP(-LN(2)/25)*AV137+(1-EXP(-LN(2)/25))/(LN(2)/25)*Calculateur!AQ138*Calculateur!AS138*VLOOKUP('Données projet'!$B$10,Paramètres!$A$1:$I$89,3,0)*0.475*44/12</f>
        <v>6.2687998265206728</v>
      </c>
      <c r="AW138" s="21">
        <f>EXP(-LN(2)/2)*AW137+(1-EXP(-LN(2)/2))/(LN(2)/2)*AQ138*AT138*VLOOKUP('Données projet'!$B$10,Paramètres!$A$1:$I$89,3,0)*0.475*44/12</f>
        <v>3.1069524997394613E-11</v>
      </c>
      <c r="AX138" s="21">
        <f t="shared" si="114"/>
        <v>52.752504332404982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2.4769230769230743</v>
      </c>
      <c r="BD138" s="12">
        <f>IF('Données projet'!$A$88&gt;35,BD137+BC138-BL137,IF(A138&lt;'Données projet'!$A$88,$BA$205^A138,IF(A138='Données projet'!$A$88,'Données projet'!$B$88,BD137+BC138-BL137)))</f>
        <v>161.94615384615437</v>
      </c>
      <c r="BE138" s="13">
        <f>BD138*VLOOKUP('Données projet'!$B$11,Paramètres!$A$1:$I$89,3,0)*VLOOKUP('Données projet'!$B$11,Paramètres!$A$1:$I$89,5,0)</f>
        <v>75.790800000000246</v>
      </c>
      <c r="BF138" s="13">
        <f t="shared" si="145"/>
        <v>21.104797842793143</v>
      </c>
      <c r="BG138" s="20">
        <f t="shared" si="115"/>
        <v>168.75983290953181</v>
      </c>
      <c r="BH138" s="59">
        <f t="shared" si="116"/>
        <v>462.0931662428651</v>
      </c>
      <c r="BI138" s="59">
        <f ca="1">AVERAGE(OFFSET($BH$3,0,0,'Données projet'!$E$11+1,1))-AVERAGE(OFFSET($H$3,0,0,'Données projet'!$E$11+1,1))</f>
        <v>111.85541298746966</v>
      </c>
      <c r="BJ138" s="59">
        <f t="shared" si="146"/>
        <v>27.56942482401746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61.268313081403292</v>
      </c>
      <c r="BQ138" s="21">
        <f>EXP(-LN(2)/25)*BQ137+(1-EXP(-LN(2)/25))/(LN(2)/25)*Calculateur!BL138*Calculateur!BN138*VLOOKUP('Données projet'!$B$11,Paramètres!$A$1:$I$89,3,0)*0.475*44/12</f>
        <v>15.467446860603948</v>
      </c>
      <c r="BR138" s="21">
        <f>EXP(-LN(2)/2)*BR137+(1-EXP(-LN(2)/2))/(LN(2)/2)*BL138*BO138*VLOOKUP('Données projet'!$B$11,Paramètres!$A$1:$I$89,3,0)*0.475*44/12</f>
        <v>7.8739989595412849</v>
      </c>
      <c r="BS138" s="22">
        <f t="shared" si="117"/>
        <v>84.609758901548517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253.62423410951334</v>
      </c>
      <c r="CE138" s="59">
        <f t="shared" si="148"/>
        <v>230.93438491511529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58.096254860466665</v>
      </c>
      <c r="CL138" s="21">
        <f>EXP(-LN(2)/25)*CL137+(1-EXP(-LN(2)/25))/(LN(2)/25)*Calculateur!CG138*Calculateur!CI138*VLOOKUP('Données projet'!$B$12,Paramètres!$A$1:$I$89,3,0)*0.475*44/12</f>
        <v>9.1425266943568957</v>
      </c>
      <c r="CM138" s="21">
        <f>EXP(-LN(2)/2)*CM137+(1-EXP(-LN(2)/2))/(LN(2)/2)*CG138*CJ138*VLOOKUP('Données projet'!$B$12,Paramètres!$A$1:$I$89,3,0)*0.475*44/12</f>
        <v>6.5578455302652427E-9</v>
      </c>
      <c r="CN138" s="22">
        <f t="shared" si="120"/>
        <v>67.238781561381401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-7.3896444519050419E-13</v>
      </c>
      <c r="O139" s="13">
        <f>N139*VLOOKUP('Données projet'!$B$9,Paramètres!$A$1:$I$89,3,0)*VLOOKUP('Données projet'!$B$9,Paramètres!$A$1:$I$89,5,0)</f>
        <v>-3.4583536034915594E-13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190.74210845597287</v>
      </c>
      <c r="T139" s="59">
        <f t="shared" si="142"/>
        <v>131.88015896015884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84.755840886961892</v>
      </c>
      <c r="AA139" s="21">
        <f>EXP(-LN(2)/25)*AA138+(1-EXP(-LN(2)/25))/(LN(2)/25)*Calculateur!V139*Calculateur!X139*VLOOKUP('Données projet'!$B$9,Paramètres!$A$1:$I$89,3,0)*0.475*44/12</f>
        <v>15.485591487923356</v>
      </c>
      <c r="AB139" s="21">
        <f>EXP(-LN(2)/2)*AB138+(1-EXP(-LN(2)/2))/(LN(2)/2)*V139*Y139*VLOOKUP('Données projet'!$B$9,Paramètres!$A$1:$I$89,3,0)*0.475*44/12</f>
        <v>1.1884358787425736E-4</v>
      </c>
      <c r="AC139" s="22">
        <f t="shared" si="111"/>
        <v>100.24155121847312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-6.3550942286383367E-14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278.5296012747549</v>
      </c>
      <c r="AO139" s="59">
        <f t="shared" si="144"/>
        <v>370.55343097937077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45.572187412753649</v>
      </c>
      <c r="AV139" s="21">
        <f>EXP(-LN(2)/25)*AV138+(1-EXP(-LN(2)/25))/(LN(2)/25)*Calculateur!AQ139*Calculateur!AS139*VLOOKUP('Données projet'!$B$10,Paramètres!$A$1:$I$89,3,0)*0.475*44/12</f>
        <v>6.09737916560261</v>
      </c>
      <c r="AW139" s="21">
        <f>EXP(-LN(2)/2)*AW138+(1-EXP(-LN(2)/2))/(LN(2)/2)*AQ139*AT139*VLOOKUP('Données projet'!$B$10,Paramètres!$A$1:$I$89,3,0)*0.475*44/12</f>
        <v>2.1969471813902681E-11</v>
      </c>
      <c r="AX139" s="21">
        <f t="shared" si="114"/>
        <v>51.66956657837823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2.4769230769230743</v>
      </c>
      <c r="BD139" s="12">
        <f>IF('Données projet'!$A$88&gt;35,BD138+BC139-BL138,IF(A139&lt;'Données projet'!$A$88,$BA$205^A139,IF(A139='Données projet'!$A$88,'Données projet'!$B$88,BD138+BC139-BL138)))</f>
        <v>164.42307692307745</v>
      </c>
      <c r="BE139" s="13">
        <f>BD139*VLOOKUP('Données projet'!$B$11,Paramètres!$A$1:$I$89,3,0)*VLOOKUP('Données projet'!$B$11,Paramètres!$A$1:$I$89,5,0)</f>
        <v>76.950000000000244</v>
      </c>
      <c r="BF139" s="13">
        <f t="shared" si="145"/>
        <v>21.389764605487823</v>
      </c>
      <c r="BG139" s="20">
        <f t="shared" si="115"/>
        <v>171.27509002122505</v>
      </c>
      <c r="BH139" s="59">
        <f t="shared" si="116"/>
        <v>464.60842335455834</v>
      </c>
      <c r="BI139" s="59">
        <f ca="1">AVERAGE(OFFSET($BH$3,0,0,'Données projet'!$E$11+1,1))-AVERAGE(OFFSET($H$3,0,0,'Données projet'!$E$11+1,1))</f>
        <v>111.85541298746966</v>
      </c>
      <c r="BJ139" s="59">
        <f t="shared" si="146"/>
        <v>27.56942482401746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60.066878831857977</v>
      </c>
      <c r="BQ139" s="21">
        <f>EXP(-LN(2)/25)*BQ138+(1-EXP(-LN(2)/25))/(LN(2)/25)*Calculateur!BL139*Calculateur!BN139*VLOOKUP('Données projet'!$B$11,Paramètres!$A$1:$I$89,3,0)*0.475*44/12</f>
        <v>15.044488712803053</v>
      </c>
      <c r="BR139" s="21">
        <f>EXP(-LN(2)/2)*BR138+(1-EXP(-LN(2)/2))/(LN(2)/2)*BL139*BO139*VLOOKUP('Données projet'!$B$11,Paramètres!$A$1:$I$89,3,0)*0.475*44/12</f>
        <v>5.5677580593474625</v>
      </c>
      <c r="BS139" s="22">
        <f t="shared" si="117"/>
        <v>80.679125604008505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253.62423410951334</v>
      </c>
      <c r="CE139" s="59">
        <f t="shared" si="148"/>
        <v>230.93438491511529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56.957022737869444</v>
      </c>
      <c r="CL139" s="21">
        <f>EXP(-LN(2)/25)*CL138+(1-EXP(-LN(2)/25))/(LN(2)/25)*Calculateur!CG139*Calculateur!CI139*VLOOKUP('Données projet'!$B$12,Paramètres!$A$1:$I$89,3,0)*0.475*44/12</f>
        <v>8.8925238211151232</v>
      </c>
      <c r="CM139" s="21">
        <f>EXP(-LN(2)/2)*CM138+(1-EXP(-LN(2)/2))/(LN(2)/2)*CG139*CJ139*VLOOKUP('Données projet'!$B$12,Paramètres!$A$1:$I$89,3,0)*0.475*44/12</f>
        <v>4.6370970444244436E-9</v>
      </c>
      <c r="CN139" s="22">
        <f t="shared" si="120"/>
        <v>65.849546563621672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-7.3896444519050419E-13</v>
      </c>
      <c r="O140" s="13">
        <f>N140*VLOOKUP('Données projet'!$B$9,Paramètres!$A$1:$I$89,3,0)*VLOOKUP('Données projet'!$B$9,Paramètres!$A$1:$I$89,5,0)</f>
        <v>-3.4583536034915594E-13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190.74210845597287</v>
      </c>
      <c r="T140" s="59">
        <f t="shared" si="142"/>
        <v>131.88015896015884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83.093830543126955</v>
      </c>
      <c r="AA140" s="21">
        <f>EXP(-LN(2)/25)*AA139+(1-EXP(-LN(2)/25))/(LN(2)/25)*Calculateur!V140*Calculateur!X140*VLOOKUP('Données projet'!$B$9,Paramètres!$A$1:$I$89,3,0)*0.475*44/12</f>
        <v>15.062137174334229</v>
      </c>
      <c r="AB140" s="21">
        <f>EXP(-LN(2)/2)*AB139+(1-EXP(-LN(2)/2))/(LN(2)/2)*V140*Y140*VLOOKUP('Données projet'!$B$9,Paramètres!$A$1:$I$89,3,0)*0.475*44/12</f>
        <v>8.4035106886426729E-5</v>
      </c>
      <c r="AC140" s="22">
        <f t="shared" si="111"/>
        <v>98.156051752568061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-6.3550942286383367E-14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278.5296012747549</v>
      </c>
      <c r="AO140" s="59">
        <f t="shared" si="144"/>
        <v>370.55343097937077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44.678544613879218</v>
      </c>
      <c r="AV140" s="21">
        <f>EXP(-LN(2)/25)*AV139+(1-EXP(-LN(2)/25))/(LN(2)/25)*Calculateur!AQ140*Calculateur!AS140*VLOOKUP('Données projet'!$B$10,Paramètres!$A$1:$I$89,3,0)*0.475*44/12</f>
        <v>5.9306460116719721</v>
      </c>
      <c r="AW140" s="21">
        <f>EXP(-LN(2)/2)*AW139+(1-EXP(-LN(2)/2))/(LN(2)/2)*AQ140*AT140*VLOOKUP('Données projet'!$B$10,Paramètres!$A$1:$I$89,3,0)*0.475*44/12</f>
        <v>1.5534762498697307E-11</v>
      </c>
      <c r="AX140" s="21">
        <f t="shared" si="114"/>
        <v>50.609190625566725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2.4769230769230743</v>
      </c>
      <c r="BD140" s="12">
        <f>IF('Données projet'!$A$88&gt;35,BD139+BC140-BL139,IF(A140&lt;'Données projet'!$A$88,$BA$205^A140,IF(A140='Données projet'!$A$88,'Données projet'!$B$88,BD139+BC140-BL139)))</f>
        <v>166.90000000000052</v>
      </c>
      <c r="BE140" s="13">
        <f>BD140*VLOOKUP('Données projet'!$B$11,Paramètres!$A$1:$I$89,3,0)*VLOOKUP('Données projet'!$B$11,Paramètres!$A$1:$I$89,5,0)</f>
        <v>78.109200000000243</v>
      </c>
      <c r="BF140" s="13">
        <f t="shared" si="145"/>
        <v>21.674232100338056</v>
      </c>
      <c r="BG140" s="20">
        <f t="shared" si="115"/>
        <v>173.78947757475586</v>
      </c>
      <c r="BH140" s="59">
        <f t="shared" si="116"/>
        <v>467.12281090808915</v>
      </c>
      <c r="BI140" s="59">
        <f ca="1">AVERAGE(OFFSET($BH$3,0,0,'Données projet'!$E$11+1,1))-AVERAGE(OFFSET($H$3,0,0,'Données projet'!$E$11+1,1))</f>
        <v>111.85541298746966</v>
      </c>
      <c r="BJ140" s="59">
        <f t="shared" si="146"/>
        <v>27.56942482401746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58.889003975143709</v>
      </c>
      <c r="BQ140" s="21">
        <f>EXP(-LN(2)/25)*BQ139+(1-EXP(-LN(2)/25))/(LN(2)/25)*Calculateur!BL140*Calculateur!BN140*VLOOKUP('Données projet'!$B$11,Paramètres!$A$1:$I$89,3,0)*0.475*44/12</f>
        <v>14.633096377796177</v>
      </c>
      <c r="BR140" s="21">
        <f>EXP(-LN(2)/2)*BR139+(1-EXP(-LN(2)/2))/(LN(2)/2)*BL140*BO140*VLOOKUP('Données projet'!$B$11,Paramètres!$A$1:$I$89,3,0)*0.475*44/12</f>
        <v>3.9369994797706429</v>
      </c>
      <c r="BS140" s="22">
        <f t="shared" si="117"/>
        <v>77.459099832710535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253.62423410951334</v>
      </c>
      <c r="CE140" s="59">
        <f t="shared" si="148"/>
        <v>230.93438491511529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55.840130262333368</v>
      </c>
      <c r="CL140" s="21">
        <f>EXP(-LN(2)/25)*CL139+(1-EXP(-LN(2)/25))/(LN(2)/25)*Calculateur!CG140*Calculateur!CI140*VLOOKUP('Données projet'!$B$12,Paramètres!$A$1:$I$89,3,0)*0.475*44/12</f>
        <v>8.6493572895892257</v>
      </c>
      <c r="CM140" s="21">
        <f>EXP(-LN(2)/2)*CM139+(1-EXP(-LN(2)/2))/(LN(2)/2)*CG140*CJ140*VLOOKUP('Données projet'!$B$12,Paramètres!$A$1:$I$89,3,0)*0.475*44/12</f>
        <v>3.2789227651326213E-9</v>
      </c>
      <c r="CN140" s="22">
        <f t="shared" si="120"/>
        <v>64.489487555201521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-7.3896444519050419E-13</v>
      </c>
      <c r="O141" s="13">
        <f>N141*VLOOKUP('Données projet'!$B$9,Paramètres!$A$1:$I$89,3,0)*VLOOKUP('Données projet'!$B$9,Paramètres!$A$1:$I$89,5,0)</f>
        <v>-3.4583536034915594E-13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190.74210845597287</v>
      </c>
      <c r="T141" s="59">
        <f t="shared" si="142"/>
        <v>131.88015896015884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81.464411208408407</v>
      </c>
      <c r="AA141" s="21">
        <f>EXP(-LN(2)/25)*AA140+(1-EXP(-LN(2)/25))/(LN(2)/25)*Calculateur!V141*Calculateur!X141*VLOOKUP('Données projet'!$B$9,Paramètres!$A$1:$I$89,3,0)*0.475*44/12</f>
        <v>14.650262241218691</v>
      </c>
      <c r="AB141" s="21">
        <f>EXP(-LN(2)/2)*AB140+(1-EXP(-LN(2)/2))/(LN(2)/2)*V141*Y141*VLOOKUP('Données projet'!$B$9,Paramètres!$A$1:$I$89,3,0)*0.475*44/12</f>
        <v>5.9421793937128679E-5</v>
      </c>
      <c r="AC141" s="22">
        <f t="shared" si="111"/>
        <v>96.11473287142104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-6.3550942286383367E-14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278.5296012747549</v>
      </c>
      <c r="AO141" s="59">
        <f t="shared" si="144"/>
        <v>370.55343097937077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43.802425605222425</v>
      </c>
      <c r="AV141" s="21">
        <f>EXP(-LN(2)/25)*AV140+(1-EXP(-LN(2)/25))/(LN(2)/25)*Calculateur!AQ141*Calculateur!AS141*VLOOKUP('Données projet'!$B$10,Paramètres!$A$1:$I$89,3,0)*0.475*44/12</f>
        <v>5.7684721846036826</v>
      </c>
      <c r="AW141" s="21">
        <f>EXP(-LN(2)/2)*AW140+(1-EXP(-LN(2)/2))/(LN(2)/2)*AQ141*AT141*VLOOKUP('Données projet'!$B$10,Paramètres!$A$1:$I$89,3,0)*0.475*44/12</f>
        <v>1.0984735906951341E-11</v>
      </c>
      <c r="AX141" s="21">
        <f t="shared" si="114"/>
        <v>49.57089778983709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2.4769230769230743</v>
      </c>
      <c r="BD141" s="12">
        <f>IF('Données projet'!$A$88&gt;35,BD140+BC141-BL140,IF(A141&lt;'Données projet'!$A$88,$BA$205^A141,IF(A141='Données projet'!$A$88,'Données projet'!$B$88,BD140+BC141-BL140)))</f>
        <v>169.37692307692359</v>
      </c>
      <c r="BE141" s="13">
        <f>BD141*VLOOKUP('Données projet'!$B$11,Paramètres!$A$1:$I$89,3,0)*VLOOKUP('Données projet'!$B$11,Paramètres!$A$1:$I$89,5,0)</f>
        <v>79.268400000000241</v>
      </c>
      <c r="BF141" s="13">
        <f t="shared" si="145"/>
        <v>21.958208592796566</v>
      </c>
      <c r="BG141" s="20">
        <f t="shared" si="115"/>
        <v>176.30300996578777</v>
      </c>
      <c r="BH141" s="59">
        <f t="shared" si="116"/>
        <v>469.63634329912111</v>
      </c>
      <c r="BI141" s="59">
        <f ca="1">AVERAGE(OFFSET($BH$3,0,0,'Données projet'!$E$11+1,1))-AVERAGE(OFFSET($H$3,0,0,'Données projet'!$E$11+1,1))</f>
        <v>111.85541298746966</v>
      </c>
      <c r="BJ141" s="59">
        <f t="shared" si="146"/>
        <v>27.56942482401746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57.734226525936883</v>
      </c>
      <c r="BQ141" s="21">
        <f>EXP(-LN(2)/25)*BQ140+(1-EXP(-LN(2)/25))/(LN(2)/25)*Calculateur!BL141*Calculateur!BN141*VLOOKUP('Données projet'!$B$11,Paramètres!$A$1:$I$89,3,0)*0.475*44/12</f>
        <v>14.232953587824246</v>
      </c>
      <c r="BR141" s="21">
        <f>EXP(-LN(2)/2)*BR140+(1-EXP(-LN(2)/2))/(LN(2)/2)*BL141*BO141*VLOOKUP('Données projet'!$B$11,Paramètres!$A$1:$I$89,3,0)*0.475*44/12</f>
        <v>2.7838790296737317</v>
      </c>
      <c r="BS141" s="22">
        <f t="shared" si="117"/>
        <v>74.751059143434858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253.62423410951334</v>
      </c>
      <c r="CE141" s="59">
        <f t="shared" si="148"/>
        <v>230.93438491511529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54.745139367005414</v>
      </c>
      <c r="CL141" s="21">
        <f>EXP(-LN(2)/25)*CL140+(1-EXP(-LN(2)/25))/(LN(2)/25)*Calculateur!CG141*Calculateur!CI141*VLOOKUP('Données projet'!$B$12,Paramètres!$A$1:$I$89,3,0)*0.475*44/12</f>
        <v>8.4128401596554774</v>
      </c>
      <c r="CM141" s="21">
        <f>EXP(-LN(2)/2)*CM140+(1-EXP(-LN(2)/2))/(LN(2)/2)*CG141*CJ141*VLOOKUP('Données projet'!$B$12,Paramètres!$A$1:$I$89,3,0)*0.475*44/12</f>
        <v>2.3185485222122218E-9</v>
      </c>
      <c r="CN141" s="22">
        <f t="shared" si="120"/>
        <v>63.157979528979446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-7.3896444519050419E-13</v>
      </c>
      <c r="O142" s="13">
        <f>N142*VLOOKUP('Données projet'!$B$9,Paramètres!$A$1:$I$89,3,0)*VLOOKUP('Données projet'!$B$9,Paramètres!$A$1:$I$89,5,0)</f>
        <v>-3.4583536034915594E-13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190.74210845597287</v>
      </c>
      <c r="T142" s="59">
        <f t="shared" si="142"/>
        <v>131.88015896015884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79.86694379299604</v>
      </c>
      <c r="AA142" s="21">
        <f>EXP(-LN(2)/25)*AA141+(1-EXP(-LN(2)/25))/(LN(2)/25)*Calculateur!V142*Calculateur!X142*VLOOKUP('Données projet'!$B$9,Paramètres!$A$1:$I$89,3,0)*0.475*44/12</f>
        <v>14.249650049808759</v>
      </c>
      <c r="AB142" s="21">
        <f>EXP(-LN(2)/2)*AB141+(1-EXP(-LN(2)/2))/(LN(2)/2)*V142*Y142*VLOOKUP('Données projet'!$B$9,Paramètres!$A$1:$I$89,3,0)*0.475*44/12</f>
        <v>4.2017553443213365E-5</v>
      </c>
      <c r="AC142" s="22">
        <f t="shared" si="111"/>
        <v>94.116635860358244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-6.3550942286383367E-14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278.5296012747549</v>
      </c>
      <c r="AO142" s="59">
        <f t="shared" si="144"/>
        <v>370.55343097937077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42.943486755945564</v>
      </c>
      <c r="AV142" s="21">
        <f>EXP(-LN(2)/25)*AV141+(1-EXP(-LN(2)/25))/(LN(2)/25)*Calculateur!AQ142*Calculateur!AS142*VLOOKUP('Données projet'!$B$10,Paramètres!$A$1:$I$89,3,0)*0.475*44/12</f>
        <v>5.6107330093649264</v>
      </c>
      <c r="AW142" s="21">
        <f>EXP(-LN(2)/2)*AW141+(1-EXP(-LN(2)/2))/(LN(2)/2)*AQ142*AT142*VLOOKUP('Données projet'!$B$10,Paramètres!$A$1:$I$89,3,0)*0.475*44/12</f>
        <v>7.7673812493486533E-12</v>
      </c>
      <c r="AX142" s="21">
        <f t="shared" si="114"/>
        <v>48.554219765318258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2.4769230769230743</v>
      </c>
      <c r="BD142" s="12">
        <f>IF('Données projet'!$A$88&gt;35,BD141+BC142-BL141,IF(A142&lt;'Données projet'!$A$88,$BA$205^A142,IF(A142='Données projet'!$A$88,'Données projet'!$B$88,BD141+BC142-BL141)))</f>
        <v>171.85384615384666</v>
      </c>
      <c r="BE142" s="13">
        <f>BD142*VLOOKUP('Données projet'!$B$11,Paramètres!$A$1:$I$89,3,0)*VLOOKUP('Données projet'!$B$11,Paramètres!$A$1:$I$89,5,0)</f>
        <v>80.42760000000024</v>
      </c>
      <c r="BF142" s="13">
        <f t="shared" si="145"/>
        <v>22.241702092693451</v>
      </c>
      <c r="BG142" s="20">
        <f t="shared" si="115"/>
        <v>178.81570114477483</v>
      </c>
      <c r="BH142" s="59">
        <f t="shared" si="116"/>
        <v>472.14903447810815</v>
      </c>
      <c r="BI142" s="59">
        <f ca="1">AVERAGE(OFFSET($BH$3,0,0,'Données projet'!$E$11+1,1))-AVERAGE(OFFSET($H$3,0,0,'Données projet'!$E$11+1,1))</f>
        <v>111.85541298746966</v>
      </c>
      <c r="BJ142" s="59">
        <f t="shared" si="146"/>
        <v>27.56942482401746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56.602093558164306</v>
      </c>
      <c r="BQ142" s="21">
        <f>EXP(-LN(2)/25)*BQ141+(1-EXP(-LN(2)/25))/(LN(2)/25)*Calculateur!BL142*Calculateur!BN142*VLOOKUP('Données projet'!$B$11,Paramètres!$A$1:$I$89,3,0)*0.475*44/12</f>
        <v>13.843752723486693</v>
      </c>
      <c r="BR142" s="21">
        <f>EXP(-LN(2)/2)*BR141+(1-EXP(-LN(2)/2))/(LN(2)/2)*BL142*BO142*VLOOKUP('Données projet'!$B$11,Paramètres!$A$1:$I$89,3,0)*0.475*44/12</f>
        <v>1.9684997398853217</v>
      </c>
      <c r="BS142" s="22">
        <f t="shared" si="117"/>
        <v>72.414346021536318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253.62423410951334</v>
      </c>
      <c r="CE142" s="59">
        <f t="shared" si="148"/>
        <v>230.93438491511529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53.671620575256341</v>
      </c>
      <c r="CL142" s="21">
        <f>EXP(-LN(2)/25)*CL141+(1-EXP(-LN(2)/25))/(LN(2)/25)*Calculateur!CG142*Calculateur!CI142*VLOOKUP('Données projet'!$B$12,Paramètres!$A$1:$I$89,3,0)*0.475*44/12</f>
        <v>8.1827906030776614</v>
      </c>
      <c r="CM142" s="21">
        <f>EXP(-LN(2)/2)*CM141+(1-EXP(-LN(2)/2))/(LN(2)/2)*CG142*CJ142*VLOOKUP('Données projet'!$B$12,Paramètres!$A$1:$I$89,3,0)*0.475*44/12</f>
        <v>1.6394613825663107E-9</v>
      </c>
      <c r="CN142" s="22">
        <f t="shared" si="120"/>
        <v>61.854411179973468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-7.3896444519050419E-13</v>
      </c>
      <c r="O143" s="13">
        <f>N143*VLOOKUP('Données projet'!$B$9,Paramètres!$A$1:$I$89,3,0)*VLOOKUP('Données projet'!$B$9,Paramètres!$A$1:$I$89,5,0)</f>
        <v>-3.4583536034915594E-13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190.74210845597287</v>
      </c>
      <c r="T143" s="59">
        <f t="shared" si="142"/>
        <v>131.88015896015884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78.300801739240995</v>
      </c>
      <c r="AA143" s="21">
        <f>EXP(-LN(2)/25)*AA142+(1-EXP(-LN(2)/25))/(LN(2)/25)*Calculateur!V143*Calculateur!X143*VLOOKUP('Données projet'!$B$9,Paramètres!$A$1:$I$89,3,0)*0.475*44/12</f>
        <v>13.859992619840209</v>
      </c>
      <c r="AB143" s="21">
        <f>EXP(-LN(2)/2)*AB142+(1-EXP(-LN(2)/2))/(LN(2)/2)*V143*Y143*VLOOKUP('Données projet'!$B$9,Paramètres!$A$1:$I$89,3,0)*0.475*44/12</f>
        <v>2.971089696856434E-5</v>
      </c>
      <c r="AC143" s="22">
        <f t="shared" si="111"/>
        <v>92.160824069978176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-6.3550942286383367E-14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278.5296012747549</v>
      </c>
      <c r="AO143" s="59">
        <f t="shared" si="144"/>
        <v>370.55343097937077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42.101391173602053</v>
      </c>
      <c r="AV143" s="21">
        <f>EXP(-LN(2)/25)*AV142+(1-EXP(-LN(2)/25))/(LN(2)/25)*Calculateur!AQ143*Calculateur!AS143*VLOOKUP('Données projet'!$B$10,Paramètres!$A$1:$I$89,3,0)*0.475*44/12</f>
        <v>5.4573072201682171</v>
      </c>
      <c r="AW143" s="21">
        <f>EXP(-LN(2)/2)*AW142+(1-EXP(-LN(2)/2))/(LN(2)/2)*AQ143*AT143*VLOOKUP('Données projet'!$B$10,Paramètres!$A$1:$I$89,3,0)*0.475*44/12</f>
        <v>5.4923679534756703E-12</v>
      </c>
      <c r="AX143" s="21">
        <f t="shared" si="114"/>
        <v>47.558698393775764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2.4769230769230743</v>
      </c>
      <c r="BD143" s="12">
        <f>IF('Données projet'!$A$88&gt;35,BD142+BC143-BL142,IF(A143&lt;'Données projet'!$A$88,$BA$205^A143,IF(A143='Données projet'!$A$88,'Données projet'!$B$88,BD142+BC143-BL142)))</f>
        <v>174.33076923076973</v>
      </c>
      <c r="BE143" s="13">
        <f>BD143*VLOOKUP('Données projet'!$B$11,Paramètres!$A$1:$I$89,3,0)*VLOOKUP('Données projet'!$B$11,Paramètres!$A$1:$I$89,5,0)</f>
        <v>81.586800000000238</v>
      </c>
      <c r="BF143" s="13">
        <f t="shared" si="145"/>
        <v>22.524720365709797</v>
      </c>
      <c r="BG143" s="20">
        <f t="shared" si="115"/>
        <v>181.32756463694497</v>
      </c>
      <c r="BH143" s="59">
        <f t="shared" si="116"/>
        <v>474.66089797027826</v>
      </c>
      <c r="BI143" s="59">
        <f ca="1">AVERAGE(OFFSET($BH$3,0,0,'Données projet'!$E$11+1,1))-AVERAGE(OFFSET($H$3,0,0,'Données projet'!$E$11+1,1))</f>
        <v>111.85541298746966</v>
      </c>
      <c r="BJ143" s="59">
        <f t="shared" si="146"/>
        <v>27.56942482401746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55.492161027356822</v>
      </c>
      <c r="BQ143" s="21">
        <f>EXP(-LN(2)/25)*BQ142+(1-EXP(-LN(2)/25))/(LN(2)/25)*Calculateur!BL143*Calculateur!BN143*VLOOKUP('Données projet'!$B$11,Paramètres!$A$1:$I$89,3,0)*0.475*44/12</f>
        <v>13.465194577251633</v>
      </c>
      <c r="BR143" s="21">
        <f>EXP(-LN(2)/2)*BR142+(1-EXP(-LN(2)/2))/(LN(2)/2)*BL143*BO143*VLOOKUP('Données projet'!$B$11,Paramètres!$A$1:$I$89,3,0)*0.475*44/12</f>
        <v>1.3919395148368661</v>
      </c>
      <c r="BS143" s="22">
        <f t="shared" si="117"/>
        <v>70.349295119445316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253.62423410951334</v>
      </c>
      <c r="CE143" s="59">
        <f t="shared" si="148"/>
        <v>230.93438491511529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52.619152832231656</v>
      </c>
      <c r="CL143" s="21">
        <f>EXP(-LN(2)/25)*CL142+(1-EXP(-LN(2)/25))/(LN(2)/25)*Calculateur!CG143*Calculateur!CI143*VLOOKUP('Données projet'!$B$12,Paramètres!$A$1:$I$89,3,0)*0.475*44/12</f>
        <v>7.9590317637222467</v>
      </c>
      <c r="CM143" s="21">
        <f>EXP(-LN(2)/2)*CM142+(1-EXP(-LN(2)/2))/(LN(2)/2)*CG143*CJ143*VLOOKUP('Données projet'!$B$12,Paramètres!$A$1:$I$89,3,0)*0.475*44/12</f>
        <v>1.1592742611061109E-9</v>
      </c>
      <c r="CN143" s="22">
        <f t="shared" si="120"/>
        <v>60.578184597113172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-7.3896444519050419E-13</v>
      </c>
      <c r="O144" s="13">
        <f>N144*VLOOKUP('Données projet'!$B$9,Paramètres!$A$1:$I$89,3,0)*VLOOKUP('Données projet'!$B$9,Paramètres!$A$1:$I$89,5,0)</f>
        <v>-3.4583536034915594E-13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190.74210845597287</v>
      </c>
      <c r="T144" s="59">
        <f t="shared" si="142"/>
        <v>131.88015896015884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76.765370775907755</v>
      </c>
      <c r="AA144" s="21">
        <f>EXP(-LN(2)/25)*AA143+(1-EXP(-LN(2)/25))/(LN(2)/25)*Calculateur!V144*Calculateur!X144*VLOOKUP('Données projet'!$B$9,Paramètres!$A$1:$I$89,3,0)*0.475*44/12</f>
        <v>13.480990392785344</v>
      </c>
      <c r="AB144" s="21">
        <f>EXP(-LN(2)/2)*AB143+(1-EXP(-LN(2)/2))/(LN(2)/2)*V144*Y144*VLOOKUP('Données projet'!$B$9,Paramètres!$A$1:$I$89,3,0)*0.475*44/12</f>
        <v>2.1008776721606682E-5</v>
      </c>
      <c r="AC144" s="22">
        <f t="shared" si="111"/>
        <v>90.246382177469826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-6.3550942286383367E-14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278.5296012747549</v>
      </c>
      <c r="AO144" s="59">
        <f t="shared" si="144"/>
        <v>370.55343097937077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41.275808572000713</v>
      </c>
      <c r="AV144" s="21">
        <f>EXP(-LN(2)/25)*AV143+(1-EXP(-LN(2)/25))/(LN(2)/25)*Calculateur!AQ144*Calculateur!AS144*VLOOKUP('Données projet'!$B$10,Paramètres!$A$1:$I$89,3,0)*0.475*44/12</f>
        <v>5.3080768672454033</v>
      </c>
      <c r="AW144" s="21">
        <f>EXP(-LN(2)/2)*AW143+(1-EXP(-LN(2)/2))/(LN(2)/2)*AQ144*AT144*VLOOKUP('Données projet'!$B$10,Paramètres!$A$1:$I$89,3,0)*0.475*44/12</f>
        <v>3.8836906246743267E-12</v>
      </c>
      <c r="AX144" s="21">
        <f t="shared" si="114"/>
        <v>46.583885439250004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2.4769230769230743</v>
      </c>
      <c r="BD144" s="12">
        <f>IF('Données projet'!$A$88&gt;35,BD143+BC144-BL143,IF(A144&lt;'Données projet'!$A$88,$BA$205^A144,IF(A144='Données projet'!$A$88,'Données projet'!$B$88,BD143+BC144-BL143)))</f>
        <v>176.8076923076928</v>
      </c>
      <c r="BE144" s="13">
        <f>BD144*VLOOKUP('Données projet'!$B$11,Paramètres!$A$1:$I$89,3,0)*VLOOKUP('Données projet'!$B$11,Paramètres!$A$1:$I$89,5,0)</f>
        <v>82.746000000000237</v>
      </c>
      <c r="BF144" s="13">
        <f t="shared" si="145"/>
        <v>22.807270944180775</v>
      </c>
      <c r="BG144" s="20">
        <f t="shared" si="115"/>
        <v>183.83861356111524</v>
      </c>
      <c r="BH144" s="59">
        <f t="shared" si="116"/>
        <v>477.17194689444852</v>
      </c>
      <c r="BI144" s="59">
        <f ca="1">AVERAGE(OFFSET($BH$3,0,0,'Données projet'!$E$11+1,1))-AVERAGE(OFFSET($H$3,0,0,'Données projet'!$E$11+1,1))</f>
        <v>111.85541298746966</v>
      </c>
      <c r="BJ144" s="59">
        <f t="shared" si="146"/>
        <v>27.56942482401746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54.40399359648648</v>
      </c>
      <c r="BQ144" s="21">
        <f>EXP(-LN(2)/25)*BQ143+(1-EXP(-LN(2)/25))/(LN(2)/25)*Calculateur!BL144*Calculateur!BN144*VLOOKUP('Données projet'!$B$11,Paramètres!$A$1:$I$89,3,0)*0.475*44/12</f>
        <v>13.09698812343288</v>
      </c>
      <c r="BR144" s="21">
        <f>EXP(-LN(2)/2)*BR143+(1-EXP(-LN(2)/2))/(LN(2)/2)*BL144*BO144*VLOOKUP('Données projet'!$B$11,Paramètres!$A$1:$I$89,3,0)*0.475*44/12</f>
        <v>0.98424986994266106</v>
      </c>
      <c r="BS144" s="22">
        <f t="shared" si="117"/>
        <v>68.485231589862025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253.62423410951334</v>
      </c>
      <c r="CE144" s="59">
        <f t="shared" si="148"/>
        <v>230.93438491511529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51.587323339705748</v>
      </c>
      <c r="CL144" s="21">
        <f>EXP(-LN(2)/25)*CL143+(1-EXP(-LN(2)/25))/(LN(2)/25)*Calculateur!CG144*Calculateur!CI144*VLOOKUP('Données projet'!$B$12,Paramètres!$A$1:$I$89,3,0)*0.475*44/12</f>
        <v>7.7413916215959722</v>
      </c>
      <c r="CM144" s="21">
        <f>EXP(-LN(2)/2)*CM143+(1-EXP(-LN(2)/2))/(LN(2)/2)*CG144*CJ144*VLOOKUP('Données projet'!$B$12,Paramètres!$A$1:$I$89,3,0)*0.475*44/12</f>
        <v>8.1973069128315534E-10</v>
      </c>
      <c r="CN144" s="22">
        <f t="shared" si="120"/>
        <v>59.328714962121452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-7.3896444519050419E-13</v>
      </c>
      <c r="O145" s="13">
        <f>N145*VLOOKUP('Données projet'!$B$9,Paramètres!$A$1:$I$89,3,0)*VLOOKUP('Données projet'!$B$9,Paramètres!$A$1:$I$89,5,0)</f>
        <v>-3.4583536034915594E-13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190.74210845597287</v>
      </c>
      <c r="T145" s="59">
        <f t="shared" si="142"/>
        <v>131.88015896015884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75.260048677245067</v>
      </c>
      <c r="AA145" s="21">
        <f>EXP(-LN(2)/25)*AA144+(1-EXP(-LN(2)/25))/(LN(2)/25)*Calculateur!V145*Calculateur!X145*VLOOKUP('Données projet'!$B$9,Paramètres!$A$1:$I$89,3,0)*0.475*44/12</f>
        <v>13.112352001560156</v>
      </c>
      <c r="AB145" s="21">
        <f>EXP(-LN(2)/2)*AB144+(1-EXP(-LN(2)/2))/(LN(2)/2)*V145*Y145*VLOOKUP('Données projet'!$B$9,Paramètres!$A$1:$I$89,3,0)*0.475*44/12</f>
        <v>1.485544848428217E-5</v>
      </c>
      <c r="AC145" s="22">
        <f t="shared" si="111"/>
        <v>88.372415534253705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-6.3550942286383367E-14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278.5296012747549</v>
      </c>
      <c r="AO145" s="59">
        <f t="shared" si="144"/>
        <v>370.55343097937077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40.466415141661109</v>
      </c>
      <c r="AV145" s="21">
        <f>EXP(-LN(2)/25)*AV144+(1-EXP(-LN(2)/25))/(LN(2)/25)*Calculateur!AQ145*Calculateur!AS145*VLOOKUP('Données projet'!$B$10,Paramètres!$A$1:$I$89,3,0)*0.475*44/12</f>
        <v>5.1629272261709467</v>
      </c>
      <c r="AW145" s="21">
        <f>EXP(-LN(2)/2)*AW144+(1-EXP(-LN(2)/2))/(LN(2)/2)*AQ145*AT145*VLOOKUP('Données projet'!$B$10,Paramètres!$A$1:$I$89,3,0)*0.475*44/12</f>
        <v>2.7461839767378352E-12</v>
      </c>
      <c r="AX145" s="21">
        <f t="shared" si="114"/>
        <v>45.629342367834795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2.4769230769230743</v>
      </c>
      <c r="BD145" s="12">
        <f>IF('Données projet'!$A$88&gt;35,BD144+BC145-BL144,IF(A145&lt;'Données projet'!$A$88,$BA$205^A145,IF(A145='Données projet'!$A$88,'Données projet'!$B$88,BD144+BC145-BL144)))</f>
        <v>179.28461538461588</v>
      </c>
      <c r="BE145" s="13">
        <f>BD145*VLOOKUP('Données projet'!$B$11,Paramètres!$A$1:$I$89,3,0)*VLOOKUP('Données projet'!$B$11,Paramètres!$A$1:$I$89,5,0)</f>
        <v>83.905200000000221</v>
      </c>
      <c r="BF145" s="13">
        <f t="shared" si="145"/>
        <v>23.089361137276025</v>
      </c>
      <c r="BG145" s="20">
        <f t="shared" si="115"/>
        <v>186.34886064742281</v>
      </c>
      <c r="BH145" s="59">
        <f t="shared" si="116"/>
        <v>479.6821939807561</v>
      </c>
      <c r="BI145" s="59">
        <f ca="1">AVERAGE(OFFSET($BH$3,0,0,'Données projet'!$E$11+1,1))-AVERAGE(OFFSET($H$3,0,0,'Données projet'!$E$11+1,1))</f>
        <v>111.85541298746966</v>
      </c>
      <c r="BJ145" s="59">
        <f t="shared" si="146"/>
        <v>27.56942482401746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53.337164465218912</v>
      </c>
      <c r="BQ145" s="21">
        <f>EXP(-LN(2)/25)*BQ144+(1-EXP(-LN(2)/25))/(LN(2)/25)*Calculateur!BL145*Calculateur!BN145*VLOOKUP('Données projet'!$B$11,Paramètres!$A$1:$I$89,3,0)*0.475*44/12</f>
        <v>12.738850294456936</v>
      </c>
      <c r="BR145" s="21">
        <f>EXP(-LN(2)/2)*BR144+(1-EXP(-LN(2)/2))/(LN(2)/2)*BL145*BO145*VLOOKUP('Données projet'!$B$11,Paramètres!$A$1:$I$89,3,0)*0.475*44/12</f>
        <v>0.69596975741843314</v>
      </c>
      <c r="BS145" s="22">
        <f t="shared" si="117"/>
        <v>66.771984517094282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253.62423410951334</v>
      </c>
      <c r="CE145" s="59">
        <f t="shared" si="148"/>
        <v>230.93438491511529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50.575727394174429</v>
      </c>
      <c r="CL145" s="21">
        <f>EXP(-LN(2)/25)*CL144+(1-EXP(-LN(2)/25))/(LN(2)/25)*Calculateur!CG145*Calculateur!CI145*VLOOKUP('Données projet'!$B$12,Paramètres!$A$1:$I$89,3,0)*0.475*44/12</f>
        <v>7.5297028606013381</v>
      </c>
      <c r="CM145" s="21">
        <f>EXP(-LN(2)/2)*CM144+(1-EXP(-LN(2)/2))/(LN(2)/2)*CG145*CJ145*VLOOKUP('Données projet'!$B$12,Paramètres!$A$1:$I$89,3,0)*0.475*44/12</f>
        <v>5.7963713055305545E-10</v>
      </c>
      <c r="CN145" s="22">
        <f t="shared" si="120"/>
        <v>58.105430255355408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-7.3896444519050419E-13</v>
      </c>
      <c r="O146" s="13">
        <f>N146*VLOOKUP('Données projet'!$B$9,Paramètres!$A$1:$I$89,3,0)*VLOOKUP('Données projet'!$B$9,Paramètres!$A$1:$I$89,5,0)</f>
        <v>-3.4583536034915594E-13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190.74210845597287</v>
      </c>
      <c r="T146" s="59">
        <f t="shared" si="142"/>
        <v>131.88015896015884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73.784245026781335</v>
      </c>
      <c r="AA146" s="21">
        <f>EXP(-LN(2)/25)*AA145+(1-EXP(-LN(2)/25))/(LN(2)/25)*Calculateur!V146*Calculateur!X146*VLOOKUP('Données projet'!$B$9,Paramètres!$A$1:$I$89,3,0)*0.475*44/12</f>
        <v>12.753794046528871</v>
      </c>
      <c r="AB146" s="21">
        <f>EXP(-LN(2)/2)*AB145+(1-EXP(-LN(2)/2))/(LN(2)/2)*V146*Y146*VLOOKUP('Données projet'!$B$9,Paramètres!$A$1:$I$89,3,0)*0.475*44/12</f>
        <v>1.0504388360803341E-5</v>
      </c>
      <c r="AC146" s="22">
        <f t="shared" si="111"/>
        <v>86.538049577698558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-6.3550942286383367E-14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278.5296012747549</v>
      </c>
      <c r="AO146" s="59">
        <f t="shared" si="144"/>
        <v>370.55343097937077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39.672893422809217</v>
      </c>
      <c r="AV146" s="21">
        <f>EXP(-LN(2)/25)*AV145+(1-EXP(-LN(2)/25))/(LN(2)/25)*Calculateur!AQ146*Calculateur!AS146*VLOOKUP('Données projet'!$B$10,Paramètres!$A$1:$I$89,3,0)*0.475*44/12</f>
        <v>5.0217467096647592</v>
      </c>
      <c r="AW146" s="21">
        <f>EXP(-LN(2)/2)*AW145+(1-EXP(-LN(2)/2))/(LN(2)/2)*AQ146*AT146*VLOOKUP('Données projet'!$B$10,Paramètres!$A$1:$I$89,3,0)*0.475*44/12</f>
        <v>1.9418453123371633E-12</v>
      </c>
      <c r="AX146" s="21">
        <f t="shared" si="114"/>
        <v>44.694640132475918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2.4769230769230743</v>
      </c>
      <c r="BD146" s="12">
        <f>IF('Données projet'!$A$88&gt;35,BD145+BC146-BL145,IF(A146&lt;'Données projet'!$A$88,$BA$205^A146,IF(A146='Données projet'!$A$88,'Données projet'!$B$88,BD145+BC146-BL145)))</f>
        <v>181.76153846153895</v>
      </c>
      <c r="BE146" s="13">
        <f>BD146*VLOOKUP('Données projet'!$B$11,Paramètres!$A$1:$I$89,3,0)*VLOOKUP('Données projet'!$B$11,Paramètres!$A$1:$I$89,5,0)</f>
        <v>85.064400000000234</v>
      </c>
      <c r="BF146" s="13">
        <f t="shared" si="145"/>
        <v>23.370998040601542</v>
      </c>
      <c r="BG146" s="20">
        <f t="shared" si="115"/>
        <v>188.85831825404807</v>
      </c>
      <c r="BH146" s="59">
        <f t="shared" si="116"/>
        <v>482.19165158738139</v>
      </c>
      <c r="BI146" s="59">
        <f ca="1">AVERAGE(OFFSET($BH$3,0,0,'Données projet'!$E$11+1,1))-AVERAGE(OFFSET($H$3,0,0,'Données projet'!$E$11+1,1))</f>
        <v>111.85541298746966</v>
      </c>
      <c r="BJ146" s="59">
        <f t="shared" si="146"/>
        <v>27.56942482401746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52.29125520251398</v>
      </c>
      <c r="BQ146" s="21">
        <f>EXP(-LN(2)/25)*BQ145+(1-EXP(-LN(2)/25))/(LN(2)/25)*Calculateur!BL146*Calculateur!BN146*VLOOKUP('Données projet'!$B$11,Paramètres!$A$1:$I$89,3,0)*0.475*44/12</f>
        <v>12.39050576324799</v>
      </c>
      <c r="BR146" s="21">
        <f>EXP(-LN(2)/2)*BR145+(1-EXP(-LN(2)/2))/(LN(2)/2)*BL146*BO146*VLOOKUP('Données projet'!$B$11,Paramètres!$A$1:$I$89,3,0)*0.475*44/12</f>
        <v>0.49212493497133059</v>
      </c>
      <c r="BS146" s="22">
        <f t="shared" si="117"/>
        <v>65.173885900733296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253.62423410951334</v>
      </c>
      <c r="CE146" s="59">
        <f t="shared" si="148"/>
        <v>230.93438491511529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49.58396822812238</v>
      </c>
      <c r="CL146" s="21">
        <f>EXP(-LN(2)/25)*CL145+(1-EXP(-LN(2)/25))/(LN(2)/25)*Calculateur!CG146*Calculateur!CI146*VLOOKUP('Données projet'!$B$12,Paramètres!$A$1:$I$89,3,0)*0.475*44/12</f>
        <v>7.3238027399083308</v>
      </c>
      <c r="CM146" s="21">
        <f>EXP(-LN(2)/2)*CM145+(1-EXP(-LN(2)/2))/(LN(2)/2)*CG146*CJ146*VLOOKUP('Données projet'!$B$12,Paramètres!$A$1:$I$89,3,0)*0.475*44/12</f>
        <v>4.0986534564157767E-10</v>
      </c>
      <c r="CN146" s="22">
        <f t="shared" si="120"/>
        <v>56.907770968440573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-7.3896444519050419E-13</v>
      </c>
      <c r="O147" s="13">
        <f>N147*VLOOKUP('Données projet'!$B$9,Paramètres!$A$1:$I$89,3,0)*VLOOKUP('Données projet'!$B$9,Paramètres!$A$1:$I$89,5,0)</f>
        <v>-3.4583536034915594E-13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190.74210845597287</v>
      </c>
      <c r="T147" s="59">
        <f t="shared" si="142"/>
        <v>131.88015896015884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72.337380985751849</v>
      </c>
      <c r="AA147" s="21">
        <f>EXP(-LN(2)/25)*AA146+(1-EXP(-LN(2)/25))/(LN(2)/25)*Calculateur!V147*Calculateur!X147*VLOOKUP('Données projet'!$B$9,Paramètres!$A$1:$I$89,3,0)*0.475*44/12</f>
        <v>12.40504087763366</v>
      </c>
      <c r="AB147" s="21">
        <f>EXP(-LN(2)/2)*AB146+(1-EXP(-LN(2)/2))/(LN(2)/2)*V147*Y147*VLOOKUP('Données projet'!$B$9,Paramètres!$A$1:$I$89,3,0)*0.475*44/12</f>
        <v>7.4277242421410849E-6</v>
      </c>
      <c r="AC147" s="22">
        <f t="shared" si="111"/>
        <v>84.742429291109758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-6.3550942286383367E-14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278.5296012747549</v>
      </c>
      <c r="AO147" s="59">
        <f t="shared" si="144"/>
        <v>370.55343097937077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38.894932180863556</v>
      </c>
      <c r="AV147" s="21">
        <f>EXP(-LN(2)/25)*AV146+(1-EXP(-LN(2)/25))/(LN(2)/25)*Calculateur!AQ147*Calculateur!AS147*VLOOKUP('Données projet'!$B$10,Paramètres!$A$1:$I$89,3,0)*0.475*44/12</f>
        <v>4.8844267818067939</v>
      </c>
      <c r="AW147" s="21">
        <f>EXP(-LN(2)/2)*AW146+(1-EXP(-LN(2)/2))/(LN(2)/2)*AQ147*AT147*VLOOKUP('Données projet'!$B$10,Paramètres!$A$1:$I$89,3,0)*0.475*44/12</f>
        <v>1.3730919883689176E-12</v>
      </c>
      <c r="AX147" s="21">
        <f t="shared" si="114"/>
        <v>43.779358962671722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184.23846153846154</v>
      </c>
      <c r="BB147" s="12">
        <f>VLOOKUP(A147,'Données projet'!$A$87:$I$107,9,0)</f>
        <v>2.4769230769230743</v>
      </c>
      <c r="BC147" s="12">
        <f t="array" ref="BC147">INDEX(BB:BB,MIN(IF(ISNUMBER(BB147:BB343),ROW(BB147:BB343),"")))</f>
        <v>2.4769230769230743</v>
      </c>
      <c r="BD147" s="12">
        <f>IF('Données projet'!$A$88&gt;35,BD146+BC147-BL146,IF(A147&lt;'Données projet'!$A$88,$BA$205^A147,IF(A147='Données projet'!$A$88,'Données projet'!$B$88,BD146+BC147-BL146)))</f>
        <v>184.23846153846202</v>
      </c>
      <c r="BE147" s="13">
        <f>BD147*VLOOKUP('Données projet'!$B$11,Paramètres!$A$1:$I$89,3,0)*VLOOKUP('Données projet'!$B$11,Paramètres!$A$1:$I$89,5,0)</f>
        <v>86.223600000000232</v>
      </c>
      <c r="BF147" s="13">
        <f t="shared" si="145"/>
        <v>23.652188545263236</v>
      </c>
      <c r="BG147" s="20">
        <f t="shared" si="115"/>
        <v>191.36699838300055</v>
      </c>
      <c r="BH147" s="59">
        <f t="shared" si="116"/>
        <v>484.70033171633384</v>
      </c>
      <c r="BI147" s="59">
        <f ca="1">AVERAGE(OFFSET($BH$3,0,0,'Données projet'!$E$11+1,1))-AVERAGE(OFFSET($H$3,0,0,'Données projet'!$E$11+1,1))</f>
        <v>111.85541298746966</v>
      </c>
      <c r="BJ147" s="59">
        <f t="shared" si="146"/>
        <v>27.56942482401746</v>
      </c>
      <c r="BK147" s="15">
        <f>IF(ISNA(VLOOKUP(A147,'Données projet'!$A$87:$I$107,3,0)),0,VLOOKUP(A147,'Données projet'!$A$87:$I$107,3,0))</f>
        <v>6</v>
      </c>
      <c r="BL147" s="15">
        <f>IF(ISNA(VLOOKUP(A147,'Données projet'!$A$87:$I$107,4,0)),0,VLOOKUP(A147,'Données projet'!$A$87:$I$107,4,0))</f>
        <v>184.23846153846154</v>
      </c>
      <c r="BM147" s="16">
        <f>IF(ISNA(VLOOKUP(A147,'Données projet'!$A$87:$I$107,5,0)),0%,VLOOKUP(A147,'Données projet'!$A$87:$I$107,5,0)*VLOOKUP('Données projet'!$B$11,Paramètres!$A$1:$I$89,7,0))</f>
        <v>0.38500000000000001</v>
      </c>
      <c r="BN147" s="16">
        <f>IF(ISNA(VLOOKUP(A147,'Données projet'!$A$87:$I$107,6,0)),0%,VLOOKUP(A147,'Données projet'!$A$87:$I$107,6,0)*VLOOKUP('Données projet'!$B$11,Paramètres!$A$1:$I$89,7,0))</f>
        <v>9.240000000000001E-2</v>
      </c>
      <c r="BO147" s="16">
        <f>IF(ISNA(VLOOKUP(A147,'Données projet'!$A$87:$I$107,7,0)),0%,VLOOKUP(A147,'Données projet'!$A$87:$I$107,7,0))</f>
        <v>0.13200000000000001</v>
      </c>
      <c r="BP147" s="21">
        <f>EXP(-LN(2)/35)*BP146+(1-EXP(-LN(2)/35))/(LN(2)/35)*BL147*BM147*VLOOKUP('Données projet'!$B$11,Paramètres!$A$1:$I$89,3,0)*0.475*44/12</f>
        <v>95.302603329823171</v>
      </c>
      <c r="BQ147" s="21">
        <f>EXP(-LN(2)/25)*BQ146+(1-EXP(-LN(2)/25))/(LN(2)/25)*Calculateur!BL147*Calculateur!BN147*VLOOKUP('Données projet'!$B$11,Paramètres!$A$1:$I$89,3,0)*0.475*44/12</f>
        <v>22.578892721671579</v>
      </c>
      <c r="BR147" s="21">
        <f>EXP(-LN(2)/2)*BR146+(1-EXP(-LN(2)/2))/(LN(2)/2)*BL147*BO147*VLOOKUP('Données projet'!$B$11,Paramètres!$A$1:$I$89,3,0)*0.475*44/12</f>
        <v>13.234503982937609</v>
      </c>
      <c r="BS147" s="22">
        <f t="shared" si="117"/>
        <v>131.11600003443235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253.62423410951334</v>
      </c>
      <c r="CE147" s="59">
        <f t="shared" si="148"/>
        <v>230.93438491511529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48.61165685440325</v>
      </c>
      <c r="CL147" s="21">
        <f>EXP(-LN(2)/25)*CL146+(1-EXP(-LN(2)/25))/(LN(2)/25)*Calculateur!CG147*Calculateur!CI147*VLOOKUP('Données projet'!$B$12,Paramètres!$A$1:$I$89,3,0)*0.475*44/12</f>
        <v>7.1235329688434899</v>
      </c>
      <c r="CM147" s="21">
        <f>EXP(-LN(2)/2)*CM146+(1-EXP(-LN(2)/2))/(LN(2)/2)*CG147*CJ147*VLOOKUP('Données projet'!$B$12,Paramètres!$A$1:$I$89,3,0)*0.475*44/12</f>
        <v>2.8981856527652773E-10</v>
      </c>
      <c r="CN147" s="22">
        <f t="shared" si="120"/>
        <v>55.735189823536558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-7.3896444519050419E-13</v>
      </c>
      <c r="O148" s="13">
        <f>N148*VLOOKUP('Données projet'!$B$9,Paramètres!$A$1:$I$89,3,0)*VLOOKUP('Données projet'!$B$9,Paramètres!$A$1:$I$89,5,0)</f>
        <v>-3.4583536034915594E-13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190.74210845597287</v>
      </c>
      <c r="T148" s="59">
        <f t="shared" si="142"/>
        <v>131.88015896015884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70.918889066067024</v>
      </c>
      <c r="AA148" s="21">
        <f>EXP(-LN(2)/25)*AA147+(1-EXP(-LN(2)/25))/(LN(2)/25)*Calculateur!V148*Calculateur!X148*VLOOKUP('Données projet'!$B$9,Paramètres!$A$1:$I$89,3,0)*0.475*44/12</f>
        <v>12.06582438248202</v>
      </c>
      <c r="AB148" s="21">
        <f>EXP(-LN(2)/2)*AB147+(1-EXP(-LN(2)/2))/(LN(2)/2)*V148*Y148*VLOOKUP('Données projet'!$B$9,Paramètres!$A$1:$I$89,3,0)*0.475*44/12</f>
        <v>5.2521941804016706E-6</v>
      </c>
      <c r="AC148" s="22">
        <f t="shared" si="111"/>
        <v>82.98471870074323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-6.3550942286383367E-14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278.5296012747549</v>
      </c>
      <c r="AO148" s="59">
        <f t="shared" si="144"/>
        <v>370.55343097937077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38.132226284362943</v>
      </c>
      <c r="AV148" s="21">
        <f>EXP(-LN(2)/25)*AV147+(1-EXP(-LN(2)/25))/(LN(2)/25)*Calculateur!AQ148*Calculateur!AS148*VLOOKUP('Données projet'!$B$10,Paramètres!$A$1:$I$89,3,0)*0.475*44/12</f>
        <v>4.7508618745974465</v>
      </c>
      <c r="AW148" s="21">
        <f>EXP(-LN(2)/2)*AW147+(1-EXP(-LN(2)/2))/(LN(2)/2)*AQ148*AT148*VLOOKUP('Données projet'!$B$10,Paramètres!$A$1:$I$89,3,0)*0.475*44/12</f>
        <v>9.7092265616858166E-13</v>
      </c>
      <c r="AX148" s="21">
        <f t="shared" si="114"/>
        <v>42.883088158961364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4.8316906031686813E-13</v>
      </c>
      <c r="BE148" s="13">
        <f>BD148*VLOOKUP('Données projet'!$B$11,Paramètres!$A$1:$I$89,3,0)*VLOOKUP('Données projet'!$B$11,Paramètres!$A$1:$I$89,5,0)</f>
        <v>2.2612312022829429E-13</v>
      </c>
      <c r="BF148" s="13">
        <f t="shared" si="145"/>
        <v>3.0892373714008046E-12</v>
      </c>
      <c r="BG148" s="20">
        <f t="shared" si="115"/>
        <v>5.7742528562540137E-12</v>
      </c>
      <c r="BH148" s="59">
        <f t="shared" si="116"/>
        <v>293.33333333333911</v>
      </c>
      <c r="BI148" s="59">
        <f ca="1">AVERAGE(OFFSET($BH$3,0,0,'Données projet'!$E$11+1,1))-AVERAGE(OFFSET($H$3,0,0,'Données projet'!$E$11+1,1))</f>
        <v>111.85541298746966</v>
      </c>
      <c r="BJ148" s="59">
        <f t="shared" si="146"/>
        <v>27.56942482401746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93.433777407373626</v>
      </c>
      <c r="BQ148" s="21">
        <f>EXP(-LN(2)/25)*BQ147+(1-EXP(-LN(2)/25))/(LN(2)/25)*Calculateur!BL148*Calculateur!BN148*VLOOKUP('Données projet'!$B$11,Paramètres!$A$1:$I$89,3,0)*0.475*44/12</f>
        <v>21.961471712825105</v>
      </c>
      <c r="BR148" s="21">
        <f>EXP(-LN(2)/2)*BR147+(1-EXP(-LN(2)/2))/(LN(2)/2)*BL148*BO148*VLOOKUP('Données projet'!$B$11,Paramètres!$A$1:$I$89,3,0)*0.475*44/12</f>
        <v>9.3582075119755554</v>
      </c>
      <c r="BS148" s="22">
        <f t="shared" si="117"/>
        <v>124.75345663217428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253.62423410951334</v>
      </c>
      <c r="CE148" s="59">
        <f t="shared" si="148"/>
        <v>230.93438491511529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47.658411913671372</v>
      </c>
      <c r="CL148" s="21">
        <f>EXP(-LN(2)/25)*CL147+(1-EXP(-LN(2)/25))/(LN(2)/25)*Calculateur!CG148*Calculateur!CI148*VLOOKUP('Données projet'!$B$12,Paramètres!$A$1:$I$89,3,0)*0.475*44/12</f>
        <v>6.9287395852001472</v>
      </c>
      <c r="CM148" s="21">
        <f>EXP(-LN(2)/2)*CM147+(1-EXP(-LN(2)/2))/(LN(2)/2)*CG148*CJ148*VLOOKUP('Données projet'!$B$12,Paramètres!$A$1:$I$89,3,0)*0.475*44/12</f>
        <v>2.0493267282078883E-10</v>
      </c>
      <c r="CN148" s="22">
        <f t="shared" si="120"/>
        <v>54.587151499076455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-7.3896444519050419E-13</v>
      </c>
      <c r="O149" s="13">
        <f>N149*VLOOKUP('Données projet'!$B$9,Paramètres!$A$1:$I$89,3,0)*VLOOKUP('Données projet'!$B$9,Paramètres!$A$1:$I$89,5,0)</f>
        <v>-3.4583536034915594E-13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190.74210845597287</v>
      </c>
      <c r="T149" s="59">
        <f t="shared" si="142"/>
        <v>131.88015896015884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69.528212907732581</v>
      </c>
      <c r="AA149" s="21">
        <f>EXP(-LN(2)/25)*AA148+(1-EXP(-LN(2)/25))/(LN(2)/25)*Calculateur!V149*Calculateur!X149*VLOOKUP('Données projet'!$B$9,Paramètres!$A$1:$I$89,3,0)*0.475*44/12</f>
        <v>11.735883780228923</v>
      </c>
      <c r="AB149" s="21">
        <f>EXP(-LN(2)/2)*AB148+(1-EXP(-LN(2)/2))/(LN(2)/2)*V149*Y149*VLOOKUP('Données projet'!$B$9,Paramètres!$A$1:$I$89,3,0)*0.475*44/12</f>
        <v>3.7138621210705424E-6</v>
      </c>
      <c r="AC149" s="22">
        <f t="shared" si="111"/>
        <v>81.264100401823626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-6.3550942286383367E-14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278.5296012747549</v>
      </c>
      <c r="AO149" s="59">
        <f t="shared" si="144"/>
        <v>370.55343097937077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37.384476585288049</v>
      </c>
      <c r="AV149" s="21">
        <f>EXP(-LN(2)/25)*AV148+(1-EXP(-LN(2)/25))/(LN(2)/25)*Calculateur!AQ149*Calculateur!AS149*VLOOKUP('Données projet'!$B$10,Paramètres!$A$1:$I$89,3,0)*0.475*44/12</f>
        <v>4.6209493067996119</v>
      </c>
      <c r="AW149" s="21">
        <f>EXP(-LN(2)/2)*AW148+(1-EXP(-LN(2)/2))/(LN(2)/2)*AQ149*AT149*VLOOKUP('Données projet'!$B$10,Paramètres!$A$1:$I$89,3,0)*0.475*44/12</f>
        <v>6.8654599418445879E-13</v>
      </c>
      <c r="AX149" s="21">
        <f t="shared" si="114"/>
        <v>42.005425892088347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4.8316906031686813E-13</v>
      </c>
      <c r="BE149" s="13">
        <f>BD149*VLOOKUP('Données projet'!$B$11,Paramètres!$A$1:$I$89,3,0)*VLOOKUP('Données projet'!$B$11,Paramètres!$A$1:$I$89,5,0)</f>
        <v>2.2612312022829429E-13</v>
      </c>
      <c r="BF149" s="13">
        <f t="shared" si="145"/>
        <v>3.0892373714008046E-12</v>
      </c>
      <c r="BG149" s="20">
        <f t="shared" si="115"/>
        <v>5.7742528562540137E-12</v>
      </c>
      <c r="BH149" s="59">
        <f t="shared" si="116"/>
        <v>293.33333333333911</v>
      </c>
      <c r="BI149" s="59">
        <f ca="1">AVERAGE(OFFSET($BH$3,0,0,'Données projet'!$E$11+1,1))-AVERAGE(OFFSET($H$3,0,0,'Données projet'!$E$11+1,1))</f>
        <v>111.85541298746966</v>
      </c>
      <c r="BJ149" s="59">
        <f t="shared" si="146"/>
        <v>27.56942482401746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91.60159802139205</v>
      </c>
      <c r="BQ149" s="21">
        <f>EXP(-LN(2)/25)*BQ148+(1-EXP(-LN(2)/25))/(LN(2)/25)*Calculateur!BL149*Calculateur!BN149*VLOOKUP('Données projet'!$B$11,Paramètres!$A$1:$I$89,3,0)*0.475*44/12</f>
        <v>21.360934113934299</v>
      </c>
      <c r="BR149" s="21">
        <f>EXP(-LN(2)/2)*BR148+(1-EXP(-LN(2)/2))/(LN(2)/2)*BL149*BO149*VLOOKUP('Données projet'!$B$11,Paramètres!$A$1:$I$89,3,0)*0.475*44/12</f>
        <v>6.6172519914688053</v>
      </c>
      <c r="BS149" s="22">
        <f t="shared" si="117"/>
        <v>119.57978412679515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253.62423410951334</v>
      </c>
      <c r="CE149" s="59">
        <f t="shared" si="148"/>
        <v>230.93438491511529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46.723859524805242</v>
      </c>
      <c r="CL149" s="21">
        <f>EXP(-LN(2)/25)*CL148+(1-EXP(-LN(2)/25))/(LN(2)/25)*Calculateur!CG149*Calculateur!CI149*VLOOKUP('Données projet'!$B$12,Paramètres!$A$1:$I$89,3,0)*0.475*44/12</f>
        <v>6.7392728368762702</v>
      </c>
      <c r="CM149" s="21">
        <f>EXP(-LN(2)/2)*CM148+(1-EXP(-LN(2)/2))/(LN(2)/2)*CG149*CJ149*VLOOKUP('Données projet'!$B$12,Paramètres!$A$1:$I$89,3,0)*0.475*44/12</f>
        <v>1.4490928263826386E-10</v>
      </c>
      <c r="CN149" s="22">
        <f t="shared" si="120"/>
        <v>53.463132361826418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-7.3896444519050419E-13</v>
      </c>
      <c r="O150" s="13">
        <f>N150*VLOOKUP('Données projet'!$B$9,Paramètres!$A$1:$I$89,3,0)*VLOOKUP('Données projet'!$B$9,Paramètres!$A$1:$I$89,5,0)</f>
        <v>-3.4583536034915594E-13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190.74210845597287</v>
      </c>
      <c r="T150" s="59">
        <f t="shared" si="142"/>
        <v>131.88015896015884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68.164807060634374</v>
      </c>
      <c r="AA150" s="21">
        <f>EXP(-LN(2)/25)*AA149+(1-EXP(-LN(2)/25))/(LN(2)/25)*Calculateur!V150*Calculateur!X150*VLOOKUP('Données projet'!$B$9,Paramètres!$A$1:$I$89,3,0)*0.475*44/12</f>
        <v>11.414965421095257</v>
      </c>
      <c r="AB150" s="21">
        <f>EXP(-LN(2)/2)*AB149+(1-EXP(-LN(2)/2))/(LN(2)/2)*V150*Y150*VLOOKUP('Données projet'!$B$9,Paramètres!$A$1:$I$89,3,0)*0.475*44/12</f>
        <v>2.6260970902008353E-6</v>
      </c>
      <c r="AC150" s="22">
        <f t="shared" si="111"/>
        <v>79.57977510782672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-6.3550942286383367E-14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278.5296012747549</v>
      </c>
      <c r="AO150" s="59">
        <f t="shared" si="144"/>
        <v>370.55343097937077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36.651389801729728</v>
      </c>
      <c r="AV150" s="21">
        <f>EXP(-LN(2)/25)*AV149+(1-EXP(-LN(2)/25))/(LN(2)/25)*Calculateur!AQ150*Calculateur!AS150*VLOOKUP('Données projet'!$B$10,Paramètres!$A$1:$I$89,3,0)*0.475*44/12</f>
        <v>4.4945892050000138</v>
      </c>
      <c r="AW150" s="21">
        <f>EXP(-LN(2)/2)*AW149+(1-EXP(-LN(2)/2))/(LN(2)/2)*AQ150*AT150*VLOOKUP('Données projet'!$B$10,Paramètres!$A$1:$I$89,3,0)*0.475*44/12</f>
        <v>4.8546132808429083E-13</v>
      </c>
      <c r="AX150" s="21">
        <f t="shared" si="114"/>
        <v>41.145979006730222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4.8316906031686813E-13</v>
      </c>
      <c r="BE150" s="13">
        <f>BD150*VLOOKUP('Données projet'!$B$11,Paramètres!$A$1:$I$89,3,0)*VLOOKUP('Données projet'!$B$11,Paramètres!$A$1:$I$89,5,0)</f>
        <v>2.2612312022829429E-13</v>
      </c>
      <c r="BF150" s="13">
        <f t="shared" si="145"/>
        <v>3.0892373714008046E-12</v>
      </c>
      <c r="BG150" s="20">
        <f t="shared" si="115"/>
        <v>5.7742528562540137E-12</v>
      </c>
      <c r="BH150" s="59">
        <f t="shared" si="116"/>
        <v>293.33333333333911</v>
      </c>
      <c r="BI150" s="59">
        <f ca="1">AVERAGE(OFFSET($BH$3,0,0,'Données projet'!$E$11+1,1))-AVERAGE(OFFSET($H$3,0,0,'Données projet'!$E$11+1,1))</f>
        <v>111.85541298746966</v>
      </c>
      <c r="BJ150" s="59">
        <f t="shared" si="146"/>
        <v>27.56942482401746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89.805346555650502</v>
      </c>
      <c r="BQ150" s="21">
        <f>EXP(-LN(2)/25)*BQ149+(1-EXP(-LN(2)/25))/(LN(2)/25)*Calculateur!BL150*Calculateur!BN150*VLOOKUP('Données projet'!$B$11,Paramètres!$A$1:$I$89,3,0)*0.475*44/12</f>
        <v>20.776818247266061</v>
      </c>
      <c r="BR150" s="21">
        <f>EXP(-LN(2)/2)*BR149+(1-EXP(-LN(2)/2))/(LN(2)/2)*BL150*BO150*VLOOKUP('Données projet'!$B$11,Paramètres!$A$1:$I$89,3,0)*0.475*44/12</f>
        <v>4.6791037559877786</v>
      </c>
      <c r="BS150" s="22">
        <f t="shared" si="117"/>
        <v>115.26126855890435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253.62423410951334</v>
      </c>
      <c r="CE150" s="59">
        <f t="shared" si="148"/>
        <v>230.93438491511529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45.807633138264102</v>
      </c>
      <c r="CL150" s="21">
        <f>EXP(-LN(2)/25)*CL149+(1-EXP(-LN(2)/25))/(LN(2)/25)*Calculateur!CG150*Calculateur!CI150*VLOOKUP('Données projet'!$B$12,Paramètres!$A$1:$I$89,3,0)*0.475*44/12</f>
        <v>6.5549870667489332</v>
      </c>
      <c r="CM150" s="21">
        <f>EXP(-LN(2)/2)*CM149+(1-EXP(-LN(2)/2))/(LN(2)/2)*CG150*CJ150*VLOOKUP('Données projet'!$B$12,Paramètres!$A$1:$I$89,3,0)*0.475*44/12</f>
        <v>1.0246633641039442E-10</v>
      </c>
      <c r="CN150" s="22">
        <f t="shared" si="120"/>
        <v>52.362620205115505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-7.3896444519050419E-13</v>
      </c>
      <c r="O151" s="13">
        <f>N151*VLOOKUP('Données projet'!$B$9,Paramètres!$A$1:$I$89,3,0)*VLOOKUP('Données projet'!$B$9,Paramètres!$A$1:$I$89,5,0)</f>
        <v>-3.4583536034915594E-13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190.74210845597287</v>
      </c>
      <c r="T151" s="59">
        <f t="shared" si="142"/>
        <v>131.88015896015884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66.828136770602313</v>
      </c>
      <c r="AA151" s="21">
        <f>EXP(-LN(2)/25)*AA150+(1-EXP(-LN(2)/25))/(LN(2)/25)*Calculateur!V151*Calculateur!X151*VLOOKUP('Données projet'!$B$9,Paramètres!$A$1:$I$89,3,0)*0.475*44/12</f>
        <v>11.102822591368465</v>
      </c>
      <c r="AB151" s="21">
        <f>EXP(-LN(2)/2)*AB150+(1-EXP(-LN(2)/2))/(LN(2)/2)*V151*Y151*VLOOKUP('Données projet'!$B$9,Paramètres!$A$1:$I$89,3,0)*0.475*44/12</f>
        <v>1.8569310605352712E-6</v>
      </c>
      <c r="AC151" s="22">
        <f t="shared" si="111"/>
        <v>77.930961218901842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-6.3550942286383367E-14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278.5296012747549</v>
      </c>
      <c r="AO151" s="59">
        <f t="shared" si="144"/>
        <v>370.55343097937077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35.932678402858201</v>
      </c>
      <c r="AV151" s="21">
        <f>EXP(-LN(2)/25)*AV150+(1-EXP(-LN(2)/25))/(LN(2)/25)*Calculateur!AQ151*Calculateur!AS151*VLOOKUP('Données projet'!$B$10,Paramètres!$A$1:$I$89,3,0)*0.475*44/12</f>
        <v>4.3716844268291144</v>
      </c>
      <c r="AW151" s="21">
        <f>EXP(-LN(2)/2)*AW150+(1-EXP(-LN(2)/2))/(LN(2)/2)*AQ151*AT151*VLOOKUP('Données projet'!$B$10,Paramètres!$A$1:$I$89,3,0)*0.475*44/12</f>
        <v>3.432729970922294E-13</v>
      </c>
      <c r="AX151" s="21">
        <f t="shared" si="114"/>
        <v>40.304362829687655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4.8316906031686813E-13</v>
      </c>
      <c r="BE151" s="13">
        <f>BD151*VLOOKUP('Données projet'!$B$11,Paramètres!$A$1:$I$89,3,0)*VLOOKUP('Données projet'!$B$11,Paramètres!$A$1:$I$89,5,0)</f>
        <v>2.2612312022829429E-13</v>
      </c>
      <c r="BF151" s="13">
        <f t="shared" si="145"/>
        <v>3.0892373714008046E-12</v>
      </c>
      <c r="BG151" s="20">
        <f t="shared" si="115"/>
        <v>5.7742528562540137E-12</v>
      </c>
      <c r="BH151" s="59">
        <f t="shared" si="116"/>
        <v>293.33333333333911</v>
      </c>
      <c r="BI151" s="59">
        <f ca="1">AVERAGE(OFFSET($BH$3,0,0,'Données projet'!$E$11+1,1))-AVERAGE(OFFSET($H$3,0,0,'Données projet'!$E$11+1,1))</f>
        <v>111.85541298746966</v>
      </c>
      <c r="BJ151" s="59">
        <f t="shared" si="146"/>
        <v>27.56942482401746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88.044318485546924</v>
      </c>
      <c r="BQ151" s="21">
        <f>EXP(-LN(2)/25)*BQ150+(1-EXP(-LN(2)/25))/(LN(2)/25)*Calculateur!BL151*Calculateur!BN151*VLOOKUP('Données projet'!$B$11,Paramètres!$A$1:$I$89,3,0)*0.475*44/12</f>
        <v>20.208675059689185</v>
      </c>
      <c r="BR151" s="21">
        <f>EXP(-LN(2)/2)*BR150+(1-EXP(-LN(2)/2))/(LN(2)/2)*BL151*BO151*VLOOKUP('Données projet'!$B$11,Paramètres!$A$1:$I$89,3,0)*0.475*44/12</f>
        <v>3.3086259957344031</v>
      </c>
      <c r="BS151" s="22">
        <f t="shared" si="117"/>
        <v>111.56161954097051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253.62423410951334</v>
      </c>
      <c r="CE151" s="59">
        <f t="shared" si="148"/>
        <v>230.93438491511529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44.90937339232012</v>
      </c>
      <c r="CL151" s="21">
        <f>EXP(-LN(2)/25)*CL150+(1-EXP(-LN(2)/25))/(LN(2)/25)*Calculateur!CG151*Calculateur!CI151*VLOOKUP('Données projet'!$B$12,Paramètres!$A$1:$I$89,3,0)*0.475*44/12</f>
        <v>6.3757406006968953</v>
      </c>
      <c r="CM151" s="21">
        <f>EXP(-LN(2)/2)*CM150+(1-EXP(-LN(2)/2))/(LN(2)/2)*CG151*CJ151*VLOOKUP('Données projet'!$B$12,Paramètres!$A$1:$I$89,3,0)*0.475*44/12</f>
        <v>7.2454641319131931E-11</v>
      </c>
      <c r="CN151" s="22">
        <f t="shared" si="120"/>
        <v>51.285113993089467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-7.3896444519050419E-13</v>
      </c>
      <c r="O152" s="13">
        <f>N152*VLOOKUP('Données projet'!$B$9,Paramètres!$A$1:$I$89,3,0)*VLOOKUP('Données projet'!$B$9,Paramètres!$A$1:$I$89,5,0)</f>
        <v>-3.4583536034915594E-13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190.74210845597287</v>
      </c>
      <c r="T152" s="59">
        <f t="shared" si="142"/>
        <v>131.88015896015884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65.517677769669405</v>
      </c>
      <c r="AA152" s="21">
        <f>EXP(-LN(2)/25)*AA151+(1-EXP(-LN(2)/25))/(LN(2)/25)*Calculateur!V152*Calculateur!X152*VLOOKUP('Données projet'!$B$9,Paramètres!$A$1:$I$89,3,0)*0.475*44/12</f>
        <v>10.79921532373543</v>
      </c>
      <c r="AB152" s="21">
        <f>EXP(-LN(2)/2)*AB151+(1-EXP(-LN(2)/2))/(LN(2)/2)*V152*Y152*VLOOKUP('Données projet'!$B$9,Paramètres!$A$1:$I$89,3,0)*0.475*44/12</f>
        <v>1.3130485451004176E-6</v>
      </c>
      <c r="AC152" s="22">
        <f t="shared" si="111"/>
        <v>76.316894406453372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-6.3550942286383367E-14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278.5296012747549</v>
      </c>
      <c r="AO152" s="59">
        <f t="shared" si="144"/>
        <v>370.55343097937077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35.228060496147876</v>
      </c>
      <c r="AV152" s="21">
        <f>EXP(-LN(2)/25)*AV151+(1-EXP(-LN(2)/25))/(LN(2)/25)*Calculateur!AQ152*Calculateur!AS152*VLOOKUP('Données projet'!$B$10,Paramètres!$A$1:$I$89,3,0)*0.475*44/12</f>
        <v>4.2521404862805801</v>
      </c>
      <c r="AW152" s="21">
        <f>EXP(-LN(2)/2)*AW151+(1-EXP(-LN(2)/2))/(LN(2)/2)*AQ152*AT152*VLOOKUP('Données projet'!$B$10,Paramètres!$A$1:$I$89,3,0)*0.475*44/12</f>
        <v>2.4273066404214542E-13</v>
      </c>
      <c r="AX152" s="21">
        <f t="shared" si="114"/>
        <v>39.480200982428698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4.8316906031686813E-13</v>
      </c>
      <c r="BE152" s="13">
        <f>BD152*VLOOKUP('Données projet'!$B$11,Paramètres!$A$1:$I$89,3,0)*VLOOKUP('Données projet'!$B$11,Paramètres!$A$1:$I$89,5,0)</f>
        <v>2.2612312022829429E-13</v>
      </c>
      <c r="BF152" s="13">
        <f t="shared" si="145"/>
        <v>3.0892373714008046E-12</v>
      </c>
      <c r="BG152" s="20">
        <f t="shared" si="115"/>
        <v>5.7742528562540137E-12</v>
      </c>
      <c r="BH152" s="59">
        <f t="shared" si="116"/>
        <v>293.33333333333911</v>
      </c>
      <c r="BI152" s="59">
        <f ca="1">AVERAGE(OFFSET($BH$3,0,0,'Données projet'!$E$11+1,1))-AVERAGE(OFFSET($H$3,0,0,'Données projet'!$E$11+1,1))</f>
        <v>111.85541298746966</v>
      </c>
      <c r="BJ152" s="59">
        <f t="shared" si="146"/>
        <v>27.56942482401746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86.317823101777023</v>
      </c>
      <c r="BQ152" s="21">
        <f>EXP(-LN(2)/25)*BQ151+(1-EXP(-LN(2)/25))/(LN(2)/25)*Calculateur!BL152*Calculateur!BN152*VLOOKUP('Données projet'!$B$11,Paramètres!$A$1:$I$89,3,0)*0.475*44/12</f>
        <v>19.656067777453949</v>
      </c>
      <c r="BR152" s="21">
        <f>EXP(-LN(2)/2)*BR151+(1-EXP(-LN(2)/2))/(LN(2)/2)*BL152*BO152*VLOOKUP('Données projet'!$B$11,Paramètres!$A$1:$I$89,3,0)*0.475*44/12</f>
        <v>2.3395518779938898</v>
      </c>
      <c r="BS152" s="22">
        <f t="shared" si="117"/>
        <v>108.31344275722485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253.62423410951334</v>
      </c>
      <c r="CE152" s="59">
        <f t="shared" si="148"/>
        <v>230.93438491511529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44.028727972109756</v>
      </c>
      <c r="CL152" s="21">
        <f>EXP(-LN(2)/25)*CL151+(1-EXP(-LN(2)/25))/(LN(2)/25)*Calculateur!CG152*Calculateur!CI152*VLOOKUP('Données projet'!$B$12,Paramètres!$A$1:$I$89,3,0)*0.475*44/12</f>
        <v>6.201395638685212</v>
      </c>
      <c r="CM152" s="21">
        <f>EXP(-LN(2)/2)*CM151+(1-EXP(-LN(2)/2))/(LN(2)/2)*CG152*CJ152*VLOOKUP('Données projet'!$B$12,Paramètres!$A$1:$I$89,3,0)*0.475*44/12</f>
        <v>5.1233168205197209E-11</v>
      </c>
      <c r="CN152" s="22">
        <f t="shared" si="120"/>
        <v>50.230123610846199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-7.3896444519050419E-13</v>
      </c>
      <c r="O153" s="13">
        <f>N153*VLOOKUP('Données projet'!$B$9,Paramètres!$A$1:$I$89,3,0)*VLOOKUP('Données projet'!$B$9,Paramètres!$A$1:$I$89,5,0)</f>
        <v>-3.4583536034915594E-13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190.74210845597287</v>
      </c>
      <c r="T153" s="59">
        <f t="shared" si="142"/>
        <v>131.88015896015884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64.232916070443721</v>
      </c>
      <c r="AA153" s="21">
        <f>EXP(-LN(2)/25)*AA152+(1-EXP(-LN(2)/25))/(LN(2)/25)*Calculateur!V153*Calculateur!X153*VLOOKUP('Données projet'!$B$9,Paramètres!$A$1:$I$89,3,0)*0.475*44/12</f>
        <v>10.503910212801832</v>
      </c>
      <c r="AB153" s="21">
        <f>EXP(-LN(2)/2)*AB152+(1-EXP(-LN(2)/2))/(LN(2)/2)*V153*Y153*VLOOKUP('Données projet'!$B$9,Paramètres!$A$1:$I$89,3,0)*0.475*44/12</f>
        <v>9.2846553026763561E-7</v>
      </c>
      <c r="AC153" s="22">
        <f t="shared" si="111"/>
        <v>74.736827211711073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-6.3550942286383367E-14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278.5296012747549</v>
      </c>
      <c r="AO153" s="59">
        <f t="shared" si="144"/>
        <v>370.55343097937077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34.537259716813651</v>
      </c>
      <c r="AV153" s="21">
        <f>EXP(-LN(2)/25)*AV152+(1-EXP(-LN(2)/25))/(LN(2)/25)*Calculateur!AQ153*Calculateur!AS153*VLOOKUP('Données projet'!$B$10,Paramètres!$A$1:$I$89,3,0)*0.475*44/12</f>
        <v>4.1358654810728881</v>
      </c>
      <c r="AW153" s="21">
        <f>EXP(-LN(2)/2)*AW152+(1-EXP(-LN(2)/2))/(LN(2)/2)*AQ153*AT153*VLOOKUP('Données projet'!$B$10,Paramètres!$A$1:$I$89,3,0)*0.475*44/12</f>
        <v>1.716364985461147E-13</v>
      </c>
      <c r="AX153" s="21">
        <f t="shared" si="114"/>
        <v>38.673125197886712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4.8316906031686813E-13</v>
      </c>
      <c r="BE153" s="13">
        <f>BD153*VLOOKUP('Données projet'!$B$11,Paramètres!$A$1:$I$89,3,0)*VLOOKUP('Données projet'!$B$11,Paramètres!$A$1:$I$89,5,0)</f>
        <v>2.2612312022829429E-13</v>
      </c>
      <c r="BF153" s="13">
        <f t="shared" si="145"/>
        <v>3.0892373714008046E-12</v>
      </c>
      <c r="BG153" s="20">
        <f t="shared" si="115"/>
        <v>5.7742528562540137E-12</v>
      </c>
      <c r="BH153" s="59">
        <f t="shared" si="116"/>
        <v>293.33333333333911</v>
      </c>
      <c r="BI153" s="59">
        <f ca="1">AVERAGE(OFFSET($BH$3,0,0,'Données projet'!$E$11+1,1))-AVERAGE(OFFSET($H$3,0,0,'Données projet'!$E$11+1,1))</f>
        <v>111.85541298746966</v>
      </c>
      <c r="BJ153" s="59">
        <f t="shared" si="146"/>
        <v>27.56942482401746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84.625183239424643</v>
      </c>
      <c r="BQ153" s="21">
        <f>EXP(-LN(2)/25)*BQ152+(1-EXP(-LN(2)/25))/(LN(2)/25)*Calculateur!BL153*Calculateur!BN153*VLOOKUP('Données projet'!$B$11,Paramètres!$A$1:$I$89,3,0)*0.475*44/12</f>
        <v>19.118571570411792</v>
      </c>
      <c r="BR153" s="21">
        <f>EXP(-LN(2)/2)*BR152+(1-EXP(-LN(2)/2))/(LN(2)/2)*BL153*BO153*VLOOKUP('Données projet'!$B$11,Paramètres!$A$1:$I$89,3,0)*0.475*44/12</f>
        <v>1.6543129978672018</v>
      </c>
      <c r="BS153" s="22">
        <f t="shared" si="117"/>
        <v>105.39806780770364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253.62423410951334</v>
      </c>
      <c r="CE153" s="59">
        <f t="shared" si="148"/>
        <v>230.93438491511529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43.16535147144905</v>
      </c>
      <c r="CL153" s="21">
        <f>EXP(-LN(2)/25)*CL152+(1-EXP(-LN(2)/25))/(LN(2)/25)*Calculateur!CG153*Calculateur!CI153*VLOOKUP('Données projet'!$B$12,Paramètres!$A$1:$I$89,3,0)*0.475*44/12</f>
        <v>6.0318181488281422</v>
      </c>
      <c r="CM153" s="21">
        <f>EXP(-LN(2)/2)*CM152+(1-EXP(-LN(2)/2))/(LN(2)/2)*CG153*CJ153*VLOOKUP('Données projet'!$B$12,Paramètres!$A$1:$I$89,3,0)*0.475*44/12</f>
        <v>3.6227320659565966E-11</v>
      </c>
      <c r="CN153" s="22">
        <f t="shared" si="120"/>
        <v>49.197169620313424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-7.3896444519050419E-13</v>
      </c>
      <c r="O154" s="13">
        <f>N154*VLOOKUP('Données projet'!$B$9,Paramètres!$A$1:$I$89,3,0)*VLOOKUP('Données projet'!$B$9,Paramètres!$A$1:$I$89,5,0)</f>
        <v>-3.4583536034915594E-13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190.74210845597287</v>
      </c>
      <c r="T154" s="59">
        <f t="shared" si="142"/>
        <v>131.88015896015884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62.973347764512596</v>
      </c>
      <c r="AA154" s="21">
        <f>EXP(-LN(2)/25)*AA153+(1-EXP(-LN(2)/25))/(LN(2)/25)*Calculateur!V154*Calculateur!X154*VLOOKUP('Données projet'!$B$9,Paramètres!$A$1:$I$89,3,0)*0.475*44/12</f>
        <v>10.216680235656135</v>
      </c>
      <c r="AB154" s="21">
        <f>EXP(-LN(2)/2)*AB153+(1-EXP(-LN(2)/2))/(LN(2)/2)*V154*Y154*VLOOKUP('Données projet'!$B$9,Paramètres!$A$1:$I$89,3,0)*0.475*44/12</f>
        <v>6.5652427255020882E-7</v>
      </c>
      <c r="AC154" s="22">
        <f t="shared" ref="AC154:AC203" si="163">SUM(Z154:AB154)</f>
        <v>73.190028656693002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-6.3550942286383367E-14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278.5296012747549</v>
      </c>
      <c r="AO154" s="59">
        <f t="shared" si="144"/>
        <v>370.55343097937077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33.860005119415305</v>
      </c>
      <c r="AV154" s="21">
        <f>EXP(-LN(2)/25)*AV153+(1-EXP(-LN(2)/25))/(LN(2)/25)*Calculateur!AQ154*Calculateur!AS154*VLOOKUP('Données projet'!$B$10,Paramètres!$A$1:$I$89,3,0)*0.475*44/12</f>
        <v>4.0227700219972373</v>
      </c>
      <c r="AW154" s="21">
        <f>EXP(-LN(2)/2)*AW153+(1-EXP(-LN(2)/2))/(LN(2)/2)*AQ154*AT154*VLOOKUP('Données projet'!$B$10,Paramètres!$A$1:$I$89,3,0)*0.475*44/12</f>
        <v>1.2136533202107271E-13</v>
      </c>
      <c r="AX154" s="21">
        <f t="shared" ref="AX154:AX203" si="166">SUM(AU154:AW154)</f>
        <v>37.882775141412665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4.8316906031686813E-13</v>
      </c>
      <c r="BE154" s="13">
        <f>BD154*VLOOKUP('Données projet'!$B$11,Paramètres!$A$1:$I$89,3,0)*VLOOKUP('Données projet'!$B$11,Paramètres!$A$1:$I$89,5,0)</f>
        <v>2.2612312022829429E-13</v>
      </c>
      <c r="BF154" s="13">
        <f t="shared" ref="BF154:BF203" si="167">EXP(-1.0587+0.8836*LN(BE154)+0.284)</f>
        <v>3.0892373714008046E-12</v>
      </c>
      <c r="BG154" s="20">
        <f t="shared" ref="BG154:BG203" si="168">(BE154+BF154)*0.475*44/12</f>
        <v>5.7742528562540137E-12</v>
      </c>
      <c r="BH154" s="59">
        <f t="shared" si="116"/>
        <v>293.33333333333911</v>
      </c>
      <c r="BI154" s="59">
        <f ca="1">AVERAGE(OFFSET($BH$3,0,0,'Données projet'!$E$11+1,1))-AVERAGE(OFFSET($H$3,0,0,'Données projet'!$E$11+1,1))</f>
        <v>111.85541298746966</v>
      </c>
      <c r="BJ154" s="59">
        <f t="shared" si="146"/>
        <v>27.56942482401746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82.965735012364618</v>
      </c>
      <c r="BQ154" s="21">
        <f>EXP(-LN(2)/25)*BQ153+(1-EXP(-LN(2)/25))/(LN(2)/25)*Calculateur!BL154*Calculateur!BN154*VLOOKUP('Données projet'!$B$11,Paramètres!$A$1:$I$89,3,0)*0.475*44/12</f>
        <v>18.595773225416899</v>
      </c>
      <c r="BR154" s="21">
        <f>EXP(-LN(2)/2)*BR153+(1-EXP(-LN(2)/2))/(LN(2)/2)*BL154*BO154*VLOOKUP('Données projet'!$B$11,Paramètres!$A$1:$I$89,3,0)*0.475*44/12</f>
        <v>1.1697759389969449</v>
      </c>
      <c r="BS154" s="22">
        <f t="shared" ref="BS154:BS203" si="169">SUM(BP154:BR154)</f>
        <v>102.73128417677846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253.62423410951334</v>
      </c>
      <c r="CE154" s="59">
        <f t="shared" si="148"/>
        <v>230.93438491511529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42.31890525735863</v>
      </c>
      <c r="CL154" s="21">
        <f>EXP(-LN(2)/25)*CL153+(1-EXP(-LN(2)/25))/(LN(2)/25)*Calculateur!CG154*Calculateur!CI154*VLOOKUP('Données projet'!$B$12,Paramètres!$A$1:$I$89,3,0)*0.475*44/12</f>
        <v>5.8668777643489065</v>
      </c>
      <c r="CM154" s="21">
        <f>EXP(-LN(2)/2)*CM153+(1-EXP(-LN(2)/2))/(LN(2)/2)*CG154*CJ154*VLOOKUP('Données projet'!$B$12,Paramètres!$A$1:$I$89,3,0)*0.475*44/12</f>
        <v>2.5616584102598604E-11</v>
      </c>
      <c r="CN154" s="22">
        <f t="shared" ref="CN154:CN203" si="172">SUM(CK154:CM154)</f>
        <v>48.185783021733151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-7.3896444519050419E-13</v>
      </c>
      <c r="O155" s="13">
        <f>N155*VLOOKUP('Données projet'!$B$9,Paramètres!$A$1:$I$89,3,0)*VLOOKUP('Données projet'!$B$9,Paramètres!$A$1:$I$89,5,0)</f>
        <v>-3.4583536034915594E-13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190.74210845597287</v>
      </c>
      <c r="T155" s="59">
        <f t="shared" si="142"/>
        <v>131.88015896015884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61.738478824799969</v>
      </c>
      <c r="AA155" s="21">
        <f>EXP(-LN(2)/25)*AA154+(1-EXP(-LN(2)/25))/(LN(2)/25)*Calculateur!V155*Calculateur!X155*VLOOKUP('Données projet'!$B$9,Paramètres!$A$1:$I$89,3,0)*0.475*44/12</f>
        <v>9.9373045773402549</v>
      </c>
      <c r="AB155" s="21">
        <f>EXP(-LN(2)/2)*AB154+(1-EXP(-LN(2)/2))/(LN(2)/2)*V155*Y155*VLOOKUP('Données projet'!$B$9,Paramètres!$A$1:$I$89,3,0)*0.475*44/12</f>
        <v>4.6423276513381781E-7</v>
      </c>
      <c r="AC155" s="22">
        <f t="shared" si="163"/>
        <v>71.675783866372996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-6.3550942286383367E-14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278.5296012747549</v>
      </c>
      <c r="AO155" s="59">
        <f t="shared" si="144"/>
        <v>370.55343097937077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33.19603107158742</v>
      </c>
      <c r="AV155" s="21">
        <f>EXP(-LN(2)/25)*AV154+(1-EXP(-LN(2)/25))/(LN(2)/25)*Calculateur!AQ155*Calculateur!AS155*VLOOKUP('Données projet'!$B$10,Paramètres!$A$1:$I$89,3,0)*0.475*44/12</f>
        <v>3.9127671641974415</v>
      </c>
      <c r="AW155" s="21">
        <f>EXP(-LN(2)/2)*AW154+(1-EXP(-LN(2)/2))/(LN(2)/2)*AQ155*AT155*VLOOKUP('Données projet'!$B$10,Paramètres!$A$1:$I$89,3,0)*0.475*44/12</f>
        <v>8.5818249273057349E-14</v>
      </c>
      <c r="AX155" s="21">
        <f t="shared" si="166"/>
        <v>37.108798235784946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4.8316906031686813E-13</v>
      </c>
      <c r="BE155" s="13">
        <f>BD155*VLOOKUP('Données projet'!$B$11,Paramètres!$A$1:$I$89,3,0)*VLOOKUP('Données projet'!$B$11,Paramètres!$A$1:$I$89,5,0)</f>
        <v>2.2612312022829429E-13</v>
      </c>
      <c r="BF155" s="13">
        <f t="shared" si="167"/>
        <v>3.0892373714008046E-12</v>
      </c>
      <c r="BG155" s="20">
        <f t="shared" si="168"/>
        <v>5.7742528562540137E-12</v>
      </c>
      <c r="BH155" s="59">
        <f t="shared" si="116"/>
        <v>293.33333333333911</v>
      </c>
      <c r="BI155" s="59">
        <f ca="1">AVERAGE(OFFSET($BH$3,0,0,'Données projet'!$E$11+1,1))-AVERAGE(OFFSET($H$3,0,0,'Données projet'!$E$11+1,1))</f>
        <v>111.85541298746966</v>
      </c>
      <c r="BJ155" s="59">
        <f t="shared" si="146"/>
        <v>27.56942482401746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81.338827552873767</v>
      </c>
      <c r="BQ155" s="21">
        <f>EXP(-LN(2)/25)*BQ154+(1-EXP(-LN(2)/25))/(LN(2)/25)*Calculateur!BL155*Calculateur!BN155*VLOOKUP('Données projet'!$B$11,Paramètres!$A$1:$I$89,3,0)*0.475*44/12</f>
        <v>18.08727082865866</v>
      </c>
      <c r="BR155" s="21">
        <f>EXP(-LN(2)/2)*BR154+(1-EXP(-LN(2)/2))/(LN(2)/2)*BL155*BO155*VLOOKUP('Données projet'!$B$11,Paramètres!$A$1:$I$89,3,0)*0.475*44/12</f>
        <v>0.82715649893360088</v>
      </c>
      <c r="BS155" s="22">
        <f t="shared" si="169"/>
        <v>100.25325488046603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253.62423410951334</v>
      </c>
      <c r="CE155" s="59">
        <f t="shared" si="148"/>
        <v>230.93438491511529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41.489057337245313</v>
      </c>
      <c r="CL155" s="21">
        <f>EXP(-LN(2)/25)*CL154+(1-EXP(-LN(2)/25))/(LN(2)/25)*Calculateur!CG155*Calculateur!CI155*VLOOKUP('Données projet'!$B$12,Paramètres!$A$1:$I$89,3,0)*0.475*44/12</f>
        <v>5.7064476833570934</v>
      </c>
      <c r="CM155" s="21">
        <f>EXP(-LN(2)/2)*CM154+(1-EXP(-LN(2)/2))/(LN(2)/2)*CG155*CJ155*VLOOKUP('Données projet'!$B$12,Paramètres!$A$1:$I$89,3,0)*0.475*44/12</f>
        <v>1.8113660329782983E-11</v>
      </c>
      <c r="CN155" s="22">
        <f t="shared" si="172"/>
        <v>47.195505020620516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-7.3896444519050419E-13</v>
      </c>
      <c r="O156" s="13">
        <f>N156*VLOOKUP('Données projet'!$B$9,Paramètres!$A$1:$I$89,3,0)*VLOOKUP('Données projet'!$B$9,Paramètres!$A$1:$I$89,5,0)</f>
        <v>-3.4583536034915594E-13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190.74210845597287</v>
      </c>
      <c r="T156" s="59">
        <f t="shared" si="142"/>
        <v>131.88015896015884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60.527824911799428</v>
      </c>
      <c r="AA156" s="21">
        <f>EXP(-LN(2)/25)*AA155+(1-EXP(-LN(2)/25))/(LN(2)/25)*Calculateur!V156*Calculateur!X156*VLOOKUP('Données projet'!$B$9,Paramètres!$A$1:$I$89,3,0)*0.475*44/12</f>
        <v>9.6655684610927501</v>
      </c>
      <c r="AB156" s="21">
        <f>EXP(-LN(2)/2)*AB155+(1-EXP(-LN(2)/2))/(LN(2)/2)*V156*Y156*VLOOKUP('Données projet'!$B$9,Paramètres!$A$1:$I$89,3,0)*0.475*44/12</f>
        <v>3.2826213627510441E-7</v>
      </c>
      <c r="AC156" s="22">
        <f t="shared" si="163"/>
        <v>70.193393701154307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-6.3550942286383367E-14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278.5296012747549</v>
      </c>
      <c r="AO156" s="59">
        <f t="shared" si="144"/>
        <v>370.55343097937077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32.545077149853263</v>
      </c>
      <c r="AV156" s="21">
        <f>EXP(-LN(2)/25)*AV155+(1-EXP(-LN(2)/25))/(LN(2)/25)*Calculateur!AQ156*Calculateur!AS156*VLOOKUP('Données projet'!$B$10,Paramètres!$A$1:$I$89,3,0)*0.475*44/12</f>
        <v>3.8057723403289803</v>
      </c>
      <c r="AW156" s="21">
        <f>EXP(-LN(2)/2)*AW155+(1-EXP(-LN(2)/2))/(LN(2)/2)*AQ156*AT156*VLOOKUP('Données projet'!$B$10,Paramètres!$A$1:$I$89,3,0)*0.475*44/12</f>
        <v>6.0682666010536354E-14</v>
      </c>
      <c r="AX156" s="21">
        <f t="shared" si="166"/>
        <v>36.350849490182306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4.8316906031686813E-13</v>
      </c>
      <c r="BE156" s="13">
        <f>BD156*VLOOKUP('Données projet'!$B$11,Paramètres!$A$1:$I$89,3,0)*VLOOKUP('Données projet'!$B$11,Paramètres!$A$1:$I$89,5,0)</f>
        <v>2.2612312022829429E-13</v>
      </c>
      <c r="BF156" s="13">
        <f t="shared" si="167"/>
        <v>3.0892373714008046E-12</v>
      </c>
      <c r="BG156" s="20">
        <f t="shared" si="168"/>
        <v>5.7742528562540137E-12</v>
      </c>
      <c r="BH156" s="59">
        <f t="shared" si="116"/>
        <v>293.33333333333911</v>
      </c>
      <c r="BI156" s="59">
        <f ca="1">AVERAGE(OFFSET($BH$3,0,0,'Données projet'!$E$11+1,1))-AVERAGE(OFFSET($H$3,0,0,'Données projet'!$E$11+1,1))</f>
        <v>111.85541298746966</v>
      </c>
      <c r="BJ156" s="59">
        <f t="shared" si="146"/>
        <v>27.56942482401746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79.743822756347967</v>
      </c>
      <c r="BQ156" s="21">
        <f>EXP(-LN(2)/25)*BQ155+(1-EXP(-LN(2)/25))/(LN(2)/25)*Calculateur!BL156*Calculateur!BN156*VLOOKUP('Données projet'!$B$11,Paramètres!$A$1:$I$89,3,0)*0.475*44/12</f>
        <v>17.592673456680757</v>
      </c>
      <c r="BR156" s="21">
        <f>EXP(-LN(2)/2)*BR155+(1-EXP(-LN(2)/2))/(LN(2)/2)*BL156*BO156*VLOOKUP('Données projet'!$B$11,Paramètres!$A$1:$I$89,3,0)*0.475*44/12</f>
        <v>0.58488796949847244</v>
      </c>
      <c r="BS156" s="22">
        <f t="shared" si="169"/>
        <v>97.921384182527191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253.62423410951334</v>
      </c>
      <c r="CE156" s="59">
        <f t="shared" si="148"/>
        <v>230.93438491511529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40.675482228688168</v>
      </c>
      <c r="CL156" s="21">
        <f>EXP(-LN(2)/25)*CL155+(1-EXP(-LN(2)/25))/(LN(2)/25)*Calculateur!CG156*Calculateur!CI156*VLOOKUP('Données projet'!$B$12,Paramètres!$A$1:$I$89,3,0)*0.475*44/12</f>
        <v>5.5504045713666521</v>
      </c>
      <c r="CM156" s="21">
        <f>EXP(-LN(2)/2)*CM155+(1-EXP(-LN(2)/2))/(LN(2)/2)*CG156*CJ156*VLOOKUP('Données projet'!$B$12,Paramètres!$A$1:$I$89,3,0)*0.475*44/12</f>
        <v>1.2808292051299302E-11</v>
      </c>
      <c r="CN156" s="22">
        <f t="shared" si="172"/>
        <v>46.225886800067634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-7.3896444519050419E-13</v>
      </c>
      <c r="O157" s="13">
        <f>N157*VLOOKUP('Données projet'!$B$9,Paramètres!$A$1:$I$89,3,0)*VLOOKUP('Données projet'!$B$9,Paramètres!$A$1:$I$89,5,0)</f>
        <v>-3.4583536034915594E-13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190.74210845597287</v>
      </c>
      <c r="T157" s="59">
        <f t="shared" si="142"/>
        <v>131.88015896015884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59.340911183606856</v>
      </c>
      <c r="AA157" s="21">
        <f>EXP(-LN(2)/25)*AA156+(1-EXP(-LN(2)/25))/(LN(2)/25)*Calculateur!V157*Calculateur!X157*VLOOKUP('Données projet'!$B$9,Paramètres!$A$1:$I$89,3,0)*0.475*44/12</f>
        <v>9.4012629832340142</v>
      </c>
      <c r="AB157" s="21">
        <f>EXP(-LN(2)/2)*AB156+(1-EXP(-LN(2)/2))/(LN(2)/2)*V157*Y157*VLOOKUP('Données projet'!$B$9,Paramètres!$A$1:$I$89,3,0)*0.475*44/12</f>
        <v>2.321163825669089E-7</v>
      </c>
      <c r="AC157" s="22">
        <f t="shared" si="163"/>
        <v>68.742174398957246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-6.3550942286383367E-14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278.5296012747549</v>
      </c>
      <c r="AO157" s="59">
        <f t="shared" si="144"/>
        <v>370.55343097937077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31.906888037481625</v>
      </c>
      <c r="AV157" s="21">
        <f>EXP(-LN(2)/25)*AV156+(1-EXP(-LN(2)/25))/(LN(2)/25)*Calculateur!AQ157*Calculateur!AS157*VLOOKUP('Données projet'!$B$10,Paramètres!$A$1:$I$89,3,0)*0.475*44/12</f>
        <v>3.7017032955458151</v>
      </c>
      <c r="AW157" s="21">
        <f>EXP(-LN(2)/2)*AW156+(1-EXP(-LN(2)/2))/(LN(2)/2)*AQ157*AT157*VLOOKUP('Données projet'!$B$10,Paramètres!$A$1:$I$89,3,0)*0.475*44/12</f>
        <v>4.2909124636528675E-14</v>
      </c>
      <c r="AX157" s="21">
        <f t="shared" si="166"/>
        <v>35.608591333027483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4.8316906031686813E-13</v>
      </c>
      <c r="BE157" s="13">
        <f>BD157*VLOOKUP('Données projet'!$B$11,Paramètres!$A$1:$I$89,3,0)*VLOOKUP('Données projet'!$B$11,Paramètres!$A$1:$I$89,5,0)</f>
        <v>2.2612312022829429E-13</v>
      </c>
      <c r="BF157" s="13">
        <f t="shared" si="167"/>
        <v>3.0892373714008046E-12</v>
      </c>
      <c r="BG157" s="20">
        <f t="shared" si="168"/>
        <v>5.7742528562540137E-12</v>
      </c>
      <c r="BH157" s="59">
        <f t="shared" si="116"/>
        <v>293.33333333333911</v>
      </c>
      <c r="BI157" s="59">
        <f ca="1">AVERAGE(OFFSET($BH$3,0,0,'Données projet'!$E$11+1,1))-AVERAGE(OFFSET($H$3,0,0,'Données projet'!$E$11+1,1))</f>
        <v>111.85541298746966</v>
      </c>
      <c r="BJ157" s="59">
        <f t="shared" si="146"/>
        <v>27.56942482401746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78.180095031025175</v>
      </c>
      <c r="BQ157" s="21">
        <f>EXP(-LN(2)/25)*BQ156+(1-EXP(-LN(2)/25))/(LN(2)/25)*Calculateur!BL157*Calculateur!BN157*VLOOKUP('Données projet'!$B$11,Paramètres!$A$1:$I$89,3,0)*0.475*44/12</f>
        <v>17.111600875849334</v>
      </c>
      <c r="BR157" s="21">
        <f>EXP(-LN(2)/2)*BR156+(1-EXP(-LN(2)/2))/(LN(2)/2)*BL157*BO157*VLOOKUP('Données projet'!$B$11,Paramètres!$A$1:$I$89,3,0)*0.475*44/12</f>
        <v>0.41357824946680044</v>
      </c>
      <c r="BS157" s="22">
        <f t="shared" si="169"/>
        <v>95.705274156341304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253.62423410951334</v>
      </c>
      <c r="CE157" s="59">
        <f t="shared" si="148"/>
        <v>230.93438491511529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39.877860831778008</v>
      </c>
      <c r="CL157" s="21">
        <f>EXP(-LN(2)/25)*CL156+(1-EXP(-LN(2)/25))/(LN(2)/25)*Calculateur!CG157*Calculateur!CI157*VLOOKUP('Données projet'!$B$12,Paramètres!$A$1:$I$89,3,0)*0.475*44/12</f>
        <v>5.3986284664795399</v>
      </c>
      <c r="CM157" s="21">
        <f>EXP(-LN(2)/2)*CM156+(1-EXP(-LN(2)/2))/(LN(2)/2)*CG157*CJ157*VLOOKUP('Données projet'!$B$12,Paramètres!$A$1:$I$89,3,0)*0.475*44/12</f>
        <v>9.0568301648914914E-12</v>
      </c>
      <c r="CN157" s="22">
        <f t="shared" si="172"/>
        <v>45.276489298266604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-7.3896444519050419E-13</v>
      </c>
      <c r="O158" s="13">
        <f>N158*VLOOKUP('Données projet'!$B$9,Paramètres!$A$1:$I$89,3,0)*VLOOKUP('Données projet'!$B$9,Paramètres!$A$1:$I$89,5,0)</f>
        <v>-3.4583536034915594E-13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190.74210845597287</v>
      </c>
      <c r="T158" s="59">
        <f t="shared" si="142"/>
        <v>131.88015896015884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58.177272109678249</v>
      </c>
      <c r="AA158" s="21">
        <f>EXP(-LN(2)/25)*AA157+(1-EXP(-LN(2)/25))/(LN(2)/25)*Calculateur!V158*Calculateur!X158*VLOOKUP('Données projet'!$B$9,Paramètres!$A$1:$I$89,3,0)*0.475*44/12</f>
        <v>9.1441849525665475</v>
      </c>
      <c r="AB158" s="21">
        <f>EXP(-LN(2)/2)*AB157+(1-EXP(-LN(2)/2))/(LN(2)/2)*V158*Y158*VLOOKUP('Données projet'!$B$9,Paramètres!$A$1:$I$89,3,0)*0.475*44/12</f>
        <v>1.6413106813755221E-7</v>
      </c>
      <c r="AC158" s="22">
        <f t="shared" si="163"/>
        <v>67.32145722637587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-6.3550942286383367E-14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278.5296012747549</v>
      </c>
      <c r="AO158" s="59">
        <f t="shared" si="144"/>
        <v>370.55343097937077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31.281213424346671</v>
      </c>
      <c r="AV158" s="21">
        <f>EXP(-LN(2)/25)*AV157+(1-EXP(-LN(2)/25))/(LN(2)/25)*Calculateur!AQ158*Calculateur!AS158*VLOOKUP('Données projet'!$B$10,Paramètres!$A$1:$I$89,3,0)*0.475*44/12</f>
        <v>3.600480024264999</v>
      </c>
      <c r="AW158" s="21">
        <f>EXP(-LN(2)/2)*AW157+(1-EXP(-LN(2)/2))/(LN(2)/2)*AQ158*AT158*VLOOKUP('Données projet'!$B$10,Paramètres!$A$1:$I$89,3,0)*0.475*44/12</f>
        <v>3.0341333005268177E-14</v>
      </c>
      <c r="AX158" s="21">
        <f t="shared" si="166"/>
        <v>34.881693448611699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4.8316906031686813E-13</v>
      </c>
      <c r="BE158" s="13">
        <f>BD158*VLOOKUP('Données projet'!$B$11,Paramètres!$A$1:$I$89,3,0)*VLOOKUP('Données projet'!$B$11,Paramètres!$A$1:$I$89,5,0)</f>
        <v>2.2612312022829429E-13</v>
      </c>
      <c r="BF158" s="13">
        <f t="shared" si="167"/>
        <v>3.0892373714008046E-12</v>
      </c>
      <c r="BG158" s="20">
        <f t="shared" si="168"/>
        <v>5.7742528562540137E-12</v>
      </c>
      <c r="BH158" s="59">
        <f t="shared" si="116"/>
        <v>293.33333333333911</v>
      </c>
      <c r="BI158" s="59">
        <f ca="1">AVERAGE(OFFSET($BH$3,0,0,'Données projet'!$E$11+1,1))-AVERAGE(OFFSET($H$3,0,0,'Données projet'!$E$11+1,1))</f>
        <v>111.85541298746966</v>
      </c>
      <c r="BJ158" s="59">
        <f t="shared" si="146"/>
        <v>27.56942482401746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76.647031052616228</v>
      </c>
      <c r="BQ158" s="21">
        <f>EXP(-LN(2)/25)*BQ157+(1-EXP(-LN(2)/25))/(LN(2)/25)*Calculateur!BL158*Calculateur!BN158*VLOOKUP('Données projet'!$B$11,Paramètres!$A$1:$I$89,3,0)*0.475*44/12</f>
        <v>16.643683250039253</v>
      </c>
      <c r="BR158" s="21">
        <f>EXP(-LN(2)/2)*BR157+(1-EXP(-LN(2)/2))/(LN(2)/2)*BL158*BO158*VLOOKUP('Données projet'!$B$11,Paramètres!$A$1:$I$89,3,0)*0.475*44/12</f>
        <v>0.29244398474923622</v>
      </c>
      <c r="BS158" s="22">
        <f t="shared" si="169"/>
        <v>93.583158287404729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253.62423410951334</v>
      </c>
      <c r="CE158" s="59">
        <f t="shared" si="148"/>
        <v>230.93438491511529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39.095880303960243</v>
      </c>
      <c r="CL158" s="21">
        <f>EXP(-LN(2)/25)*CL157+(1-EXP(-LN(2)/25))/(LN(2)/25)*Calculateur!CG158*Calculateur!CI158*VLOOKUP('Données projet'!$B$12,Paramètres!$A$1:$I$89,3,0)*0.475*44/12</f>
        <v>5.2510026871621243</v>
      </c>
      <c r="CM158" s="21">
        <f>EXP(-LN(2)/2)*CM157+(1-EXP(-LN(2)/2))/(LN(2)/2)*CG158*CJ158*VLOOKUP('Données projet'!$B$12,Paramètres!$A$1:$I$89,3,0)*0.475*44/12</f>
        <v>6.4041460256496511E-12</v>
      </c>
      <c r="CN158" s="22">
        <f t="shared" si="172"/>
        <v>44.346882991128773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-7.3896444519050419E-13</v>
      </c>
      <c r="O159" s="13">
        <f>N159*VLOOKUP('Données projet'!$B$9,Paramètres!$A$1:$I$89,3,0)*VLOOKUP('Données projet'!$B$9,Paramètres!$A$1:$I$89,5,0)</f>
        <v>-3.4583536034915594E-13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190.74210845597287</v>
      </c>
      <c r="T159" s="59">
        <f t="shared" si="142"/>
        <v>131.88015896015884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57.036451288239626</v>
      </c>
      <c r="AA159" s="21">
        <f>EXP(-LN(2)/25)*AA158+(1-EXP(-LN(2)/25))/(LN(2)/25)*Calculateur!V159*Calculateur!X159*VLOOKUP('Données projet'!$B$9,Paramètres!$A$1:$I$89,3,0)*0.475*44/12</f>
        <v>8.8941367341668283</v>
      </c>
      <c r="AB159" s="21">
        <f>EXP(-LN(2)/2)*AB158+(1-EXP(-LN(2)/2))/(LN(2)/2)*V159*Y159*VLOOKUP('Données projet'!$B$9,Paramètres!$A$1:$I$89,3,0)*0.475*44/12</f>
        <v>1.1605819128345445E-7</v>
      </c>
      <c r="AC159" s="22">
        <f t="shared" si="163"/>
        <v>65.930588138464643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-6.3550942286383367E-14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278.5296012747549</v>
      </c>
      <c r="AO159" s="59">
        <f t="shared" si="144"/>
        <v>370.55343097937077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30.667807908751463</v>
      </c>
      <c r="AV159" s="21">
        <f>EXP(-LN(2)/25)*AV158+(1-EXP(-LN(2)/25))/(LN(2)/25)*Calculateur!AQ159*Calculateur!AS159*VLOOKUP('Données projet'!$B$10,Paramètres!$A$1:$I$89,3,0)*0.475*44/12</f>
        <v>3.502024708660457</v>
      </c>
      <c r="AW159" s="21">
        <f>EXP(-LN(2)/2)*AW158+(1-EXP(-LN(2)/2))/(LN(2)/2)*AQ159*AT159*VLOOKUP('Données projet'!$B$10,Paramètres!$A$1:$I$89,3,0)*0.475*44/12</f>
        <v>2.1454562318264337E-14</v>
      </c>
      <c r="AX159" s="21">
        <f t="shared" si="166"/>
        <v>34.169832617411942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4.8316906031686813E-13</v>
      </c>
      <c r="BE159" s="13">
        <f>BD159*VLOOKUP('Données projet'!$B$11,Paramètres!$A$1:$I$89,3,0)*VLOOKUP('Données projet'!$B$11,Paramètres!$A$1:$I$89,5,0)</f>
        <v>2.2612312022829429E-13</v>
      </c>
      <c r="BF159" s="13">
        <f t="shared" si="167"/>
        <v>3.0892373714008046E-12</v>
      </c>
      <c r="BG159" s="20">
        <f t="shared" si="168"/>
        <v>5.7742528562540137E-12</v>
      </c>
      <c r="BH159" s="59">
        <f t="shared" si="116"/>
        <v>293.33333333333911</v>
      </c>
      <c r="BI159" s="59">
        <f ca="1">AVERAGE(OFFSET($BH$3,0,0,'Données projet'!$E$11+1,1))-AVERAGE(OFFSET($H$3,0,0,'Données projet'!$E$11+1,1))</f>
        <v>111.85541298746966</v>
      </c>
      <c r="BJ159" s="59">
        <f t="shared" si="146"/>
        <v>27.56942482401746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75.144029523747179</v>
      </c>
      <c r="BQ159" s="21">
        <f>EXP(-LN(2)/25)*BQ158+(1-EXP(-LN(2)/25))/(LN(2)/25)*Calculateur!BL159*Calculateur!BN159*VLOOKUP('Données projet'!$B$11,Paramètres!$A$1:$I$89,3,0)*0.475*44/12</f>
        <v>16.188560856313668</v>
      </c>
      <c r="BR159" s="21">
        <f>EXP(-LN(2)/2)*BR158+(1-EXP(-LN(2)/2))/(LN(2)/2)*BL159*BO159*VLOOKUP('Données projet'!$B$11,Paramètres!$A$1:$I$89,3,0)*0.475*44/12</f>
        <v>0.20678912473340022</v>
      </c>
      <c r="BS159" s="22">
        <f t="shared" si="169"/>
        <v>91.539379504794255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253.62423410951334</v>
      </c>
      <c r="CE159" s="59">
        <f t="shared" si="148"/>
        <v>230.93438491511529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38.329233937331956</v>
      </c>
      <c r="CL159" s="21">
        <f>EXP(-LN(2)/25)*CL158+(1-EXP(-LN(2)/25))/(LN(2)/25)*Calculateur!CG159*Calculateur!CI159*VLOOKUP('Données projet'!$B$12,Paramètres!$A$1:$I$89,3,0)*0.475*44/12</f>
        <v>5.1074137425434456</v>
      </c>
      <c r="CM159" s="21">
        <f>EXP(-LN(2)/2)*CM158+(1-EXP(-LN(2)/2))/(LN(2)/2)*CG159*CJ159*VLOOKUP('Données projet'!$B$12,Paramètres!$A$1:$I$89,3,0)*0.475*44/12</f>
        <v>4.5284150824457457E-12</v>
      </c>
      <c r="CN159" s="22">
        <f t="shared" si="172"/>
        <v>43.436647679879925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-7.3896444519050419E-13</v>
      </c>
      <c r="O160" s="13">
        <f>N160*VLOOKUP('Données projet'!$B$9,Paramètres!$A$1:$I$89,3,0)*VLOOKUP('Données projet'!$B$9,Paramètres!$A$1:$I$89,5,0)</f>
        <v>-3.4583536034915594E-13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190.74210845597287</v>
      </c>
      <c r="T160" s="59">
        <f t="shared" si="142"/>
        <v>131.88015896015884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55.918001267277425</v>
      </c>
      <c r="AA160" s="21">
        <f>EXP(-LN(2)/25)*AA159+(1-EXP(-LN(2)/25))/(LN(2)/25)*Calculateur!V160*Calculateur!X160*VLOOKUP('Données projet'!$B$9,Paramètres!$A$1:$I$89,3,0)*0.475*44/12</f>
        <v>8.6509260974487141</v>
      </c>
      <c r="AB160" s="21">
        <f>EXP(-LN(2)/2)*AB159+(1-EXP(-LN(2)/2))/(LN(2)/2)*V160*Y160*VLOOKUP('Données projet'!$B$9,Paramètres!$A$1:$I$89,3,0)*0.475*44/12</f>
        <v>8.2065534068776103E-8</v>
      </c>
      <c r="AC160" s="22">
        <f t="shared" si="163"/>
        <v>64.568927446791676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-6.3550942286383367E-14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278.5296012747549</v>
      </c>
      <c r="AO160" s="59">
        <f t="shared" si="144"/>
        <v>370.55343097937077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30.066430901176656</v>
      </c>
      <c r="AV160" s="21">
        <f>EXP(-LN(2)/25)*AV159+(1-EXP(-LN(2)/25))/(LN(2)/25)*Calculateur!AQ160*Calculateur!AS160*VLOOKUP('Données projet'!$B$10,Paramètres!$A$1:$I$89,3,0)*0.475*44/12</f>
        <v>3.4062616588386612</v>
      </c>
      <c r="AW160" s="21">
        <f>EXP(-LN(2)/2)*AW159+(1-EXP(-LN(2)/2))/(LN(2)/2)*AQ160*AT160*VLOOKUP('Données projet'!$B$10,Paramètres!$A$1:$I$89,3,0)*0.475*44/12</f>
        <v>1.5170666502634088E-14</v>
      </c>
      <c r="AX160" s="21">
        <f t="shared" si="166"/>
        <v>33.472692560015332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4.8316906031686813E-13</v>
      </c>
      <c r="BE160" s="13">
        <f>BD160*VLOOKUP('Données projet'!$B$11,Paramètres!$A$1:$I$89,3,0)*VLOOKUP('Données projet'!$B$11,Paramètres!$A$1:$I$89,5,0)</f>
        <v>2.2612312022829429E-13</v>
      </c>
      <c r="BF160" s="13">
        <f t="shared" si="167"/>
        <v>3.0892373714008046E-12</v>
      </c>
      <c r="BG160" s="20">
        <f t="shared" si="168"/>
        <v>5.7742528562540137E-12</v>
      </c>
      <c r="BH160" s="59">
        <f t="shared" si="116"/>
        <v>293.33333333333911</v>
      </c>
      <c r="BI160" s="59">
        <f ca="1">AVERAGE(OFFSET($BH$3,0,0,'Données projet'!$E$11+1,1))-AVERAGE(OFFSET($H$3,0,0,'Données projet'!$E$11+1,1))</f>
        <v>111.85541298746966</v>
      </c>
      <c r="BJ160" s="59">
        <f t="shared" si="146"/>
        <v>27.56942482401746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73.670500938118835</v>
      </c>
      <c r="BQ160" s="21">
        <f>EXP(-LN(2)/25)*BQ159+(1-EXP(-LN(2)/25))/(LN(2)/25)*Calculateur!BL160*Calculateur!BN160*VLOOKUP('Données projet'!$B$11,Paramètres!$A$1:$I$89,3,0)*0.475*44/12</f>
        <v>15.745883808378355</v>
      </c>
      <c r="BR160" s="21">
        <f>EXP(-LN(2)/2)*BR159+(1-EXP(-LN(2)/2))/(LN(2)/2)*BL160*BO160*VLOOKUP('Données projet'!$B$11,Paramètres!$A$1:$I$89,3,0)*0.475*44/12</f>
        <v>0.14622199237461811</v>
      </c>
      <c r="BS160" s="22">
        <f t="shared" si="169"/>
        <v>89.562606738871807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253.62423410951334</v>
      </c>
      <c r="CE160" s="59">
        <f t="shared" si="148"/>
        <v>230.93438491511529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37.577621038345143</v>
      </c>
      <c r="CL160" s="21">
        <f>EXP(-LN(2)/25)*CL159+(1-EXP(-LN(2)/25))/(LN(2)/25)*Calculateur!CG160*Calculateur!CI160*VLOOKUP('Données projet'!$B$12,Paramètres!$A$1:$I$89,3,0)*0.475*44/12</f>
        <v>4.9677512451663794</v>
      </c>
      <c r="CM160" s="21">
        <f>EXP(-LN(2)/2)*CM159+(1-EXP(-LN(2)/2))/(LN(2)/2)*CG160*CJ160*VLOOKUP('Données projet'!$B$12,Paramètres!$A$1:$I$89,3,0)*0.475*44/12</f>
        <v>3.2020730128248255E-12</v>
      </c>
      <c r="CN160" s="22">
        <f t="shared" si="172"/>
        <v>42.54537228351473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-7.3896444519050419E-13</v>
      </c>
      <c r="O161" s="13">
        <f>N161*VLOOKUP('Données projet'!$B$9,Paramètres!$A$1:$I$89,3,0)*VLOOKUP('Données projet'!$B$9,Paramètres!$A$1:$I$89,5,0)</f>
        <v>-3.4583536034915594E-13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190.74210845597287</v>
      </c>
      <c r="T161" s="59">
        <f t="shared" si="142"/>
        <v>131.88015896015884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54.821483369039143</v>
      </c>
      <c r="AA161" s="21">
        <f>EXP(-LN(2)/25)*AA160+(1-EXP(-LN(2)/25))/(LN(2)/25)*Calculateur!V161*Calculateur!X161*VLOOKUP('Données projet'!$B$9,Paramètres!$A$1:$I$89,3,0)*0.475*44/12</f>
        <v>8.4143660683815469</v>
      </c>
      <c r="AB161" s="21">
        <f>EXP(-LN(2)/2)*AB160+(1-EXP(-LN(2)/2))/(LN(2)/2)*V161*Y161*VLOOKUP('Données projet'!$B$9,Paramètres!$A$1:$I$89,3,0)*0.475*44/12</f>
        <v>5.8029095641727226E-8</v>
      </c>
      <c r="AC161" s="22">
        <f t="shared" si="163"/>
        <v>63.235849495449784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-6.3550942286383367E-14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278.5296012747549</v>
      </c>
      <c r="AO161" s="59">
        <f t="shared" si="144"/>
        <v>370.55343097937077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29.476846529916635</v>
      </c>
      <c r="AV161" s="21">
        <f>EXP(-LN(2)/25)*AV160+(1-EXP(-LN(2)/25))/(LN(2)/25)*Calculateur!AQ161*Calculateur!AS161*VLOOKUP('Données projet'!$B$10,Paramètres!$A$1:$I$89,3,0)*0.475*44/12</f>
        <v>3.3131172546502023</v>
      </c>
      <c r="AW161" s="21">
        <f>EXP(-LN(2)/2)*AW160+(1-EXP(-LN(2)/2))/(LN(2)/2)*AQ161*AT161*VLOOKUP('Données projet'!$B$10,Paramètres!$A$1:$I$89,3,0)*0.475*44/12</f>
        <v>1.0727281159132169E-14</v>
      </c>
      <c r="AX161" s="21">
        <f t="shared" si="166"/>
        <v>32.789963784566851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4.8316906031686813E-13</v>
      </c>
      <c r="BE161" s="13">
        <f>BD161*VLOOKUP('Données projet'!$B$11,Paramètres!$A$1:$I$89,3,0)*VLOOKUP('Données projet'!$B$11,Paramètres!$A$1:$I$89,5,0)</f>
        <v>2.2612312022829429E-13</v>
      </c>
      <c r="BF161" s="13">
        <f t="shared" si="167"/>
        <v>3.0892373714008046E-12</v>
      </c>
      <c r="BG161" s="20">
        <f t="shared" si="168"/>
        <v>5.7742528562540137E-12</v>
      </c>
      <c r="BH161" s="59">
        <f t="shared" si="116"/>
        <v>293.33333333333911</v>
      </c>
      <c r="BI161" s="59">
        <f ca="1">AVERAGE(OFFSET($BH$3,0,0,'Données projet'!$E$11+1,1))-AVERAGE(OFFSET($H$3,0,0,'Données projet'!$E$11+1,1))</f>
        <v>111.85541298746966</v>
      </c>
      <c r="BJ161" s="59">
        <f t="shared" si="146"/>
        <v>27.56942482401746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72.225867349290979</v>
      </c>
      <c r="BQ161" s="21">
        <f>EXP(-LN(2)/25)*BQ160+(1-EXP(-LN(2)/25))/(LN(2)/25)*Calculateur!BL161*Calculateur!BN161*VLOOKUP('Données projet'!$B$11,Paramètres!$A$1:$I$89,3,0)*0.475*44/12</f>
        <v>15.315311787598208</v>
      </c>
      <c r="BR161" s="21">
        <f>EXP(-LN(2)/2)*BR160+(1-EXP(-LN(2)/2))/(LN(2)/2)*BL161*BO161*VLOOKUP('Données projet'!$B$11,Paramètres!$A$1:$I$89,3,0)*0.475*44/12</f>
        <v>0.10339456236670011</v>
      </c>
      <c r="BS161" s="22">
        <f t="shared" si="169"/>
        <v>87.644573699255886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253.62423410951334</v>
      </c>
      <c r="CE161" s="59">
        <f t="shared" si="148"/>
        <v>230.93438491511529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36.840746809868854</v>
      </c>
      <c r="CL161" s="21">
        <f>EXP(-LN(2)/25)*CL160+(1-EXP(-LN(2)/25))/(LN(2)/25)*Calculateur!CG161*Calculateur!CI161*VLOOKUP('Données projet'!$B$12,Paramètres!$A$1:$I$89,3,0)*0.475*44/12</f>
        <v>4.8319078261246204</v>
      </c>
      <c r="CM161" s="21">
        <f>EXP(-LN(2)/2)*CM160+(1-EXP(-LN(2)/2))/(LN(2)/2)*CG161*CJ161*VLOOKUP('Données projet'!$B$12,Paramètres!$A$1:$I$89,3,0)*0.475*44/12</f>
        <v>2.2642075412228729E-12</v>
      </c>
      <c r="CN161" s="22">
        <f t="shared" si="172"/>
        <v>41.672654635995741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-7.3896444519050419E-13</v>
      </c>
      <c r="O162" s="13">
        <f>N162*VLOOKUP('Données projet'!$B$9,Paramètres!$A$1:$I$89,3,0)*VLOOKUP('Données projet'!$B$9,Paramètres!$A$1:$I$89,5,0)</f>
        <v>-3.4583536034915594E-13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190.74210845597287</v>
      </c>
      <c r="T162" s="59">
        <f t="shared" si="142"/>
        <v>131.88015896015884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53.746467517975432</v>
      </c>
      <c r="AA162" s="21">
        <f>EXP(-LN(2)/25)*AA161+(1-EXP(-LN(2)/25))/(LN(2)/25)*Calculateur!V162*Calculateur!X162*VLOOKUP('Données projet'!$B$9,Paramètres!$A$1:$I$89,3,0)*0.475*44/12</f>
        <v>8.1842747857493734</v>
      </c>
      <c r="AB162" s="21">
        <f>EXP(-LN(2)/2)*AB161+(1-EXP(-LN(2)/2))/(LN(2)/2)*V162*Y162*VLOOKUP('Données projet'!$B$9,Paramètres!$A$1:$I$89,3,0)*0.475*44/12</f>
        <v>4.1032767034388051E-8</v>
      </c>
      <c r="AC162" s="22">
        <f t="shared" si="163"/>
        <v>61.930742344757576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-6.3550942286383367E-14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278.5296012747549</v>
      </c>
      <c r="AO162" s="59">
        <f t="shared" si="144"/>
        <v>370.55343097937077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28.898823548566064</v>
      </c>
      <c r="AV162" s="21">
        <f>EXP(-LN(2)/25)*AV161+(1-EXP(-LN(2)/25))/(LN(2)/25)*Calculateur!AQ162*Calculateur!AS162*VLOOKUP('Données projet'!$B$10,Paramètres!$A$1:$I$89,3,0)*0.475*44/12</f>
        <v>3.2225198890925282</v>
      </c>
      <c r="AW162" s="21">
        <f>EXP(-LN(2)/2)*AW161+(1-EXP(-LN(2)/2))/(LN(2)/2)*AQ162*AT162*VLOOKUP('Données projet'!$B$10,Paramètres!$A$1:$I$89,3,0)*0.475*44/12</f>
        <v>7.5853332513170442E-15</v>
      </c>
      <c r="AX162" s="21">
        <f t="shared" si="166"/>
        <v>32.121343437658602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4.8316906031686813E-13</v>
      </c>
      <c r="BE162" s="13">
        <f>BD162*VLOOKUP('Données projet'!$B$11,Paramètres!$A$1:$I$89,3,0)*VLOOKUP('Données projet'!$B$11,Paramètres!$A$1:$I$89,5,0)</f>
        <v>2.2612312022829429E-13</v>
      </c>
      <c r="BF162" s="13">
        <f t="shared" si="167"/>
        <v>3.0892373714008046E-12</v>
      </c>
      <c r="BG162" s="20">
        <f t="shared" si="168"/>
        <v>5.7742528562540137E-12</v>
      </c>
      <c r="BH162" s="59">
        <f t="shared" si="116"/>
        <v>293.33333333333911</v>
      </c>
      <c r="BI162" s="59">
        <f ca="1">AVERAGE(OFFSET($BH$3,0,0,'Données projet'!$E$11+1,1))-AVERAGE(OFFSET($H$3,0,0,'Données projet'!$E$11+1,1))</f>
        <v>111.85541298746966</v>
      </c>
      <c r="BJ162" s="59">
        <f t="shared" si="146"/>
        <v>27.56942482401746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70.809562144000552</v>
      </c>
      <c r="BQ162" s="21">
        <f>EXP(-LN(2)/25)*BQ161+(1-EXP(-LN(2)/25))/(LN(2)/25)*Calculateur!BL162*Calculateur!BN162*VLOOKUP('Données projet'!$B$11,Paramètres!$A$1:$I$89,3,0)*0.475*44/12</f>
        <v>14.896513781369093</v>
      </c>
      <c r="BR162" s="21">
        <f>EXP(-LN(2)/2)*BR161+(1-EXP(-LN(2)/2))/(LN(2)/2)*BL162*BO162*VLOOKUP('Données projet'!$B$11,Paramètres!$A$1:$I$89,3,0)*0.475*44/12</f>
        <v>7.3110996187309055E-2</v>
      </c>
      <c r="BS162" s="22">
        <f t="shared" si="169"/>
        <v>85.779186921556956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253.62423410951334</v>
      </c>
      <c r="CE162" s="59">
        <f t="shared" si="148"/>
        <v>230.93438491511529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36.118322235564086</v>
      </c>
      <c r="CL162" s="21">
        <f>EXP(-LN(2)/25)*CL161+(1-EXP(-LN(2)/25))/(LN(2)/25)*Calculateur!CG162*Calculateur!CI162*VLOOKUP('Données projet'!$B$12,Paramètres!$A$1:$I$89,3,0)*0.475*44/12</f>
        <v>4.6997790525202534</v>
      </c>
      <c r="CM162" s="21">
        <f>EXP(-LN(2)/2)*CM161+(1-EXP(-LN(2)/2))/(LN(2)/2)*CG162*CJ162*VLOOKUP('Données projet'!$B$12,Paramètres!$A$1:$I$89,3,0)*0.475*44/12</f>
        <v>1.6010365064124128E-12</v>
      </c>
      <c r="CN162" s="22">
        <f t="shared" si="172"/>
        <v>40.818101288085941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-7.3896444519050419E-13</v>
      </c>
      <c r="O163" s="13">
        <f>N163*VLOOKUP('Données projet'!$B$9,Paramètres!$A$1:$I$89,3,0)*VLOOKUP('Données projet'!$B$9,Paramètres!$A$1:$I$89,5,0)</f>
        <v>-3.4583536034915594E-13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190.74210845597287</v>
      </c>
      <c r="T163" s="59">
        <f t="shared" si="142"/>
        <v>131.88015896015884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52.692532072056153</v>
      </c>
      <c r="AA163" s="21">
        <f>EXP(-LN(2)/25)*AA162+(1-EXP(-LN(2)/25))/(LN(2)/25)*Calculateur!V163*Calculateur!X163*VLOOKUP('Données projet'!$B$9,Paramètres!$A$1:$I$89,3,0)*0.475*44/12</f>
        <v>7.9604753613407508</v>
      </c>
      <c r="AB163" s="21">
        <f>EXP(-LN(2)/2)*AB162+(1-EXP(-LN(2)/2))/(LN(2)/2)*V163*Y163*VLOOKUP('Données projet'!$B$9,Paramètres!$A$1:$I$89,3,0)*0.475*44/12</f>
        <v>2.9014547820863613E-8</v>
      </c>
      <c r="AC163" s="22">
        <f t="shared" si="163"/>
        <v>60.653007462411452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-6.3550942286383367E-14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278.5296012747549</v>
      </c>
      <c r="AO163" s="59">
        <f t="shared" si="144"/>
        <v>370.55343097937077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28.332135245320572</v>
      </c>
      <c r="AV163" s="21">
        <f>EXP(-LN(2)/25)*AV162+(1-EXP(-LN(2)/25))/(LN(2)/25)*Calculateur!AQ163*Calculateur!AS163*VLOOKUP('Données projet'!$B$10,Paramètres!$A$1:$I$89,3,0)*0.475*44/12</f>
        <v>3.1343999132603373</v>
      </c>
      <c r="AW163" s="21">
        <f>EXP(-LN(2)/2)*AW162+(1-EXP(-LN(2)/2))/(LN(2)/2)*AQ163*AT163*VLOOKUP('Données projet'!$B$10,Paramètres!$A$1:$I$89,3,0)*0.475*44/12</f>
        <v>5.3636405795660843E-15</v>
      </c>
      <c r="AX163" s="21">
        <f t="shared" si="166"/>
        <v>31.466535158580918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4.8316906031686813E-13</v>
      </c>
      <c r="BE163" s="13">
        <f>BD163*VLOOKUP('Données projet'!$B$11,Paramètres!$A$1:$I$89,3,0)*VLOOKUP('Données projet'!$B$11,Paramètres!$A$1:$I$89,5,0)</f>
        <v>2.2612312022829429E-13</v>
      </c>
      <c r="BF163" s="13">
        <f t="shared" si="167"/>
        <v>3.0892373714008046E-12</v>
      </c>
      <c r="BG163" s="20">
        <f t="shared" si="168"/>
        <v>5.7742528562540137E-12</v>
      </c>
      <c r="BH163" s="59">
        <f t="shared" si="116"/>
        <v>293.33333333333911</v>
      </c>
      <c r="BI163" s="59">
        <f ca="1">AVERAGE(OFFSET($BH$3,0,0,'Données projet'!$E$11+1,1))-AVERAGE(OFFSET($H$3,0,0,'Données projet'!$E$11+1,1))</f>
        <v>111.85541298746966</v>
      </c>
      <c r="BJ163" s="59">
        <f t="shared" si="146"/>
        <v>27.56942482401746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69.421029819924996</v>
      </c>
      <c r="BQ163" s="21">
        <f>EXP(-LN(2)/25)*BQ162+(1-EXP(-LN(2)/25))/(LN(2)/25)*Calculateur!BL163*Calculateur!BN163*VLOOKUP('Données projet'!$B$11,Paramètres!$A$1:$I$89,3,0)*0.475*44/12</f>
        <v>14.489167828643941</v>
      </c>
      <c r="BR163" s="21">
        <f>EXP(-LN(2)/2)*BR162+(1-EXP(-LN(2)/2))/(LN(2)/2)*BL163*BO163*VLOOKUP('Données projet'!$B$11,Paramètres!$A$1:$I$89,3,0)*0.475*44/12</f>
        <v>5.1697281183350055E-2</v>
      </c>
      <c r="BS163" s="22">
        <f t="shared" si="169"/>
        <v>83.96189492975229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253.62423410951334</v>
      </c>
      <c r="CE163" s="59">
        <f t="shared" si="148"/>
        <v>230.93438491511529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35.410063966525954</v>
      </c>
      <c r="CL163" s="21">
        <f>EXP(-LN(2)/25)*CL162+(1-EXP(-LN(2)/25))/(LN(2)/25)*Calculateur!CG163*Calculateur!CI163*VLOOKUP('Données projet'!$B$12,Paramètres!$A$1:$I$89,3,0)*0.475*44/12</f>
        <v>4.5712633471784478</v>
      </c>
      <c r="CM163" s="21">
        <f>EXP(-LN(2)/2)*CM162+(1-EXP(-LN(2)/2))/(LN(2)/2)*CG163*CJ163*VLOOKUP('Données projet'!$B$12,Paramètres!$A$1:$I$89,3,0)*0.475*44/12</f>
        <v>1.1321037706114364E-12</v>
      </c>
      <c r="CN163" s="22">
        <f t="shared" si="172"/>
        <v>39.981327313705528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-7.3896444519050419E-13</v>
      </c>
      <c r="O164" s="13">
        <f>N164*VLOOKUP('Données projet'!$B$9,Paramètres!$A$1:$I$89,3,0)*VLOOKUP('Données projet'!$B$9,Paramètres!$A$1:$I$89,5,0)</f>
        <v>-3.4583536034915594E-13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190.74210845597287</v>
      </c>
      <c r="T164" s="59">
        <f t="shared" si="142"/>
        <v>131.88015896015884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51.659263657394206</v>
      </c>
      <c r="AA164" s="21">
        <f>EXP(-LN(2)/25)*AA163+(1-EXP(-LN(2)/25))/(LN(2)/25)*Calculateur!V164*Calculateur!X164*VLOOKUP('Données projet'!$B$9,Paramètres!$A$1:$I$89,3,0)*0.475*44/12</f>
        <v>7.7427957439616826</v>
      </c>
      <c r="AB164" s="21">
        <f>EXP(-LN(2)/2)*AB163+(1-EXP(-LN(2)/2))/(LN(2)/2)*V164*Y164*VLOOKUP('Données projet'!$B$9,Paramètres!$A$1:$I$89,3,0)*0.475*44/12</f>
        <v>2.0516383517194026E-8</v>
      </c>
      <c r="AC164" s="22">
        <f t="shared" si="163"/>
        <v>59.402059421872266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-6.3550942286383367E-14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278.5296012747549</v>
      </c>
      <c r="AO164" s="59">
        <f t="shared" si="144"/>
        <v>370.55343097937077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27.776559354055987</v>
      </c>
      <c r="AV164" s="21">
        <f>EXP(-LN(2)/25)*AV163+(1-EXP(-LN(2)/25))/(LN(2)/25)*Calculateur!AQ164*Calculateur!AS164*VLOOKUP('Données projet'!$B$10,Paramètres!$A$1:$I$89,3,0)*0.475*44/12</f>
        <v>3.0486895828013059</v>
      </c>
      <c r="AW164" s="21">
        <f>EXP(-LN(2)/2)*AW163+(1-EXP(-LN(2)/2))/(LN(2)/2)*AQ164*AT164*VLOOKUP('Données projet'!$B$10,Paramètres!$A$1:$I$89,3,0)*0.475*44/12</f>
        <v>3.7926666256585221E-15</v>
      </c>
      <c r="AX164" s="21">
        <f t="shared" si="166"/>
        <v>30.825248936857296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4.8316906031686813E-13</v>
      </c>
      <c r="BE164" s="13">
        <f>BD164*VLOOKUP('Données projet'!$B$11,Paramètres!$A$1:$I$89,3,0)*VLOOKUP('Données projet'!$B$11,Paramètres!$A$1:$I$89,5,0)</f>
        <v>2.2612312022829429E-13</v>
      </c>
      <c r="BF164" s="13">
        <f t="shared" si="167"/>
        <v>3.0892373714008046E-12</v>
      </c>
      <c r="BG164" s="20">
        <f t="shared" si="168"/>
        <v>5.7742528562540137E-12</v>
      </c>
      <c r="BH164" s="59">
        <f t="shared" si="116"/>
        <v>293.33333333333911</v>
      </c>
      <c r="BI164" s="59">
        <f ca="1">AVERAGE(OFFSET($BH$3,0,0,'Données projet'!$E$11+1,1))-AVERAGE(OFFSET($H$3,0,0,'Données projet'!$E$11+1,1))</f>
        <v>111.85541298746966</v>
      </c>
      <c r="BJ164" s="59">
        <f t="shared" si="146"/>
        <v>27.56942482401746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68.059725767803471</v>
      </c>
      <c r="BQ164" s="21">
        <f>EXP(-LN(2)/25)*BQ163+(1-EXP(-LN(2)/25))/(LN(2)/25)*Calculateur!BL164*Calculateur!BN164*VLOOKUP('Données projet'!$B$11,Paramètres!$A$1:$I$89,3,0)*0.475*44/12</f>
        <v>14.092960772417452</v>
      </c>
      <c r="BR164" s="21">
        <f>EXP(-LN(2)/2)*BR163+(1-EXP(-LN(2)/2))/(LN(2)/2)*BL164*BO164*VLOOKUP('Données projet'!$B$11,Paramètres!$A$1:$I$89,3,0)*0.475*44/12</f>
        <v>3.6555498093654527E-2</v>
      </c>
      <c r="BS164" s="22">
        <f t="shared" si="169"/>
        <v>82.189242038314575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253.62423410951334</v>
      </c>
      <c r="CE164" s="59">
        <f t="shared" si="148"/>
        <v>230.93438491511529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34.715694210148776</v>
      </c>
      <c r="CL164" s="21">
        <f>EXP(-LN(2)/25)*CL163+(1-EXP(-LN(2)/25))/(LN(2)/25)*Calculateur!CG164*Calculateur!CI164*VLOOKUP('Données projet'!$B$12,Paramètres!$A$1:$I$89,3,0)*0.475*44/12</f>
        <v>4.4462619105575616</v>
      </c>
      <c r="CM164" s="21">
        <f>EXP(-LN(2)/2)*CM163+(1-EXP(-LN(2)/2))/(LN(2)/2)*CG164*CJ164*VLOOKUP('Données projet'!$B$12,Paramètres!$A$1:$I$89,3,0)*0.475*44/12</f>
        <v>8.0051825320620638E-13</v>
      </c>
      <c r="CN164" s="22">
        <f t="shared" si="172"/>
        <v>39.161956120707138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-7.3896444519050419E-13</v>
      </c>
      <c r="O165" s="13">
        <f>N165*VLOOKUP('Données projet'!$B$9,Paramètres!$A$1:$I$89,3,0)*VLOOKUP('Données projet'!$B$9,Paramètres!$A$1:$I$89,5,0)</f>
        <v>-3.4583536034915594E-13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190.74210845597287</v>
      </c>
      <c r="T165" s="59">
        <f t="shared" si="142"/>
        <v>131.88015896015884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50.646257006112279</v>
      </c>
      <c r="AA165" s="21">
        <f>EXP(-LN(2)/25)*AA164+(1-EXP(-LN(2)/25))/(LN(2)/25)*Calculateur!V165*Calculateur!X165*VLOOKUP('Données projet'!$B$9,Paramètres!$A$1:$I$89,3,0)*0.475*44/12</f>
        <v>7.5310685871671188</v>
      </c>
      <c r="AB165" s="21">
        <f>EXP(-LN(2)/2)*AB164+(1-EXP(-LN(2)/2))/(LN(2)/2)*V165*Y165*VLOOKUP('Données projet'!$B$9,Paramètres!$A$1:$I$89,3,0)*0.475*44/12</f>
        <v>1.4507273910431806E-8</v>
      </c>
      <c r="AC165" s="22">
        <f t="shared" si="163"/>
        <v>58.177325607786671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-6.3550942286383367E-14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278.5296012747549</v>
      </c>
      <c r="AO165" s="59">
        <f t="shared" si="144"/>
        <v>370.55343097937077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27.23187796715127</v>
      </c>
      <c r="AV165" s="21">
        <f>EXP(-LN(2)/25)*AV164+(1-EXP(-LN(2)/25))/(LN(2)/25)*Calculateur!AQ165*Calculateur!AS165*VLOOKUP('Données projet'!$B$10,Paramètres!$A$1:$I$89,3,0)*0.475*44/12</f>
        <v>2.965323005835987</v>
      </c>
      <c r="AW165" s="21">
        <f>EXP(-LN(2)/2)*AW164+(1-EXP(-LN(2)/2))/(LN(2)/2)*AQ165*AT165*VLOOKUP('Données projet'!$B$10,Paramètres!$A$1:$I$89,3,0)*0.475*44/12</f>
        <v>2.6818202897830422E-15</v>
      </c>
      <c r="AX165" s="21">
        <f t="shared" si="166"/>
        <v>30.197200972987261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4.8316906031686813E-13</v>
      </c>
      <c r="BE165" s="13">
        <f>BD165*VLOOKUP('Données projet'!$B$11,Paramètres!$A$1:$I$89,3,0)*VLOOKUP('Données projet'!$B$11,Paramètres!$A$1:$I$89,5,0)</f>
        <v>2.2612312022829429E-13</v>
      </c>
      <c r="BF165" s="13">
        <f t="shared" si="167"/>
        <v>3.0892373714008046E-12</v>
      </c>
      <c r="BG165" s="20">
        <f t="shared" si="168"/>
        <v>5.7742528562540137E-12</v>
      </c>
      <c r="BH165" s="59">
        <f t="shared" si="116"/>
        <v>293.33333333333911</v>
      </c>
      <c r="BI165" s="59">
        <f ca="1">AVERAGE(OFFSET($BH$3,0,0,'Données projet'!$E$11+1,1))-AVERAGE(OFFSET($H$3,0,0,'Données projet'!$E$11+1,1))</f>
        <v>111.85541298746966</v>
      </c>
      <c r="BJ165" s="59">
        <f t="shared" si="146"/>
        <v>27.56942482401746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66.725116057830562</v>
      </c>
      <c r="BQ165" s="21">
        <f>EXP(-LN(2)/25)*BQ164+(1-EXP(-LN(2)/25))/(LN(2)/25)*Calculateur!BL165*Calculateur!BN165*VLOOKUP('Données projet'!$B$11,Paramètres!$A$1:$I$89,3,0)*0.475*44/12</f>
        <v>13.7075880189791</v>
      </c>
      <c r="BR165" s="21">
        <f>EXP(-LN(2)/2)*BR164+(1-EXP(-LN(2)/2))/(LN(2)/2)*BL165*BO165*VLOOKUP('Données projet'!$B$11,Paramètres!$A$1:$I$89,3,0)*0.475*44/12</f>
        <v>2.5848640591675028E-2</v>
      </c>
      <c r="BS165" s="22">
        <f t="shared" si="169"/>
        <v>80.458552717401332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253.62423410951334</v>
      </c>
      <c r="CE165" s="59">
        <f t="shared" si="148"/>
        <v>230.93438491511529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34.034940621170421</v>
      </c>
      <c r="CL165" s="21">
        <f>EXP(-LN(2)/25)*CL164+(1-EXP(-LN(2)/25))/(LN(2)/25)*Calculateur!CG165*Calculateur!CI165*VLOOKUP('Données projet'!$B$12,Paramètres!$A$1:$I$89,3,0)*0.475*44/12</f>
        <v>4.3246786447946128</v>
      </c>
      <c r="CM165" s="21">
        <f>EXP(-LN(2)/2)*CM164+(1-EXP(-LN(2)/2))/(LN(2)/2)*CG165*CJ165*VLOOKUP('Données projet'!$B$12,Paramètres!$A$1:$I$89,3,0)*0.475*44/12</f>
        <v>5.6605188530571821E-13</v>
      </c>
      <c r="CN165" s="22">
        <f t="shared" si="172"/>
        <v>38.359619265965605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-7.3896444519050419E-13</v>
      </c>
      <c r="O166" s="13">
        <f>N166*VLOOKUP('Données projet'!$B$9,Paramètres!$A$1:$I$89,3,0)*VLOOKUP('Données projet'!$B$9,Paramètres!$A$1:$I$89,5,0)</f>
        <v>-3.4583536034915594E-13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190.74210845597287</v>
      </c>
      <c r="T166" s="59">
        <f t="shared" si="142"/>
        <v>131.88015896015884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49.653114797388945</v>
      </c>
      <c r="AA166" s="21">
        <f>EXP(-LN(2)/25)*AA165+(1-EXP(-LN(2)/25))/(LN(2)/25)*Calculateur!V166*Calculateur!X166*VLOOKUP('Données projet'!$B$9,Paramètres!$A$1:$I$89,3,0)*0.475*44/12</f>
        <v>7.325131120609349</v>
      </c>
      <c r="AB166" s="21">
        <f>EXP(-LN(2)/2)*AB165+(1-EXP(-LN(2)/2))/(LN(2)/2)*V166*Y166*VLOOKUP('Données projet'!$B$9,Paramètres!$A$1:$I$89,3,0)*0.475*44/12</f>
        <v>1.0258191758597013E-8</v>
      </c>
      <c r="AC166" s="22">
        <f t="shared" si="163"/>
        <v>56.978245928256484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-6.3550942286383367E-14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278.5296012747549</v>
      </c>
      <c r="AO166" s="59">
        <f t="shared" si="144"/>
        <v>370.55343097937077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26.697877450020911</v>
      </c>
      <c r="AV166" s="21">
        <f>EXP(-LN(2)/25)*AV165+(1-EXP(-LN(2)/25))/(LN(2)/25)*Calculateur!AQ166*Calculateur!AS166*VLOOKUP('Données projet'!$B$10,Paramètres!$A$1:$I$89,3,0)*0.475*44/12</f>
        <v>2.8842360923018422</v>
      </c>
      <c r="AW166" s="21">
        <f>EXP(-LN(2)/2)*AW165+(1-EXP(-LN(2)/2))/(LN(2)/2)*AQ166*AT166*VLOOKUP('Données projet'!$B$10,Paramètres!$A$1:$I$89,3,0)*0.475*44/12</f>
        <v>1.8963333128292611E-15</v>
      </c>
      <c r="AX166" s="21">
        <f t="shared" si="166"/>
        <v>29.582113542322755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4.8316906031686813E-13</v>
      </c>
      <c r="BE166" s="13">
        <f>BD166*VLOOKUP('Données projet'!$B$11,Paramètres!$A$1:$I$89,3,0)*VLOOKUP('Données projet'!$B$11,Paramètres!$A$1:$I$89,5,0)</f>
        <v>2.2612312022829429E-13</v>
      </c>
      <c r="BF166" s="13">
        <f t="shared" si="167"/>
        <v>3.0892373714008046E-12</v>
      </c>
      <c r="BG166" s="20">
        <f t="shared" si="168"/>
        <v>5.7742528562540137E-12</v>
      </c>
      <c r="BH166" s="59">
        <f t="shared" si="116"/>
        <v>293.33333333333911</v>
      </c>
      <c r="BI166" s="59">
        <f ca="1">AVERAGE(OFFSET($BH$3,0,0,'Données projet'!$E$11+1,1))-AVERAGE(OFFSET($H$3,0,0,'Données projet'!$E$11+1,1))</f>
        <v>111.85541298746966</v>
      </c>
      <c r="BJ166" s="59">
        <f t="shared" si="146"/>
        <v>27.56942482401746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65.416677230238676</v>
      </c>
      <c r="BQ166" s="21">
        <f>EXP(-LN(2)/25)*BQ165+(1-EXP(-LN(2)/25))/(LN(2)/25)*Calculateur!BL166*Calculateur!BN166*VLOOKUP('Données projet'!$B$11,Paramètres!$A$1:$I$89,3,0)*0.475*44/12</f>
        <v>13.332753303749392</v>
      </c>
      <c r="BR166" s="21">
        <f>EXP(-LN(2)/2)*BR165+(1-EXP(-LN(2)/2))/(LN(2)/2)*BL166*BO166*VLOOKUP('Données projet'!$B$11,Paramètres!$A$1:$I$89,3,0)*0.475*44/12</f>
        <v>1.8277749046827264E-2</v>
      </c>
      <c r="BS166" s="22">
        <f t="shared" si="169"/>
        <v>78.767708283034892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253.62423410951334</v>
      </c>
      <c r="CE166" s="59">
        <f t="shared" si="148"/>
        <v>230.93438491511529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33.367536194853244</v>
      </c>
      <c r="CL166" s="21">
        <f>EXP(-LN(2)/25)*CL165+(1-EXP(-LN(2)/25))/(LN(2)/25)*Calculateur!CG166*Calculateur!CI166*VLOOKUP('Données projet'!$B$12,Paramètres!$A$1:$I$89,3,0)*0.475*44/12</f>
        <v>4.2064200798277387</v>
      </c>
      <c r="CM166" s="21">
        <f>EXP(-LN(2)/2)*CM165+(1-EXP(-LN(2)/2))/(LN(2)/2)*CG166*CJ166*VLOOKUP('Données projet'!$B$12,Paramètres!$A$1:$I$89,3,0)*0.475*44/12</f>
        <v>4.0025912660310319E-13</v>
      </c>
      <c r="CN166" s="22">
        <f t="shared" si="172"/>
        <v>37.573956274681379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-7.3896444519050419E-13</v>
      </c>
      <c r="O167" s="13">
        <f>N167*VLOOKUP('Données projet'!$B$9,Paramètres!$A$1:$I$89,3,0)*VLOOKUP('Données projet'!$B$9,Paramètres!$A$1:$I$89,5,0)</f>
        <v>-3.4583536034915594E-13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190.74210845597287</v>
      </c>
      <c r="T167" s="59">
        <f t="shared" si="142"/>
        <v>131.88015896015884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48.679447501621738</v>
      </c>
      <c r="AA167" s="21">
        <f>EXP(-LN(2)/25)*AA166+(1-EXP(-LN(2)/25))/(LN(2)/25)*Calculateur!V167*Calculateur!X167*VLOOKUP('Données projet'!$B$9,Paramètres!$A$1:$I$89,3,0)*0.475*44/12</f>
        <v>7.124825024904383</v>
      </c>
      <c r="AB167" s="21">
        <f>EXP(-LN(2)/2)*AB166+(1-EXP(-LN(2)/2))/(LN(2)/2)*V167*Y167*VLOOKUP('Données projet'!$B$9,Paramètres!$A$1:$I$89,3,0)*0.475*44/12</f>
        <v>7.2536369552159032E-9</v>
      </c>
      <c r="AC167" s="22">
        <f t="shared" si="163"/>
        <v>55.804272533779759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-6.3550942286383367E-14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278.5296012747549</v>
      </c>
      <c r="AO167" s="59">
        <f t="shared" si="144"/>
        <v>370.55343097937077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26.174348357323325</v>
      </c>
      <c r="AV167" s="21">
        <f>EXP(-LN(2)/25)*AV166+(1-EXP(-LN(2)/25))/(LN(2)/25)*Calculateur!AQ167*Calculateur!AS167*VLOOKUP('Données projet'!$B$10,Paramètres!$A$1:$I$89,3,0)*0.475*44/12</f>
        <v>2.8053665046824641</v>
      </c>
      <c r="AW167" s="21">
        <f>EXP(-LN(2)/2)*AW166+(1-EXP(-LN(2)/2))/(LN(2)/2)*AQ167*AT167*VLOOKUP('Données projet'!$B$10,Paramètres!$A$1:$I$89,3,0)*0.475*44/12</f>
        <v>1.3409101448915211E-15</v>
      </c>
      <c r="AX167" s="21">
        <f t="shared" si="166"/>
        <v>28.979714862005789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4.8316906031686813E-13</v>
      </c>
      <c r="BE167" s="13">
        <f>BD167*VLOOKUP('Données projet'!$B$11,Paramètres!$A$1:$I$89,3,0)*VLOOKUP('Données projet'!$B$11,Paramètres!$A$1:$I$89,5,0)</f>
        <v>2.2612312022829429E-13</v>
      </c>
      <c r="BF167" s="13">
        <f t="shared" si="167"/>
        <v>3.0892373714008046E-12</v>
      </c>
      <c r="BG167" s="20">
        <f t="shared" si="168"/>
        <v>5.7742528562540137E-12</v>
      </c>
      <c r="BH167" s="59">
        <f t="shared" si="116"/>
        <v>293.33333333333911</v>
      </c>
      <c r="BI167" s="59">
        <f ca="1">AVERAGE(OFFSET($BH$3,0,0,'Données projet'!$E$11+1,1))-AVERAGE(OFFSET($H$3,0,0,'Données projet'!$E$11+1,1))</f>
        <v>111.85541298746966</v>
      </c>
      <c r="BJ167" s="59">
        <f t="shared" si="146"/>
        <v>27.56942482401746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64.13389608998699</v>
      </c>
      <c r="BQ167" s="21">
        <f>EXP(-LN(2)/25)*BQ166+(1-EXP(-LN(2)/25))/(LN(2)/25)*Calculateur!BL167*Calculateur!BN167*VLOOKUP('Données projet'!$B$11,Paramètres!$A$1:$I$89,3,0)*0.475*44/12</f>
        <v>12.968168463519341</v>
      </c>
      <c r="BR167" s="21">
        <f>EXP(-LN(2)/2)*BR166+(1-EXP(-LN(2)/2))/(LN(2)/2)*BL167*BO167*VLOOKUP('Données projet'!$B$11,Paramètres!$A$1:$I$89,3,0)*0.475*44/12</f>
        <v>1.2924320295837514E-2</v>
      </c>
      <c r="BS167" s="22">
        <f t="shared" si="169"/>
        <v>77.114988873802162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253.62423410951334</v>
      </c>
      <c r="CE167" s="59">
        <f t="shared" si="148"/>
        <v>230.93438491511529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32.713219162259641</v>
      </c>
      <c r="CL167" s="21">
        <f>EXP(-LN(2)/25)*CL166+(1-EXP(-LN(2)/25))/(LN(2)/25)*Calculateur!CG167*Calculateur!CI167*VLOOKUP('Données projet'!$B$12,Paramètres!$A$1:$I$89,3,0)*0.475*44/12</f>
        <v>4.0913953015388307</v>
      </c>
      <c r="CM167" s="21">
        <f>EXP(-LN(2)/2)*CM166+(1-EXP(-LN(2)/2))/(LN(2)/2)*CG167*CJ167*VLOOKUP('Données projet'!$B$12,Paramètres!$A$1:$I$89,3,0)*0.475*44/12</f>
        <v>2.8302594265285911E-13</v>
      </c>
      <c r="CN167" s="22">
        <f t="shared" si="172"/>
        <v>36.804614463798757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-7.3896444519050419E-13</v>
      </c>
      <c r="O168" s="13">
        <f>N168*VLOOKUP('Données projet'!$B$9,Paramètres!$A$1:$I$89,3,0)*VLOOKUP('Données projet'!$B$9,Paramètres!$A$1:$I$89,5,0)</f>
        <v>-3.4583536034915594E-13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190.74210845597287</v>
      </c>
      <c r="T168" s="59">
        <f t="shared" si="142"/>
        <v>131.88015896015884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47.724873227646114</v>
      </c>
      <c r="AA168" s="21">
        <f>EXP(-LN(2)/25)*AA167+(1-EXP(-LN(2)/25))/(LN(2)/25)*Calculateur!V168*Calculateur!X168*VLOOKUP('Données projet'!$B$9,Paramètres!$A$1:$I$89,3,0)*0.475*44/12</f>
        <v>6.9299963099201083</v>
      </c>
      <c r="AB168" s="21">
        <f>EXP(-LN(2)/2)*AB167+(1-EXP(-LN(2)/2))/(LN(2)/2)*V168*Y168*VLOOKUP('Données projet'!$B$9,Paramètres!$A$1:$I$89,3,0)*0.475*44/12</f>
        <v>5.1290958792985064E-9</v>
      </c>
      <c r="AC168" s="22">
        <f t="shared" si="163"/>
        <v>54.654869542695316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-6.3550942286383367E-14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278.5296012747549</v>
      </c>
      <c r="AO168" s="59">
        <f t="shared" si="144"/>
        <v>370.55343097937077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25.661085350812321</v>
      </c>
      <c r="AV168" s="21">
        <f>EXP(-LN(2)/25)*AV167+(1-EXP(-LN(2)/25))/(LN(2)/25)*Calculateur!AQ168*Calculateur!AS168*VLOOKUP('Données projet'!$B$10,Paramètres!$A$1:$I$89,3,0)*0.475*44/12</f>
        <v>2.7286536100841094</v>
      </c>
      <c r="AW168" s="21">
        <f>EXP(-LN(2)/2)*AW167+(1-EXP(-LN(2)/2))/(LN(2)/2)*AQ168*AT168*VLOOKUP('Données projet'!$B$10,Paramètres!$A$1:$I$89,3,0)*0.475*44/12</f>
        <v>9.4816665641463053E-16</v>
      </c>
      <c r="AX168" s="21">
        <f t="shared" si="166"/>
        <v>28.38973896089643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4.8316906031686813E-13</v>
      </c>
      <c r="BE168" s="13">
        <f>BD168*VLOOKUP('Données projet'!$B$11,Paramètres!$A$1:$I$89,3,0)*VLOOKUP('Données projet'!$B$11,Paramètres!$A$1:$I$89,5,0)</f>
        <v>2.2612312022829429E-13</v>
      </c>
      <c r="BF168" s="13">
        <f t="shared" si="167"/>
        <v>3.0892373714008046E-12</v>
      </c>
      <c r="BG168" s="20">
        <f t="shared" si="168"/>
        <v>5.7742528562540137E-12</v>
      </c>
      <c r="BH168" s="59">
        <f t="shared" si="116"/>
        <v>293.33333333333911</v>
      </c>
      <c r="BI168" s="59">
        <f ca="1">AVERAGE(OFFSET($BH$3,0,0,'Données projet'!$E$11+1,1))-AVERAGE(OFFSET($H$3,0,0,'Données projet'!$E$11+1,1))</f>
        <v>111.85541298746966</v>
      </c>
      <c r="BJ168" s="59">
        <f t="shared" si="146"/>
        <v>27.56942482401746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62.876269505476394</v>
      </c>
      <c r="BQ168" s="21">
        <f>EXP(-LN(2)/25)*BQ167+(1-EXP(-LN(2)/25))/(LN(2)/25)*Calculateur!BL168*Calculateur!BN168*VLOOKUP('Données projet'!$B$11,Paramètres!$A$1:$I$89,3,0)*0.475*44/12</f>
        <v>12.613553214918063</v>
      </c>
      <c r="BR168" s="21">
        <f>EXP(-LN(2)/2)*BR167+(1-EXP(-LN(2)/2))/(LN(2)/2)*BL168*BO168*VLOOKUP('Données projet'!$B$11,Paramètres!$A$1:$I$89,3,0)*0.475*44/12</f>
        <v>9.1388745234136318E-3</v>
      </c>
      <c r="BS168" s="22">
        <f t="shared" si="169"/>
        <v>75.498961594917873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253.62423410951334</v>
      </c>
      <c r="CE168" s="59">
        <f t="shared" si="148"/>
        <v>230.93438491511529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32.071732887581213</v>
      </c>
      <c r="CL168" s="21">
        <f>EXP(-LN(2)/25)*CL167+(1-EXP(-LN(2)/25))/(LN(2)/25)*Calculateur!CG168*Calculateur!CI168*VLOOKUP('Données projet'!$B$12,Paramètres!$A$1:$I$89,3,0)*0.475*44/12</f>
        <v>3.9795158818611234</v>
      </c>
      <c r="CM168" s="21">
        <f>EXP(-LN(2)/2)*CM167+(1-EXP(-LN(2)/2))/(LN(2)/2)*CG168*CJ168*VLOOKUP('Données projet'!$B$12,Paramètres!$A$1:$I$89,3,0)*0.475*44/12</f>
        <v>2.001295633015516E-13</v>
      </c>
      <c r="CN168" s="22">
        <f t="shared" si="172"/>
        <v>36.051248769442537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-7.3896444519050419E-13</v>
      </c>
      <c r="O169" s="13">
        <f>N169*VLOOKUP('Données projet'!$B$9,Paramètres!$A$1:$I$89,3,0)*VLOOKUP('Données projet'!$B$9,Paramètres!$A$1:$I$89,5,0)</f>
        <v>-3.4583536034915594E-13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190.74210845597287</v>
      </c>
      <c r="T169" s="59">
        <f t="shared" si="142"/>
        <v>131.88015896015884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46.789017572950335</v>
      </c>
      <c r="AA169" s="21">
        <f>EXP(-LN(2)/25)*AA168+(1-EXP(-LN(2)/25))/(LN(2)/25)*Calculateur!V169*Calculateur!X169*VLOOKUP('Données projet'!$B$9,Paramètres!$A$1:$I$89,3,0)*0.475*44/12</f>
        <v>6.7404951963926756</v>
      </c>
      <c r="AB169" s="21">
        <f>EXP(-LN(2)/2)*AB168+(1-EXP(-LN(2)/2))/(LN(2)/2)*V169*Y169*VLOOKUP('Données projet'!$B$9,Paramètres!$A$1:$I$89,3,0)*0.475*44/12</f>
        <v>3.6268184776079516E-9</v>
      </c>
      <c r="AC169" s="22">
        <f t="shared" si="163"/>
        <v>53.529512772969831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-6.3550942286383367E-14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278.5296012747549</v>
      </c>
      <c r="AO169" s="59">
        <f t="shared" si="144"/>
        <v>370.55343097937077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25.157887118799476</v>
      </c>
      <c r="AV169" s="21">
        <f>EXP(-LN(2)/25)*AV168+(1-EXP(-LN(2)/25))/(LN(2)/25)*Calculateur!AQ169*Calculateur!AS169*VLOOKUP('Données projet'!$B$10,Paramètres!$A$1:$I$89,3,0)*0.475*44/12</f>
        <v>2.6540384336227025</v>
      </c>
      <c r="AW169" s="21">
        <f>EXP(-LN(2)/2)*AW168+(1-EXP(-LN(2)/2))/(LN(2)/2)*AQ169*AT169*VLOOKUP('Données projet'!$B$10,Paramètres!$A$1:$I$89,3,0)*0.475*44/12</f>
        <v>6.7045507244576054E-16</v>
      </c>
      <c r="AX169" s="21">
        <f t="shared" si="166"/>
        <v>27.811925552422178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4.8316906031686813E-13</v>
      </c>
      <c r="BE169" s="13">
        <f>BD169*VLOOKUP('Données projet'!$B$11,Paramètres!$A$1:$I$89,3,0)*VLOOKUP('Données projet'!$B$11,Paramètres!$A$1:$I$89,5,0)</f>
        <v>2.2612312022829429E-13</v>
      </c>
      <c r="BF169" s="13">
        <f t="shared" si="167"/>
        <v>3.0892373714008046E-12</v>
      </c>
      <c r="BG169" s="20">
        <f t="shared" si="168"/>
        <v>5.7742528562540137E-12</v>
      </c>
      <c r="BH169" s="59">
        <f t="shared" si="116"/>
        <v>293.33333333333911</v>
      </c>
      <c r="BI169" s="59">
        <f ca="1">AVERAGE(OFFSET($BH$3,0,0,'Données projet'!$E$11+1,1))-AVERAGE(OFFSET($H$3,0,0,'Données projet'!$E$11+1,1))</f>
        <v>111.85541298746966</v>
      </c>
      <c r="BJ169" s="59">
        <f t="shared" si="146"/>
        <v>27.56942482401746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61.643304211211579</v>
      </c>
      <c r="BQ169" s="21">
        <f>EXP(-LN(2)/25)*BQ168+(1-EXP(-LN(2)/25))/(LN(2)/25)*Calculateur!BL169*Calculateur!BN169*VLOOKUP('Données projet'!$B$11,Paramètres!$A$1:$I$89,3,0)*0.475*44/12</f>
        <v>12.268634938938193</v>
      </c>
      <c r="BR169" s="21">
        <f>EXP(-LN(2)/2)*BR168+(1-EXP(-LN(2)/2))/(LN(2)/2)*BL169*BO169*VLOOKUP('Données projet'!$B$11,Paramètres!$A$1:$I$89,3,0)*0.475*44/12</f>
        <v>6.4621601479187569E-3</v>
      </c>
      <c r="BS169" s="22">
        <f t="shared" si="169"/>
        <v>73.918401310297696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253.62423410951334</v>
      </c>
      <c r="CE169" s="59">
        <f t="shared" si="148"/>
        <v>230.93438491511529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31.442825767481239</v>
      </c>
      <c r="CL169" s="21">
        <f>EXP(-LN(2)/25)*CL168+(1-EXP(-LN(2)/25))/(LN(2)/25)*Calculateur!CG169*Calculateur!CI169*VLOOKUP('Données projet'!$B$12,Paramètres!$A$1:$I$89,3,0)*0.475*44/12</f>
        <v>3.8706958107979861</v>
      </c>
      <c r="CM169" s="21">
        <f>EXP(-LN(2)/2)*CM168+(1-EXP(-LN(2)/2))/(LN(2)/2)*CG169*CJ169*VLOOKUP('Données projet'!$B$12,Paramètres!$A$1:$I$89,3,0)*0.475*44/12</f>
        <v>1.4151297132642955E-13</v>
      </c>
      <c r="CN169" s="22">
        <f t="shared" si="172"/>
        <v>35.313521578279364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-7.3896444519050419E-13</v>
      </c>
      <c r="O170" s="13">
        <f>N170*VLOOKUP('Données projet'!$B$9,Paramètres!$A$1:$I$89,3,0)*VLOOKUP('Données projet'!$B$9,Paramètres!$A$1:$I$89,5,0)</f>
        <v>-3.4583536034915594E-13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190.74210845597287</v>
      </c>
      <c r="T170" s="59">
        <f t="shared" si="142"/>
        <v>131.88015896015884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45.871513476827559</v>
      </c>
      <c r="AA170" s="21">
        <f>EXP(-LN(2)/25)*AA169+(1-EXP(-LN(2)/25))/(LN(2)/25)*Calculateur!V170*Calculateur!X170*VLOOKUP('Données projet'!$B$9,Paramètres!$A$1:$I$89,3,0)*0.475*44/12</f>
        <v>6.5561760007800807</v>
      </c>
      <c r="AB170" s="21">
        <f>EXP(-LN(2)/2)*AB169+(1-EXP(-LN(2)/2))/(LN(2)/2)*V170*Y170*VLOOKUP('Données projet'!$B$9,Paramètres!$A$1:$I$89,3,0)*0.475*44/12</f>
        <v>2.5645479396492532E-9</v>
      </c>
      <c r="AC170" s="22">
        <f t="shared" si="163"/>
        <v>52.427689480172191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-6.3550942286383367E-14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278.5296012747549</v>
      </c>
      <c r="AO170" s="59">
        <f t="shared" si="144"/>
        <v>370.55343097937077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24.664556297195787</v>
      </c>
      <c r="AV170" s="21">
        <f>EXP(-LN(2)/25)*AV169+(1-EXP(-LN(2)/25))/(LN(2)/25)*Calculateur!AQ170*Calculateur!AS170*VLOOKUP('Données projet'!$B$10,Paramètres!$A$1:$I$89,3,0)*0.475*44/12</f>
        <v>2.5814636130854742</v>
      </c>
      <c r="AW170" s="21">
        <f>EXP(-LN(2)/2)*AW169+(1-EXP(-LN(2)/2))/(LN(2)/2)*AQ170*AT170*VLOOKUP('Données projet'!$B$10,Paramètres!$A$1:$I$89,3,0)*0.475*44/12</f>
        <v>4.7408332820731527E-16</v>
      </c>
      <c r="AX170" s="21">
        <f t="shared" si="166"/>
        <v>27.246019910281262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4.8316906031686813E-13</v>
      </c>
      <c r="BE170" s="13">
        <f>BD170*VLOOKUP('Données projet'!$B$11,Paramètres!$A$1:$I$89,3,0)*VLOOKUP('Données projet'!$B$11,Paramètres!$A$1:$I$89,5,0)</f>
        <v>2.2612312022829429E-13</v>
      </c>
      <c r="BF170" s="13">
        <f t="shared" si="167"/>
        <v>3.0892373714008046E-12</v>
      </c>
      <c r="BG170" s="20">
        <f t="shared" si="168"/>
        <v>5.7742528562540137E-12</v>
      </c>
      <c r="BH170" s="59">
        <f t="shared" si="116"/>
        <v>293.33333333333911</v>
      </c>
      <c r="BI170" s="59">
        <f ca="1">AVERAGE(OFFSET($BH$3,0,0,'Données projet'!$E$11+1,1))-AVERAGE(OFFSET($H$3,0,0,'Données projet'!$E$11+1,1))</f>
        <v>111.85541298746966</v>
      </c>
      <c r="BJ170" s="59">
        <f t="shared" si="146"/>
        <v>27.56942482401746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60.434516614332722</v>
      </c>
      <c r="BQ170" s="21">
        <f>EXP(-LN(2)/25)*BQ169+(1-EXP(-LN(2)/25))/(LN(2)/25)*Calculateur!BL170*Calculateur!BN170*VLOOKUP('Données projet'!$B$11,Paramètres!$A$1:$I$89,3,0)*0.475*44/12</f>
        <v>11.933148471353457</v>
      </c>
      <c r="BR170" s="21">
        <f>EXP(-LN(2)/2)*BR169+(1-EXP(-LN(2)/2))/(LN(2)/2)*BL170*BO170*VLOOKUP('Données projet'!$B$11,Paramètres!$A$1:$I$89,3,0)*0.475*44/12</f>
        <v>4.5694372617068159E-3</v>
      </c>
      <c r="BS170" s="22">
        <f t="shared" si="169"/>
        <v>72.372234522947892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253.62423410951334</v>
      </c>
      <c r="CE170" s="59">
        <f t="shared" si="148"/>
        <v>230.93438491511529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30.826251132410956</v>
      </c>
      <c r="CL170" s="21">
        <f>EXP(-LN(2)/25)*CL169+(1-EXP(-LN(2)/25))/(LN(2)/25)*Calculateur!CG170*Calculateur!CI170*VLOOKUP('Données projet'!$B$12,Paramètres!$A$1:$I$89,3,0)*0.475*44/12</f>
        <v>3.764851430300669</v>
      </c>
      <c r="CM170" s="21">
        <f>EXP(-LN(2)/2)*CM169+(1-EXP(-LN(2)/2))/(LN(2)/2)*CG170*CJ170*VLOOKUP('Données projet'!$B$12,Paramètres!$A$1:$I$89,3,0)*0.475*44/12</f>
        <v>1.000647816507758E-13</v>
      </c>
      <c r="CN170" s="22">
        <f t="shared" si="172"/>
        <v>34.591102562711725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-7.3896444519050419E-13</v>
      </c>
      <c r="O171" s="13">
        <f>N171*VLOOKUP('Données projet'!$B$9,Paramètres!$A$1:$I$89,3,0)*VLOOKUP('Données projet'!$B$9,Paramètres!$A$1:$I$89,5,0)</f>
        <v>-3.4583536034915594E-13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190.74210845597287</v>
      </c>
      <c r="T171" s="59">
        <f t="shared" si="142"/>
        <v>131.88015896015884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44.972001076407508</v>
      </c>
      <c r="AA171" s="21">
        <f>EXP(-LN(2)/25)*AA170+(1-EXP(-LN(2)/25))/(LN(2)/25)*Calculateur!V171*Calculateur!X171*VLOOKUP('Données projet'!$B$9,Paramètres!$A$1:$I$89,3,0)*0.475*44/12</f>
        <v>6.376897023264438</v>
      </c>
      <c r="AB171" s="21">
        <f>EXP(-LN(2)/2)*AB170+(1-EXP(-LN(2)/2))/(LN(2)/2)*V171*Y171*VLOOKUP('Données projet'!$B$9,Paramètres!$A$1:$I$89,3,0)*0.475*44/12</f>
        <v>1.8134092388039758E-9</v>
      </c>
      <c r="AC171" s="22">
        <f t="shared" si="163"/>
        <v>51.348898101485361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-6.3550942286383367E-14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278.5296012747549</v>
      </c>
      <c r="AO171" s="59">
        <f t="shared" si="144"/>
        <v>370.55343097937077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24.180899392101658</v>
      </c>
      <c r="AV171" s="21">
        <f>EXP(-LN(2)/25)*AV170+(1-EXP(-LN(2)/25))/(LN(2)/25)*Calculateur!AQ171*Calculateur!AS171*VLOOKUP('Données projet'!$B$10,Paramètres!$A$1:$I$89,3,0)*0.475*44/12</f>
        <v>2.5108733548323805</v>
      </c>
      <c r="AW171" s="21">
        <f>EXP(-LN(2)/2)*AW170+(1-EXP(-LN(2)/2))/(LN(2)/2)*AQ171*AT171*VLOOKUP('Données projet'!$B$10,Paramètres!$A$1:$I$89,3,0)*0.475*44/12</f>
        <v>3.3522753622288027E-16</v>
      </c>
      <c r="AX171" s="21">
        <f t="shared" si="166"/>
        <v>26.691772746934038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4.8316906031686813E-13</v>
      </c>
      <c r="BE171" s="13">
        <f>BD171*VLOOKUP('Données projet'!$B$11,Paramètres!$A$1:$I$89,3,0)*VLOOKUP('Données projet'!$B$11,Paramètres!$A$1:$I$89,5,0)</f>
        <v>2.2612312022829429E-13</v>
      </c>
      <c r="BF171" s="13">
        <f t="shared" si="167"/>
        <v>3.0892373714008046E-12</v>
      </c>
      <c r="BG171" s="20">
        <f t="shared" si="168"/>
        <v>5.7742528562540137E-12</v>
      </c>
      <c r="BH171" s="59">
        <f t="shared" si="116"/>
        <v>293.33333333333911</v>
      </c>
      <c r="BI171" s="59">
        <f ca="1">AVERAGE(OFFSET($BH$3,0,0,'Données projet'!$E$11+1,1))-AVERAGE(OFFSET($H$3,0,0,'Données projet'!$E$11+1,1))</f>
        <v>111.85541298746966</v>
      </c>
      <c r="BJ171" s="59">
        <f t="shared" si="146"/>
        <v>27.56942482401746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59.249432604941028</v>
      </c>
      <c r="BQ171" s="21">
        <f>EXP(-LN(2)/25)*BQ170+(1-EXP(-LN(2)/25))/(LN(2)/25)*Calculateur!BL171*Calculateur!BN171*VLOOKUP('Données projet'!$B$11,Paramètres!$A$1:$I$89,3,0)*0.475*44/12</f>
        <v>11.606835898867292</v>
      </c>
      <c r="BR171" s="21">
        <f>EXP(-LN(2)/2)*BR170+(1-EXP(-LN(2)/2))/(LN(2)/2)*BL171*BO171*VLOOKUP('Données projet'!$B$11,Paramètres!$A$1:$I$89,3,0)*0.475*44/12</f>
        <v>3.2310800739593784E-3</v>
      </c>
      <c r="BS171" s="22">
        <f t="shared" si="169"/>
        <v>70.859499583882283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253.62423410951334</v>
      </c>
      <c r="CE171" s="59">
        <f t="shared" si="148"/>
        <v>230.93438491511529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30.221767149861009</v>
      </c>
      <c r="CL171" s="21">
        <f>EXP(-LN(2)/25)*CL170+(1-EXP(-LN(2)/25))/(LN(2)/25)*Calculateur!CG171*Calculateur!CI171*VLOOKUP('Données projet'!$B$12,Paramètres!$A$1:$I$89,3,0)*0.475*44/12</f>
        <v>3.6619013699541654</v>
      </c>
      <c r="CM171" s="21">
        <f>EXP(-LN(2)/2)*CM170+(1-EXP(-LN(2)/2))/(LN(2)/2)*CG171*CJ171*VLOOKUP('Données projet'!$B$12,Paramètres!$A$1:$I$89,3,0)*0.475*44/12</f>
        <v>7.0756485663214777E-14</v>
      </c>
      <c r="CN171" s="22">
        <f t="shared" si="172"/>
        <v>33.883668519815245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-7.3896444519050419E-13</v>
      </c>
      <c r="O172" s="13">
        <f>N172*VLOOKUP('Données projet'!$B$9,Paramètres!$A$1:$I$89,3,0)*VLOOKUP('Données projet'!$B$9,Paramètres!$A$1:$I$89,5,0)</f>
        <v>-3.4583536034915594E-13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190.74210845597287</v>
      </c>
      <c r="T172" s="59">
        <f t="shared" si="142"/>
        <v>131.88015896015884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44.090127565511303</v>
      </c>
      <c r="AA172" s="21">
        <f>EXP(-LN(2)/25)*AA171+(1-EXP(-LN(2)/25))/(LN(2)/25)*Calculateur!V172*Calculateur!X172*VLOOKUP('Données projet'!$B$9,Paramètres!$A$1:$I$89,3,0)*0.475*44/12</f>
        <v>6.2025204388168325</v>
      </c>
      <c r="AB172" s="21">
        <f>EXP(-LN(2)/2)*AB171+(1-EXP(-LN(2)/2))/(LN(2)/2)*V172*Y172*VLOOKUP('Données projet'!$B$9,Paramètres!$A$1:$I$89,3,0)*0.475*44/12</f>
        <v>1.2822739698246266E-9</v>
      </c>
      <c r="AC172" s="22">
        <f t="shared" si="163"/>
        <v>50.29264800561041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-6.3550942286383367E-14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278.5296012747549</v>
      </c>
      <c r="AO172" s="59">
        <f t="shared" si="144"/>
        <v>370.55343097937077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23.706726703914843</v>
      </c>
      <c r="AV172" s="21">
        <f>EXP(-LN(2)/25)*AV171+(1-EXP(-LN(2)/25))/(LN(2)/25)*Calculateur!AQ172*Calculateur!AS172*VLOOKUP('Données projet'!$B$10,Paramètres!$A$1:$I$89,3,0)*0.475*44/12</f>
        <v>2.4422133909033978</v>
      </c>
      <c r="AW172" s="21">
        <f>EXP(-LN(2)/2)*AW171+(1-EXP(-LN(2)/2))/(LN(2)/2)*AQ172*AT172*VLOOKUP('Données projet'!$B$10,Paramètres!$A$1:$I$89,3,0)*0.475*44/12</f>
        <v>2.3704166410365763E-16</v>
      </c>
      <c r="AX172" s="21">
        <f t="shared" si="166"/>
        <v>26.14894009481824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4.8316906031686813E-13</v>
      </c>
      <c r="BE172" s="13">
        <f>BD172*VLOOKUP('Données projet'!$B$11,Paramètres!$A$1:$I$89,3,0)*VLOOKUP('Données projet'!$B$11,Paramètres!$A$1:$I$89,5,0)</f>
        <v>2.2612312022829429E-13</v>
      </c>
      <c r="BF172" s="13">
        <f t="shared" si="167"/>
        <v>3.0892373714008046E-12</v>
      </c>
      <c r="BG172" s="20">
        <f t="shared" si="168"/>
        <v>5.7742528562540137E-12</v>
      </c>
      <c r="BH172" s="59">
        <f t="shared" si="116"/>
        <v>293.33333333333911</v>
      </c>
      <c r="BI172" s="59">
        <f ca="1">AVERAGE(OFFSET($BH$3,0,0,'Données projet'!$E$11+1,1))-AVERAGE(OFFSET($H$3,0,0,'Données projet'!$E$11+1,1))</f>
        <v>111.85541298746966</v>
      </c>
      <c r="BJ172" s="59">
        <f t="shared" si="146"/>
        <v>27.56942482401746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58.087587370143638</v>
      </c>
      <c r="BQ172" s="21">
        <f>EXP(-LN(2)/25)*BQ171+(1-EXP(-LN(2)/25))/(LN(2)/25)*Calculateur!BL172*Calculateur!BN172*VLOOKUP('Données projet'!$B$11,Paramètres!$A$1:$I$89,3,0)*0.475*44/12</f>
        <v>11.289446360835793</v>
      </c>
      <c r="BR172" s="21">
        <f>EXP(-LN(2)/2)*BR171+(1-EXP(-LN(2)/2))/(LN(2)/2)*BL172*BO172*VLOOKUP('Données projet'!$B$11,Paramètres!$A$1:$I$89,3,0)*0.475*44/12</f>
        <v>2.284718630853408E-3</v>
      </c>
      <c r="BS172" s="22">
        <f t="shared" si="169"/>
        <v>69.379318449610281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253.62423410951334</v>
      </c>
      <c r="CE172" s="59">
        <f t="shared" si="148"/>
        <v>230.93438491511529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29.629136729510044</v>
      </c>
      <c r="CL172" s="21">
        <f>EXP(-LN(2)/25)*CL171+(1-EXP(-LN(2)/25))/(LN(2)/25)*Calculateur!CG172*Calculateur!CI172*VLOOKUP('Données projet'!$B$12,Paramètres!$A$1:$I$89,3,0)*0.475*44/12</f>
        <v>3.5617664844217449</v>
      </c>
      <c r="CM172" s="21">
        <f>EXP(-LN(2)/2)*CM171+(1-EXP(-LN(2)/2))/(LN(2)/2)*CG172*CJ172*VLOOKUP('Données projet'!$B$12,Paramètres!$A$1:$I$89,3,0)*0.475*44/12</f>
        <v>5.0032390825387899E-14</v>
      </c>
      <c r="CN172" s="22">
        <f t="shared" si="172"/>
        <v>33.19090321393184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-7.3896444519050419E-13</v>
      </c>
      <c r="O173" s="13">
        <f>N173*VLOOKUP('Données projet'!$B$9,Paramètres!$A$1:$I$89,3,0)*VLOOKUP('Données projet'!$B$9,Paramètres!$A$1:$I$89,5,0)</f>
        <v>-3.4583536034915594E-13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190.74210845597287</v>
      </c>
      <c r="T173" s="59">
        <f t="shared" si="142"/>
        <v>131.88015896015884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43.225547056274046</v>
      </c>
      <c r="AA173" s="21">
        <f>EXP(-LN(2)/25)*AA172+(1-EXP(-LN(2)/25))/(LN(2)/25)*Calculateur!V173*Calculateur!X173*VLOOKUP('Données projet'!$B$9,Paramètres!$A$1:$I$89,3,0)*0.475*44/12</f>
        <v>6.032912191241012</v>
      </c>
      <c r="AB173" s="21">
        <f>EXP(-LN(2)/2)*AB172+(1-EXP(-LN(2)/2))/(LN(2)/2)*V173*Y173*VLOOKUP('Données projet'!$B$9,Paramètres!$A$1:$I$89,3,0)*0.475*44/12</f>
        <v>9.067046194019879E-10</v>
      </c>
      <c r="AC173" s="22">
        <f t="shared" si="163"/>
        <v>49.258459248421758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-6.3550942286383367E-14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278.5296012747549</v>
      </c>
      <c r="AO173" s="59">
        <f t="shared" si="144"/>
        <v>370.55343097937077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23.241852252926588</v>
      </c>
      <c r="AV173" s="21">
        <f>EXP(-LN(2)/25)*AV172+(1-EXP(-LN(2)/25))/(LN(2)/25)*Calculateur!AQ173*Calculateur!AS173*VLOOKUP('Données projet'!$B$10,Paramètres!$A$1:$I$89,3,0)*0.475*44/12</f>
        <v>2.3754309372987241</v>
      </c>
      <c r="AW173" s="21">
        <f>EXP(-LN(2)/2)*AW172+(1-EXP(-LN(2)/2))/(LN(2)/2)*AQ173*AT173*VLOOKUP('Données projet'!$B$10,Paramètres!$A$1:$I$89,3,0)*0.475*44/12</f>
        <v>1.6761376811144013E-16</v>
      </c>
      <c r="AX173" s="21">
        <f t="shared" si="166"/>
        <v>25.617283190225312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4.8316906031686813E-13</v>
      </c>
      <c r="BE173" s="13">
        <f>BD173*VLOOKUP('Données projet'!$B$11,Paramètres!$A$1:$I$89,3,0)*VLOOKUP('Données projet'!$B$11,Paramètres!$A$1:$I$89,5,0)</f>
        <v>2.2612312022829429E-13</v>
      </c>
      <c r="BF173" s="13">
        <f t="shared" si="167"/>
        <v>3.0892373714008046E-12</v>
      </c>
      <c r="BG173" s="20">
        <f t="shared" si="168"/>
        <v>5.7742528562540137E-12</v>
      </c>
      <c r="BH173" s="59">
        <f t="shared" si="116"/>
        <v>293.33333333333911</v>
      </c>
      <c r="BI173" s="59">
        <f ca="1">AVERAGE(OFFSET($BH$3,0,0,'Données projet'!$E$11+1,1))-AVERAGE(OFFSET($H$3,0,0,'Données projet'!$E$11+1,1))</f>
        <v>111.85541298746966</v>
      </c>
      <c r="BJ173" s="59">
        <f t="shared" si="146"/>
        <v>27.56942482401746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56.948525211745</v>
      </c>
      <c r="BQ173" s="21">
        <f>EXP(-LN(2)/25)*BQ172+(1-EXP(-LN(2)/25))/(LN(2)/25)*Calculateur!BL173*Calculateur!BN173*VLOOKUP('Données projet'!$B$11,Paramètres!$A$1:$I$89,3,0)*0.475*44/12</f>
        <v>10.980735856412556</v>
      </c>
      <c r="BR173" s="21">
        <f>EXP(-LN(2)/2)*BR172+(1-EXP(-LN(2)/2))/(LN(2)/2)*BL173*BO173*VLOOKUP('Données projet'!$B$11,Paramètres!$A$1:$I$89,3,0)*0.475*44/12</f>
        <v>1.6155400369796892E-3</v>
      </c>
      <c r="BS173" s="22">
        <f t="shared" si="169"/>
        <v>67.930876608194538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253.62423410951334</v>
      </c>
      <c r="CE173" s="59">
        <f t="shared" si="148"/>
        <v>230.93438491511529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29.048127430233297</v>
      </c>
      <c r="CL173" s="21">
        <f>EXP(-LN(2)/25)*CL172+(1-EXP(-LN(2)/25))/(LN(2)/25)*Calculateur!CG173*Calculateur!CI173*VLOOKUP('Données projet'!$B$12,Paramètres!$A$1:$I$89,3,0)*0.475*44/12</f>
        <v>3.4643697926000736</v>
      </c>
      <c r="CM173" s="21">
        <f>EXP(-LN(2)/2)*CM172+(1-EXP(-LN(2)/2))/(LN(2)/2)*CG173*CJ173*VLOOKUP('Données projet'!$B$12,Paramètres!$A$1:$I$89,3,0)*0.475*44/12</f>
        <v>3.5378242831607388E-14</v>
      </c>
      <c r="CN173" s="22">
        <f t="shared" si="172"/>
        <v>32.512497222833403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-7.3896444519050419E-13</v>
      </c>
      <c r="O174" s="13">
        <f>N174*VLOOKUP('Données projet'!$B$9,Paramètres!$A$1:$I$89,3,0)*VLOOKUP('Données projet'!$B$9,Paramètres!$A$1:$I$89,5,0)</f>
        <v>-3.4583536034915594E-13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190.74210845597287</v>
      </c>
      <c r="T174" s="59">
        <f t="shared" si="142"/>
        <v>131.88015896015884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42.377920443480889</v>
      </c>
      <c r="AA174" s="21">
        <f>EXP(-LN(2)/25)*AA173+(1-EXP(-LN(2)/25))/(LN(2)/25)*Calculateur!V174*Calculateur!X174*VLOOKUP('Données projet'!$B$9,Paramètres!$A$1:$I$89,3,0)*0.475*44/12</f>
        <v>5.8679418901144631</v>
      </c>
      <c r="AB174" s="21">
        <f>EXP(-LN(2)/2)*AB173+(1-EXP(-LN(2)/2))/(LN(2)/2)*V174*Y174*VLOOKUP('Données projet'!$B$9,Paramètres!$A$1:$I$89,3,0)*0.475*44/12</f>
        <v>6.411369849123133E-10</v>
      </c>
      <c r="AC174" s="22">
        <f t="shared" si="163"/>
        <v>48.245862334236492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-6.3550942286383367E-14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278.5296012747549</v>
      </c>
      <c r="AO174" s="59">
        <f t="shared" si="144"/>
        <v>370.55343097937077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22.786093706376796</v>
      </c>
      <c r="AV174" s="21">
        <f>EXP(-LN(2)/25)*AV173+(1-EXP(-LN(2)/25))/(LN(2)/25)*Calculateur!AQ174*Calculateur!AS174*VLOOKUP('Données projet'!$B$10,Paramètres!$A$1:$I$89,3,0)*0.475*44/12</f>
        <v>2.3104746533998068</v>
      </c>
      <c r="AW174" s="21">
        <f>EXP(-LN(2)/2)*AW173+(1-EXP(-LN(2)/2))/(LN(2)/2)*AQ174*AT174*VLOOKUP('Données projet'!$B$10,Paramètres!$A$1:$I$89,3,0)*0.475*44/12</f>
        <v>1.1852083205182882E-16</v>
      </c>
      <c r="AX174" s="21">
        <f t="shared" si="166"/>
        <v>25.096568359776604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4.8316906031686813E-13</v>
      </c>
      <c r="BE174" s="13">
        <f>BD174*VLOOKUP('Données projet'!$B$11,Paramètres!$A$1:$I$89,3,0)*VLOOKUP('Données projet'!$B$11,Paramètres!$A$1:$I$89,5,0)</f>
        <v>2.2612312022829429E-13</v>
      </c>
      <c r="BF174" s="13">
        <f t="shared" si="167"/>
        <v>3.0892373714008046E-12</v>
      </c>
      <c r="BG174" s="20">
        <f t="shared" si="168"/>
        <v>5.7742528562540137E-12</v>
      </c>
      <c r="BH174" s="59">
        <f t="shared" si="116"/>
        <v>293.33333333333911</v>
      </c>
      <c r="BI174" s="59">
        <f ca="1">AVERAGE(OFFSET($BH$3,0,0,'Données projet'!$E$11+1,1))-AVERAGE(OFFSET($H$3,0,0,'Données projet'!$E$11+1,1))</f>
        <v>111.85541298746966</v>
      </c>
      <c r="BJ174" s="59">
        <f t="shared" si="146"/>
        <v>27.56942482401746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55.831799367513248</v>
      </c>
      <c r="BQ174" s="21">
        <f>EXP(-LN(2)/25)*BQ173+(1-EXP(-LN(2)/25))/(LN(2)/25)*Calculateur!BL174*Calculateur!BN174*VLOOKUP('Données projet'!$B$11,Paramètres!$A$1:$I$89,3,0)*0.475*44/12</f>
        <v>10.680467056967153</v>
      </c>
      <c r="BR174" s="21">
        <f>EXP(-LN(2)/2)*BR173+(1-EXP(-LN(2)/2))/(LN(2)/2)*BL174*BO174*VLOOKUP('Données projet'!$B$11,Paramètres!$A$1:$I$89,3,0)*0.475*44/12</f>
        <v>1.142359315426704E-3</v>
      </c>
      <c r="BS174" s="22">
        <f t="shared" si="169"/>
        <v>66.513408783795825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253.62423410951334</v>
      </c>
      <c r="CE174" s="59">
        <f t="shared" si="148"/>
        <v>230.93438491511529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28.478511368934686</v>
      </c>
      <c r="CL174" s="21">
        <f>EXP(-LN(2)/25)*CL173+(1-EXP(-LN(2)/25))/(LN(2)/25)*Calculateur!CG174*Calculateur!CI174*VLOOKUP('Données projet'!$B$12,Paramètres!$A$1:$I$89,3,0)*0.475*44/12</f>
        <v>3.3696364184381351</v>
      </c>
      <c r="CM174" s="21">
        <f>EXP(-LN(2)/2)*CM173+(1-EXP(-LN(2)/2))/(LN(2)/2)*CG174*CJ174*VLOOKUP('Données projet'!$B$12,Paramètres!$A$1:$I$89,3,0)*0.475*44/12</f>
        <v>2.5016195412693949E-14</v>
      </c>
      <c r="CN174" s="22">
        <f t="shared" si="172"/>
        <v>31.848147787372845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-7.3896444519050419E-13</v>
      </c>
      <c r="O175" s="13">
        <f>N175*VLOOKUP('Données projet'!$B$9,Paramètres!$A$1:$I$89,3,0)*VLOOKUP('Données projet'!$B$9,Paramètres!$A$1:$I$89,5,0)</f>
        <v>-3.4583536034915594E-13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190.74210845597287</v>
      </c>
      <c r="T175" s="59">
        <f t="shared" si="142"/>
        <v>131.88015896015884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41.546915271563421</v>
      </c>
      <c r="AA175" s="21">
        <f>EXP(-LN(2)/25)*AA174+(1-EXP(-LN(2)/25))/(LN(2)/25)*Calculateur!V175*Calculateur!X175*VLOOKUP('Données projet'!$B$9,Paramètres!$A$1:$I$89,3,0)*0.475*44/12</f>
        <v>5.7074827105476302</v>
      </c>
      <c r="AB175" s="21">
        <f>EXP(-LN(2)/2)*AB174+(1-EXP(-LN(2)/2))/(LN(2)/2)*V175*Y175*VLOOKUP('Données projet'!$B$9,Paramètres!$A$1:$I$89,3,0)*0.475*44/12</f>
        <v>4.5335230970099395E-10</v>
      </c>
      <c r="AC175" s="22">
        <f t="shared" si="163"/>
        <v>47.254397982564406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-6.3550942286383367E-14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278.5296012747549</v>
      </c>
      <c r="AO175" s="59">
        <f t="shared" si="144"/>
        <v>370.55343097937077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22.339272306939581</v>
      </c>
      <c r="AV175" s="21">
        <f>EXP(-LN(2)/25)*AV174+(1-EXP(-LN(2)/25))/(LN(2)/25)*Calculateur!AQ175*Calculateur!AS175*VLOOKUP('Données projet'!$B$10,Paramètres!$A$1:$I$89,3,0)*0.475*44/12</f>
        <v>2.2472946025000078</v>
      </c>
      <c r="AW175" s="21">
        <f>EXP(-LN(2)/2)*AW174+(1-EXP(-LN(2)/2))/(LN(2)/2)*AQ175*AT175*VLOOKUP('Données projet'!$B$10,Paramètres!$A$1:$I$89,3,0)*0.475*44/12</f>
        <v>8.3806884055720067E-17</v>
      </c>
      <c r="AX175" s="21">
        <f t="shared" si="166"/>
        <v>24.58656690943959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4.8316906031686813E-13</v>
      </c>
      <c r="BE175" s="13">
        <f>BD175*VLOOKUP('Données projet'!$B$11,Paramètres!$A$1:$I$89,3,0)*VLOOKUP('Données projet'!$B$11,Paramètres!$A$1:$I$89,5,0)</f>
        <v>2.2612312022829429E-13</v>
      </c>
      <c r="BF175" s="13">
        <f t="shared" si="167"/>
        <v>3.0892373714008046E-12</v>
      </c>
      <c r="BG175" s="20">
        <f t="shared" si="168"/>
        <v>5.7742528562540137E-12</v>
      </c>
      <c r="BH175" s="59">
        <f t="shared" si="116"/>
        <v>293.33333333333911</v>
      </c>
      <c r="BI175" s="59">
        <f ca="1">AVERAGE(OFFSET($BH$3,0,0,'Données projet'!$E$11+1,1))-AVERAGE(OFFSET($H$3,0,0,'Données projet'!$E$11+1,1))</f>
        <v>111.85541298746966</v>
      </c>
      <c r="BJ175" s="59">
        <f t="shared" si="146"/>
        <v>27.56942482401746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54.736971835951373</v>
      </c>
      <c r="BQ175" s="21">
        <f>EXP(-LN(2)/25)*BQ174+(1-EXP(-LN(2)/25))/(LN(2)/25)*Calculateur!BL175*Calculateur!BN175*VLOOKUP('Données projet'!$B$11,Paramètres!$A$1:$I$89,3,0)*0.475*44/12</f>
        <v>10.388409123633034</v>
      </c>
      <c r="BR175" s="21">
        <f>EXP(-LN(2)/2)*BR174+(1-EXP(-LN(2)/2))/(LN(2)/2)*BL175*BO175*VLOOKUP('Données projet'!$B$11,Paramètres!$A$1:$I$89,3,0)*0.475*44/12</f>
        <v>8.0777001848984461E-4</v>
      </c>
      <c r="BS175" s="22">
        <f t="shared" si="169"/>
        <v>65.126188729602887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253.62423410951334</v>
      </c>
      <c r="CE175" s="59">
        <f t="shared" si="148"/>
        <v>230.93438491511529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27.920065131166648</v>
      </c>
      <c r="CL175" s="21">
        <f>EXP(-LN(2)/25)*CL174+(1-EXP(-LN(2)/25))/(LN(2)/25)*Calculateur!CG175*Calculateur!CI175*VLOOKUP('Données projet'!$B$12,Paramètres!$A$1:$I$89,3,0)*0.475*44/12</f>
        <v>3.2774935333744666</v>
      </c>
      <c r="CM175" s="21">
        <f>EXP(-LN(2)/2)*CM174+(1-EXP(-LN(2)/2))/(LN(2)/2)*CG175*CJ175*VLOOKUP('Données projet'!$B$12,Paramètres!$A$1:$I$89,3,0)*0.475*44/12</f>
        <v>1.7689121415803694E-14</v>
      </c>
      <c r="CN175" s="22">
        <f t="shared" si="172"/>
        <v>31.197558664541134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-7.3896444519050419E-13</v>
      </c>
      <c r="O176" s="13">
        <f>N176*VLOOKUP('Données projet'!$B$9,Paramètres!$A$1:$I$89,3,0)*VLOOKUP('Données projet'!$B$9,Paramètres!$A$1:$I$89,5,0)</f>
        <v>-3.4583536034915594E-13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190.74210845597287</v>
      </c>
      <c r="T176" s="59">
        <f t="shared" si="142"/>
        <v>131.88015896015884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40.732205604204154</v>
      </c>
      <c r="AA176" s="21">
        <f>EXP(-LN(2)/25)*AA175+(1-EXP(-LN(2)/25))/(LN(2)/25)*Calculateur!V176*Calculateur!X176*VLOOKUP('Données projet'!$B$9,Paramètres!$A$1:$I$89,3,0)*0.475*44/12</f>
        <v>5.5514112956842343</v>
      </c>
      <c r="AB176" s="21">
        <f>EXP(-LN(2)/2)*AB175+(1-EXP(-LN(2)/2))/(LN(2)/2)*V176*Y176*VLOOKUP('Données projet'!$B$9,Paramètres!$A$1:$I$89,3,0)*0.475*44/12</f>
        <v>3.2056849245615665E-10</v>
      </c>
      <c r="AC176" s="22">
        <f t="shared" si="163"/>
        <v>46.283616900208955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-6.3550942286383367E-14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278.5296012747549</v>
      </c>
      <c r="AO176" s="59">
        <f t="shared" si="144"/>
        <v>370.55343097937077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21.901212802611184</v>
      </c>
      <c r="AV176" s="21">
        <f>EXP(-LN(2)/25)*AV175+(1-EXP(-LN(2)/25))/(LN(2)/25)*Calculateur!AQ176*Calculateur!AS176*VLOOKUP('Données projet'!$B$10,Paramètres!$A$1:$I$89,3,0)*0.475*44/12</f>
        <v>2.1858422134145581</v>
      </c>
      <c r="AW176" s="21">
        <f>EXP(-LN(2)/2)*AW175+(1-EXP(-LN(2)/2))/(LN(2)/2)*AQ176*AT176*VLOOKUP('Données projet'!$B$10,Paramètres!$A$1:$I$89,3,0)*0.475*44/12</f>
        <v>5.9260416025914408E-17</v>
      </c>
      <c r="AX176" s="21">
        <f t="shared" si="166"/>
        <v>24.087055016025744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4.8316906031686813E-13</v>
      </c>
      <c r="BE176" s="13">
        <f>BD176*VLOOKUP('Données projet'!$B$11,Paramètres!$A$1:$I$89,3,0)*VLOOKUP('Données projet'!$B$11,Paramètres!$A$1:$I$89,5,0)</f>
        <v>2.2612312022829429E-13</v>
      </c>
      <c r="BF176" s="13">
        <f t="shared" si="167"/>
        <v>3.0892373714008046E-12</v>
      </c>
      <c r="BG176" s="20">
        <f t="shared" si="168"/>
        <v>5.7742528562540137E-12</v>
      </c>
      <c r="BH176" s="59">
        <f t="shared" si="116"/>
        <v>293.33333333333911</v>
      </c>
      <c r="BI176" s="59">
        <f ca="1">AVERAGE(OFFSET($BH$3,0,0,'Données projet'!$E$11+1,1))-AVERAGE(OFFSET($H$3,0,0,'Données projet'!$E$11+1,1))</f>
        <v>111.85541298746966</v>
      </c>
      <c r="BJ176" s="59">
        <f t="shared" si="146"/>
        <v>27.56942482401746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53.663613204504564</v>
      </c>
      <c r="BQ176" s="21">
        <f>EXP(-LN(2)/25)*BQ175+(1-EXP(-LN(2)/25))/(LN(2)/25)*Calculateur!BL176*Calculateur!BN176*VLOOKUP('Données projet'!$B$11,Paramètres!$A$1:$I$89,3,0)*0.475*44/12</f>
        <v>10.104337529844596</v>
      </c>
      <c r="BR176" s="21">
        <f>EXP(-LN(2)/2)*BR175+(1-EXP(-LN(2)/2))/(LN(2)/2)*BL176*BO176*VLOOKUP('Données projet'!$B$11,Paramètres!$A$1:$I$89,3,0)*0.475*44/12</f>
        <v>5.7117965771335199E-4</v>
      </c>
      <c r="BS176" s="22">
        <f t="shared" si="169"/>
        <v>63.768521914006868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253.62423410951334</v>
      </c>
      <c r="CE176" s="59">
        <f t="shared" si="148"/>
        <v>230.93438491511529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27.372569683502672</v>
      </c>
      <c r="CL176" s="21">
        <f>EXP(-LN(2)/25)*CL175+(1-EXP(-LN(2)/25))/(LN(2)/25)*Calculateur!CG176*Calculateur!CI176*VLOOKUP('Données projet'!$B$12,Paramètres!$A$1:$I$89,3,0)*0.475*44/12</f>
        <v>3.1878703003484476</v>
      </c>
      <c r="CM176" s="21">
        <f>EXP(-LN(2)/2)*CM175+(1-EXP(-LN(2)/2))/(LN(2)/2)*CG176*CJ176*VLOOKUP('Données projet'!$B$12,Paramètres!$A$1:$I$89,3,0)*0.475*44/12</f>
        <v>1.2508097706346975E-14</v>
      </c>
      <c r="CN176" s="22">
        <f t="shared" si="172"/>
        <v>30.560439983851133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-7.3896444519050419E-13</v>
      </c>
      <c r="O177" s="13">
        <f>N177*VLOOKUP('Données projet'!$B$9,Paramètres!$A$1:$I$89,3,0)*VLOOKUP('Données projet'!$B$9,Paramètres!$A$1:$I$89,5,0)</f>
        <v>-3.4583536034915594E-13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190.74210845597287</v>
      </c>
      <c r="T177" s="59">
        <f t="shared" si="142"/>
        <v>131.88015896015884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39.93347189649797</v>
      </c>
      <c r="AA177" s="21">
        <f>EXP(-LN(2)/25)*AA176+(1-EXP(-LN(2)/25))/(LN(2)/25)*Calculateur!V177*Calculateur!X177*VLOOKUP('Données projet'!$B$9,Paramètres!$A$1:$I$89,3,0)*0.475*44/12</f>
        <v>5.3996076618677167</v>
      </c>
      <c r="AB177" s="21">
        <f>EXP(-LN(2)/2)*AB176+(1-EXP(-LN(2)/2))/(LN(2)/2)*V177*Y177*VLOOKUP('Données projet'!$B$9,Paramètres!$A$1:$I$89,3,0)*0.475*44/12</f>
        <v>2.2667615485049698E-10</v>
      </c>
      <c r="AC177" s="22">
        <f t="shared" si="163"/>
        <v>45.333079558592367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-6.3550942286383367E-14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278.5296012747549</v>
      </c>
      <c r="AO177" s="59">
        <f t="shared" si="144"/>
        <v>370.55343097937077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21.471743377972754</v>
      </c>
      <c r="AV177" s="21">
        <f>EXP(-LN(2)/25)*AV176+(1-EXP(-LN(2)/25))/(LN(2)/25)*Calculateur!AQ177*Calculateur!AS177*VLOOKUP('Données projet'!$B$10,Paramètres!$A$1:$I$89,3,0)*0.475*44/12</f>
        <v>2.1260702431402909</v>
      </c>
      <c r="AW177" s="21">
        <f>EXP(-LN(2)/2)*AW176+(1-EXP(-LN(2)/2))/(LN(2)/2)*AQ177*AT177*VLOOKUP('Données projet'!$B$10,Paramètres!$A$1:$I$89,3,0)*0.475*44/12</f>
        <v>4.1903442027860034E-17</v>
      </c>
      <c r="AX177" s="21">
        <f t="shared" si="166"/>
        <v>23.597813621113044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4.8316906031686813E-13</v>
      </c>
      <c r="BE177" s="13">
        <f>BD177*VLOOKUP('Données projet'!$B$11,Paramètres!$A$1:$I$89,3,0)*VLOOKUP('Données projet'!$B$11,Paramètres!$A$1:$I$89,5,0)</f>
        <v>2.2612312022829429E-13</v>
      </c>
      <c r="BF177" s="13">
        <f t="shared" si="167"/>
        <v>3.0892373714008046E-12</v>
      </c>
      <c r="BG177" s="20">
        <f t="shared" si="168"/>
        <v>5.7742528562540137E-12</v>
      </c>
      <c r="BH177" s="59">
        <f t="shared" si="116"/>
        <v>293.33333333333911</v>
      </c>
      <c r="BI177" s="59">
        <f ca="1">AVERAGE(OFFSET($BH$3,0,0,'Données projet'!$E$11+1,1))-AVERAGE(OFFSET($H$3,0,0,'Données projet'!$E$11+1,1))</f>
        <v>111.85541298746966</v>
      </c>
      <c r="BJ177" s="59">
        <f t="shared" si="146"/>
        <v>27.56942482401746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52.611302481136313</v>
      </c>
      <c r="BQ177" s="21">
        <f>EXP(-LN(2)/25)*BQ176+(1-EXP(-LN(2)/25))/(LN(2)/25)*Calculateur!BL177*Calculateur!BN177*VLOOKUP('Données projet'!$B$11,Paramètres!$A$1:$I$89,3,0)*0.475*44/12</f>
        <v>9.8280338887269778</v>
      </c>
      <c r="BR177" s="21">
        <f>EXP(-LN(2)/2)*BR176+(1-EXP(-LN(2)/2))/(LN(2)/2)*BL177*BO177*VLOOKUP('Données projet'!$B$11,Paramètres!$A$1:$I$89,3,0)*0.475*44/12</f>
        <v>4.0388500924492231E-4</v>
      </c>
      <c r="BS177" s="22">
        <f t="shared" si="169"/>
        <v>62.439740254872532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253.62423410951334</v>
      </c>
      <c r="CE177" s="59">
        <f t="shared" si="148"/>
        <v>230.93438491511529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26.835810287628135</v>
      </c>
      <c r="CL177" s="21">
        <f>EXP(-LN(2)/25)*CL176+(1-EXP(-LN(2)/25))/(LN(2)/25)*Calculateur!CG177*Calculateur!CI177*VLOOKUP('Données projet'!$B$12,Paramètres!$A$1:$I$89,3,0)*0.475*44/12</f>
        <v>3.100697819342606</v>
      </c>
      <c r="CM177" s="21">
        <f>EXP(-LN(2)/2)*CM176+(1-EXP(-LN(2)/2))/(LN(2)/2)*CG177*CJ177*VLOOKUP('Données projet'!$B$12,Paramètres!$A$1:$I$89,3,0)*0.475*44/12</f>
        <v>8.8445607079018471E-15</v>
      </c>
      <c r="CN177" s="22">
        <f t="shared" si="172"/>
        <v>29.936508106970749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-7.3896444519050419E-13</v>
      </c>
      <c r="O178" s="13">
        <f>N178*VLOOKUP('Données projet'!$B$9,Paramètres!$A$1:$I$89,3,0)*VLOOKUP('Données projet'!$B$9,Paramètres!$A$1:$I$89,5,0)</f>
        <v>-3.4583536034915594E-13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190.74210845597287</v>
      </c>
      <c r="T178" s="59">
        <f t="shared" si="142"/>
        <v>131.88015896015884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39.150400869620448</v>
      </c>
      <c r="AA178" s="21">
        <f>EXP(-LN(2)/25)*AA177+(1-EXP(-LN(2)/25))/(LN(2)/25)*Calculateur!V178*Calculateur!X178*VLOOKUP('Données projet'!$B$9,Paramètres!$A$1:$I$89,3,0)*0.475*44/12</f>
        <v>5.251955106400918</v>
      </c>
      <c r="AB178" s="21">
        <f>EXP(-LN(2)/2)*AB177+(1-EXP(-LN(2)/2))/(LN(2)/2)*V178*Y178*VLOOKUP('Données projet'!$B$9,Paramètres!$A$1:$I$89,3,0)*0.475*44/12</f>
        <v>1.6028424622807833E-10</v>
      </c>
      <c r="AC178" s="22">
        <f t="shared" si="163"/>
        <v>44.402355976181653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-6.3550942286383367E-14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278.5296012747549</v>
      </c>
      <c r="AO178" s="59">
        <f t="shared" si="144"/>
        <v>370.55343097937077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21.050695586800998</v>
      </c>
      <c r="AV178" s="21">
        <f>EXP(-LN(2)/25)*AV177+(1-EXP(-LN(2)/25))/(LN(2)/25)*Calculateur!AQ178*Calculateur!AS178*VLOOKUP('Données projet'!$B$10,Paramètres!$A$1:$I$89,3,0)*0.475*44/12</f>
        <v>2.0679327405364449</v>
      </c>
      <c r="AW178" s="21">
        <f>EXP(-LN(2)/2)*AW177+(1-EXP(-LN(2)/2))/(LN(2)/2)*AQ178*AT178*VLOOKUP('Données projet'!$B$10,Paramètres!$A$1:$I$89,3,0)*0.475*44/12</f>
        <v>2.9630208012957204E-17</v>
      </c>
      <c r="AX178" s="21">
        <f t="shared" si="166"/>
        <v>23.118628327337444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4.8316906031686813E-13</v>
      </c>
      <c r="BE178" s="13">
        <f>BD178*VLOOKUP('Données projet'!$B$11,Paramètres!$A$1:$I$89,3,0)*VLOOKUP('Données projet'!$B$11,Paramètres!$A$1:$I$89,5,0)</f>
        <v>2.2612312022829429E-13</v>
      </c>
      <c r="BF178" s="13">
        <f t="shared" si="167"/>
        <v>3.0892373714008046E-12</v>
      </c>
      <c r="BG178" s="20">
        <f t="shared" si="168"/>
        <v>5.7742528562540137E-12</v>
      </c>
      <c r="BH178" s="59">
        <f t="shared" si="116"/>
        <v>293.33333333333911</v>
      </c>
      <c r="BI178" s="59">
        <f ca="1">AVERAGE(OFFSET($BH$3,0,0,'Données projet'!$E$11+1,1))-AVERAGE(OFFSET($H$3,0,0,'Données projet'!$E$11+1,1))</f>
        <v>111.85541298746966</v>
      </c>
      <c r="BJ178" s="59">
        <f t="shared" si="146"/>
        <v>27.56942482401746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51.579626929207144</v>
      </c>
      <c r="BQ178" s="21">
        <f>EXP(-LN(2)/25)*BQ177+(1-EXP(-LN(2)/25))/(LN(2)/25)*Calculateur!BL178*Calculateur!BN178*VLOOKUP('Données projet'!$B$11,Paramètres!$A$1:$I$89,3,0)*0.475*44/12</f>
        <v>9.5592857852058994</v>
      </c>
      <c r="BR178" s="21">
        <f>EXP(-LN(2)/2)*BR177+(1-EXP(-LN(2)/2))/(LN(2)/2)*BL178*BO178*VLOOKUP('Données projet'!$B$11,Paramètres!$A$1:$I$89,3,0)*0.475*44/12</f>
        <v>2.8558982885667599E-4</v>
      </c>
      <c r="BS178" s="22">
        <f t="shared" si="169"/>
        <v>61.139198304241901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253.62423410951334</v>
      </c>
      <c r="CE178" s="59">
        <f t="shared" si="148"/>
        <v>230.93438491511529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26.309576416115796</v>
      </c>
      <c r="CL178" s="21">
        <f>EXP(-LN(2)/25)*CL177+(1-EXP(-LN(2)/25))/(LN(2)/25)*Calculateur!CG178*Calculateur!CI178*VLOOKUP('Données projet'!$B$12,Paramètres!$A$1:$I$89,3,0)*0.475*44/12</f>
        <v>3.0159090744140711</v>
      </c>
      <c r="CM178" s="21">
        <f>EXP(-LN(2)/2)*CM177+(1-EXP(-LN(2)/2))/(LN(2)/2)*CG178*CJ178*VLOOKUP('Données projet'!$B$12,Paramètres!$A$1:$I$89,3,0)*0.475*44/12</f>
        <v>6.2540488531734874E-15</v>
      </c>
      <c r="CN178" s="22">
        <f t="shared" si="172"/>
        <v>29.325485490529875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-7.3896444519050419E-13</v>
      </c>
      <c r="O179" s="13">
        <f>N179*VLOOKUP('Données projet'!$B$9,Paramètres!$A$1:$I$89,3,0)*VLOOKUP('Données projet'!$B$9,Paramètres!$A$1:$I$89,5,0)</f>
        <v>-3.4583536034915594E-13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190.74210845597287</v>
      </c>
      <c r="T179" s="59">
        <f t="shared" si="142"/>
        <v>131.88015896015884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38.382685387953828</v>
      </c>
      <c r="AA179" s="21">
        <f>EXP(-LN(2)/25)*AA178+(1-EXP(-LN(2)/25))/(LN(2)/25)*Calculateur!V179*Calculateur!X179*VLOOKUP('Données projet'!$B$9,Paramètres!$A$1:$I$89,3,0)*0.475*44/12</f>
        <v>5.1083401178280692</v>
      </c>
      <c r="AB179" s="21">
        <f>EXP(-LN(2)/2)*AB178+(1-EXP(-LN(2)/2))/(LN(2)/2)*V179*Y179*VLOOKUP('Données projet'!$B$9,Paramètres!$A$1:$I$89,3,0)*0.475*44/12</f>
        <v>1.1333807742524849E-10</v>
      </c>
      <c r="AC179" s="22">
        <f t="shared" si="163"/>
        <v>43.491025505895237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-6.3550942286383367E-14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278.5296012747549</v>
      </c>
      <c r="AO179" s="59">
        <f t="shared" si="144"/>
        <v>370.55343097937077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20.637904286000328</v>
      </c>
      <c r="AV179" s="21">
        <f>EXP(-LN(2)/25)*AV178+(1-EXP(-LN(2)/25))/(LN(2)/25)*Calculateur!AQ179*Calculateur!AS179*VLOOKUP('Données projet'!$B$10,Paramètres!$A$1:$I$89,3,0)*0.475*44/12</f>
        <v>2.0113850109986195</v>
      </c>
      <c r="AW179" s="21">
        <f>EXP(-LN(2)/2)*AW178+(1-EXP(-LN(2)/2))/(LN(2)/2)*AQ179*AT179*VLOOKUP('Données projet'!$B$10,Paramètres!$A$1:$I$89,3,0)*0.475*44/12</f>
        <v>2.0951721013930017E-17</v>
      </c>
      <c r="AX179" s="21">
        <f t="shared" si="166"/>
        <v>22.649289296998948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4.8316906031686813E-13</v>
      </c>
      <c r="BE179" s="13">
        <f>BD179*VLOOKUP('Données projet'!$B$11,Paramètres!$A$1:$I$89,3,0)*VLOOKUP('Données projet'!$B$11,Paramètres!$A$1:$I$89,5,0)</f>
        <v>2.2612312022829429E-13</v>
      </c>
      <c r="BF179" s="13">
        <f t="shared" si="167"/>
        <v>3.0892373714008046E-12</v>
      </c>
      <c r="BG179" s="20">
        <f t="shared" si="168"/>
        <v>5.7742528562540137E-12</v>
      </c>
      <c r="BH179" s="59">
        <f t="shared" si="116"/>
        <v>293.33333333333911</v>
      </c>
      <c r="BI179" s="59">
        <f ca="1">AVERAGE(OFFSET($BH$3,0,0,'Données projet'!$E$11+1,1))-AVERAGE(OFFSET($H$3,0,0,'Données projet'!$E$11+1,1))</f>
        <v>111.85541298746966</v>
      </c>
      <c r="BJ179" s="59">
        <f t="shared" si="146"/>
        <v>27.56942482401746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50.568181905591359</v>
      </c>
      <c r="BQ179" s="21">
        <f>EXP(-LN(2)/25)*BQ178+(1-EXP(-LN(2)/25))/(LN(2)/25)*Calculateur!BL179*Calculateur!BN179*VLOOKUP('Données projet'!$B$11,Paramètres!$A$1:$I$89,3,0)*0.475*44/12</f>
        <v>9.297886612708453</v>
      </c>
      <c r="BR179" s="21">
        <f>EXP(-LN(2)/2)*BR178+(1-EXP(-LN(2)/2))/(LN(2)/2)*BL179*BO179*VLOOKUP('Données projet'!$B$11,Paramètres!$A$1:$I$89,3,0)*0.475*44/12</f>
        <v>2.0194250462246115E-4</v>
      </c>
      <c r="BS179" s="22">
        <f t="shared" si="169"/>
        <v>59.866270460804436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253.62423410951334</v>
      </c>
      <c r="CE179" s="59">
        <f t="shared" si="148"/>
        <v>230.93438491511529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25.793661669852845</v>
      </c>
      <c r="CL179" s="21">
        <f>EXP(-LN(2)/25)*CL178+(1-EXP(-LN(2)/25))/(LN(2)/25)*Calculateur!CG179*Calculateur!CI179*VLOOKUP('Données projet'!$B$12,Paramètres!$A$1:$I$89,3,0)*0.475*44/12</f>
        <v>2.9334388821744533</v>
      </c>
      <c r="CM179" s="21">
        <f>EXP(-LN(2)/2)*CM178+(1-EXP(-LN(2)/2))/(LN(2)/2)*CG179*CJ179*VLOOKUP('Données projet'!$B$12,Paramètres!$A$1:$I$89,3,0)*0.475*44/12</f>
        <v>4.4222803539509235E-15</v>
      </c>
      <c r="CN179" s="22">
        <f t="shared" si="172"/>
        <v>28.727100552027302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-7.3896444519050419E-13</v>
      </c>
      <c r="O180" s="13">
        <f>N180*VLOOKUP('Données projet'!$B$9,Paramètres!$A$1:$I$89,3,0)*VLOOKUP('Données projet'!$B$9,Paramètres!$A$1:$I$89,5,0)</f>
        <v>-3.4583536034915594E-13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190.74210845597287</v>
      </c>
      <c r="T180" s="59">
        <f t="shared" si="142"/>
        <v>131.88015896015884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37.630024338622484</v>
      </c>
      <c r="AA180" s="21">
        <f>EXP(-LN(2)/25)*AA179+(1-EXP(-LN(2)/25))/(LN(2)/25)*Calculateur!V180*Calculateur!X180*VLOOKUP('Données projet'!$B$9,Paramètres!$A$1:$I$89,3,0)*0.475*44/12</f>
        <v>4.9686522886701292</v>
      </c>
      <c r="AB180" s="21">
        <f>EXP(-LN(2)/2)*AB179+(1-EXP(-LN(2)/2))/(LN(2)/2)*V180*Y180*VLOOKUP('Données projet'!$B$9,Paramètres!$A$1:$I$89,3,0)*0.475*44/12</f>
        <v>8.0142123114039163E-11</v>
      </c>
      <c r="AC180" s="22">
        <f t="shared" si="163"/>
        <v>42.598676627372754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-6.3550942286383367E-14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278.5296012747549</v>
      </c>
      <c r="AO180" s="59">
        <f t="shared" si="144"/>
        <v>370.55343097937077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20.233207570830526</v>
      </c>
      <c r="AV180" s="21">
        <f>EXP(-LN(2)/25)*AV179+(1-EXP(-LN(2)/25))/(LN(2)/25)*Calculateur!AQ180*Calculateur!AS180*VLOOKUP('Données projet'!$B$10,Paramètres!$A$1:$I$89,3,0)*0.475*44/12</f>
        <v>1.9563835820987217</v>
      </c>
      <c r="AW180" s="21">
        <f>EXP(-LN(2)/2)*AW179+(1-EXP(-LN(2)/2))/(LN(2)/2)*AQ180*AT180*VLOOKUP('Données projet'!$B$10,Paramètres!$A$1:$I$89,3,0)*0.475*44/12</f>
        <v>1.4815104006478602E-17</v>
      </c>
      <c r="AX180" s="21">
        <f t="shared" si="166"/>
        <v>22.189591152929246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4.8316906031686813E-13</v>
      </c>
      <c r="BE180" s="13">
        <f>BD180*VLOOKUP('Données projet'!$B$11,Paramètres!$A$1:$I$89,3,0)*VLOOKUP('Données projet'!$B$11,Paramètres!$A$1:$I$89,5,0)</f>
        <v>2.2612312022829429E-13</v>
      </c>
      <c r="BF180" s="13">
        <f t="shared" si="167"/>
        <v>3.0892373714008046E-12</v>
      </c>
      <c r="BG180" s="20">
        <f t="shared" si="168"/>
        <v>5.7742528562540137E-12</v>
      </c>
      <c r="BH180" s="59">
        <f t="shared" si="116"/>
        <v>293.33333333333911</v>
      </c>
      <c r="BI180" s="59">
        <f ca="1">AVERAGE(OFFSET($BH$3,0,0,'Données projet'!$E$11+1,1))-AVERAGE(OFFSET($H$3,0,0,'Données projet'!$E$11+1,1))</f>
        <v>111.85541298746966</v>
      </c>
      <c r="BJ180" s="59">
        <f t="shared" si="146"/>
        <v>27.56942482401746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49.57657070196813</v>
      </c>
      <c r="BQ180" s="21">
        <f>EXP(-LN(2)/25)*BQ179+(1-EXP(-LN(2)/25))/(LN(2)/25)*Calculateur!BL180*Calculateur!BN180*VLOOKUP('Données projet'!$B$11,Paramètres!$A$1:$I$89,3,0)*0.475*44/12</f>
        <v>9.0436354143293336</v>
      </c>
      <c r="BR180" s="21">
        <f>EXP(-LN(2)/2)*BR179+(1-EXP(-LN(2)/2))/(LN(2)/2)*BL180*BO180*VLOOKUP('Données projet'!$B$11,Paramètres!$A$1:$I$89,3,0)*0.475*44/12</f>
        <v>1.42794914428338E-4</v>
      </c>
      <c r="BS180" s="22">
        <f t="shared" si="169"/>
        <v>58.620348911211899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253.62423410951334</v>
      </c>
      <c r="CE180" s="59">
        <f t="shared" si="148"/>
        <v>230.93438491511529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25.287863697087186</v>
      </c>
      <c r="CL180" s="21">
        <f>EXP(-LN(2)/25)*CL179+(1-EXP(-LN(2)/25))/(LN(2)/25)*Calculateur!CG180*Calculateur!CI180*VLOOKUP('Données projet'!$B$12,Paramètres!$A$1:$I$89,3,0)*0.475*44/12</f>
        <v>2.8532238416785467</v>
      </c>
      <c r="CM180" s="21">
        <f>EXP(-LN(2)/2)*CM179+(1-EXP(-LN(2)/2))/(LN(2)/2)*CG180*CJ180*VLOOKUP('Données projet'!$B$12,Paramètres!$A$1:$I$89,3,0)*0.475*44/12</f>
        <v>3.1270244265867437E-15</v>
      </c>
      <c r="CN180" s="22">
        <f t="shared" si="172"/>
        <v>28.141087538765735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-7.3896444519050419E-13</v>
      </c>
      <c r="O181" s="13">
        <f>N181*VLOOKUP('Données projet'!$B$9,Paramètres!$A$1:$I$89,3,0)*VLOOKUP('Données projet'!$B$9,Paramètres!$A$1:$I$89,5,0)</f>
        <v>-3.4583536034915594E-13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190.74210845597287</v>
      </c>
      <c r="T181" s="59">
        <f t="shared" si="142"/>
        <v>131.88015896015884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36.892122513390618</v>
      </c>
      <c r="AA181" s="21">
        <f>EXP(-LN(2)/25)*AA180+(1-EXP(-LN(2)/25))/(LN(2)/25)*Calculateur!V181*Calculateur!X181*VLOOKUP('Données projet'!$B$9,Paramètres!$A$1:$I$89,3,0)*0.475*44/12</f>
        <v>4.8327842305463768</v>
      </c>
      <c r="AB181" s="21">
        <f>EXP(-LN(2)/2)*AB180+(1-EXP(-LN(2)/2))/(LN(2)/2)*V181*Y181*VLOOKUP('Données projet'!$B$9,Paramètres!$A$1:$I$89,3,0)*0.475*44/12</f>
        <v>5.6669038712624244E-11</v>
      </c>
      <c r="AC181" s="22">
        <f t="shared" si="163"/>
        <v>41.724906743993664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-6.3550942286383367E-14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278.5296012747549</v>
      </c>
      <c r="AO181" s="59">
        <f t="shared" si="144"/>
        <v>370.55343097937077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19.83644671140458</v>
      </c>
      <c r="AV181" s="21">
        <f>EXP(-LN(2)/25)*AV180+(1-EXP(-LN(2)/25))/(LN(2)/25)*Calculateur!AQ181*Calculateur!AS181*VLOOKUP('Données projet'!$B$10,Paramètres!$A$1:$I$89,3,0)*0.475*44/12</f>
        <v>1.9028861701644908</v>
      </c>
      <c r="AW181" s="21">
        <f>EXP(-LN(2)/2)*AW180+(1-EXP(-LN(2)/2))/(LN(2)/2)*AQ181*AT181*VLOOKUP('Données projet'!$B$10,Paramètres!$A$1:$I$89,3,0)*0.475*44/12</f>
        <v>1.0475860506965008E-17</v>
      </c>
      <c r="AX181" s="21">
        <f t="shared" si="166"/>
        <v>21.739332881569069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4.8316906031686813E-13</v>
      </c>
      <c r="BE181" s="13">
        <f>BD181*VLOOKUP('Données projet'!$B$11,Paramètres!$A$1:$I$89,3,0)*VLOOKUP('Données projet'!$B$11,Paramètres!$A$1:$I$89,5,0)</f>
        <v>2.2612312022829429E-13</v>
      </c>
      <c r="BF181" s="13">
        <f t="shared" si="167"/>
        <v>3.0892373714008046E-12</v>
      </c>
      <c r="BG181" s="20">
        <f t="shared" si="168"/>
        <v>5.7742528562540137E-12</v>
      </c>
      <c r="BH181" s="59">
        <f t="shared" si="116"/>
        <v>293.33333333333911</v>
      </c>
      <c r="BI181" s="59">
        <f ca="1">AVERAGE(OFFSET($BH$3,0,0,'Données projet'!$E$11+1,1))-AVERAGE(OFFSET($H$3,0,0,'Données projet'!$E$11+1,1))</f>
        <v>111.85541298746966</v>
      </c>
      <c r="BJ181" s="59">
        <f t="shared" si="146"/>
        <v>27.56942482401746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48.60440438922484</v>
      </c>
      <c r="BQ181" s="21">
        <f>EXP(-LN(2)/25)*BQ180+(1-EXP(-LN(2)/25))/(LN(2)/25)*Calculateur!BL181*Calculateur!BN181*VLOOKUP('Données projet'!$B$11,Paramètres!$A$1:$I$89,3,0)*0.475*44/12</f>
        <v>8.7963367283403802</v>
      </c>
      <c r="BR181" s="21">
        <f>EXP(-LN(2)/2)*BR180+(1-EXP(-LN(2)/2))/(LN(2)/2)*BL181*BO181*VLOOKUP('Données projet'!$B$11,Paramètres!$A$1:$I$89,3,0)*0.475*44/12</f>
        <v>1.0097125231123058E-4</v>
      </c>
      <c r="BS181" s="22">
        <f t="shared" si="169"/>
        <v>57.400842088817527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253.62423410951334</v>
      </c>
      <c r="CE181" s="59">
        <f t="shared" si="148"/>
        <v>230.93438491511529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24.791984114061162</v>
      </c>
      <c r="CL181" s="21">
        <f>EXP(-LN(2)/25)*CL180+(1-EXP(-LN(2)/25))/(LN(2)/25)*Calculateur!CG181*Calculateur!CI181*VLOOKUP('Données projet'!$B$12,Paramètres!$A$1:$I$89,3,0)*0.475*44/12</f>
        <v>2.7752022856833261</v>
      </c>
      <c r="CM181" s="21">
        <f>EXP(-LN(2)/2)*CM180+(1-EXP(-LN(2)/2))/(LN(2)/2)*CG181*CJ181*VLOOKUP('Données projet'!$B$12,Paramètres!$A$1:$I$89,3,0)*0.475*44/12</f>
        <v>2.2111401769754618E-15</v>
      </c>
      <c r="CN181" s="22">
        <f t="shared" si="172"/>
        <v>27.567186399744489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-7.3896444519050419E-13</v>
      </c>
      <c r="O182" s="13">
        <f>N182*VLOOKUP('Données projet'!$B$9,Paramètres!$A$1:$I$89,3,0)*VLOOKUP('Données projet'!$B$9,Paramètres!$A$1:$I$89,5,0)</f>
        <v>-3.4583536034915594E-13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190.74210845597287</v>
      </c>
      <c r="T182" s="59">
        <f t="shared" si="142"/>
        <v>131.88015896015884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36.168690492875875</v>
      </c>
      <c r="AA182" s="21">
        <f>EXP(-LN(2)/25)*AA181+(1-EXP(-LN(2)/25))/(LN(2)/25)*Calculateur!V182*Calculateur!X182*VLOOKUP('Données projet'!$B$9,Paramètres!$A$1:$I$89,3,0)*0.475*44/12</f>
        <v>4.7006314916170089</v>
      </c>
      <c r="AB182" s="21">
        <f>EXP(-LN(2)/2)*AB181+(1-EXP(-LN(2)/2))/(LN(2)/2)*V182*Y182*VLOOKUP('Données projet'!$B$9,Paramètres!$A$1:$I$89,3,0)*0.475*44/12</f>
        <v>4.0071061557019581E-11</v>
      </c>
      <c r="AC182" s="22">
        <f t="shared" si="163"/>
        <v>40.869321984532959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-6.3550942286383367E-14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278.5296012747549</v>
      </c>
      <c r="AO182" s="59">
        <f t="shared" si="144"/>
        <v>370.55343097937077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19.44746609043175</v>
      </c>
      <c r="AV182" s="21">
        <f>EXP(-LN(2)/25)*AV181+(1-EXP(-LN(2)/25))/(LN(2)/25)*Calculateur!AQ182*Calculateur!AS182*VLOOKUP('Données projet'!$B$10,Paramètres!$A$1:$I$89,3,0)*0.475*44/12</f>
        <v>1.8508516477729082</v>
      </c>
      <c r="AW182" s="21">
        <f>EXP(-LN(2)/2)*AW181+(1-EXP(-LN(2)/2))/(LN(2)/2)*AQ182*AT182*VLOOKUP('Données projet'!$B$10,Paramètres!$A$1:$I$89,3,0)*0.475*44/12</f>
        <v>7.407552003239301E-18</v>
      </c>
      <c r="AX182" s="21">
        <f t="shared" si="166"/>
        <v>21.298317738204659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4.8316906031686813E-13</v>
      </c>
      <c r="BE182" s="13">
        <f>BD182*VLOOKUP('Données projet'!$B$11,Paramètres!$A$1:$I$89,3,0)*VLOOKUP('Données projet'!$B$11,Paramètres!$A$1:$I$89,5,0)</f>
        <v>2.2612312022829429E-13</v>
      </c>
      <c r="BF182" s="13">
        <f t="shared" si="167"/>
        <v>3.0892373714008046E-12</v>
      </c>
      <c r="BG182" s="20">
        <f t="shared" si="168"/>
        <v>5.7742528562540137E-12</v>
      </c>
      <c r="BH182" s="59">
        <f t="shared" si="116"/>
        <v>293.33333333333911</v>
      </c>
      <c r="BI182" s="59">
        <f ca="1">AVERAGE(OFFSET($BH$3,0,0,'Données projet'!$E$11+1,1))-AVERAGE(OFFSET($H$3,0,0,'Données projet'!$E$11+1,1))</f>
        <v>111.85541298746966</v>
      </c>
      <c r="BJ182" s="59">
        <f t="shared" si="146"/>
        <v>27.56942482401746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47.651301664911543</v>
      </c>
      <c r="BQ182" s="21">
        <f>EXP(-LN(2)/25)*BQ181+(1-EXP(-LN(2)/25))/(LN(2)/25)*Calculateur!BL182*Calculateur!BN182*VLOOKUP('Données projet'!$B$11,Paramètres!$A$1:$I$89,3,0)*0.475*44/12</f>
        <v>8.5558004379246686</v>
      </c>
      <c r="BR182" s="21">
        <f>EXP(-LN(2)/2)*BR181+(1-EXP(-LN(2)/2))/(LN(2)/2)*BL182*BO182*VLOOKUP('Données projet'!$B$11,Paramètres!$A$1:$I$89,3,0)*0.475*44/12</f>
        <v>7.1397457214168999E-5</v>
      </c>
      <c r="BS182" s="22">
        <f t="shared" si="169"/>
        <v>56.207173500293422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253.62423410951334</v>
      </c>
      <c r="CE182" s="59">
        <f t="shared" si="148"/>
        <v>230.93438491511529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24.305828427201597</v>
      </c>
      <c r="CL182" s="21">
        <f>EXP(-LN(2)/25)*CL181+(1-EXP(-LN(2)/25))/(LN(2)/25)*Calculateur!CG182*Calculateur!CI182*VLOOKUP('Données projet'!$B$12,Paramètres!$A$1:$I$89,3,0)*0.475*44/12</f>
        <v>2.6993142332397699</v>
      </c>
      <c r="CM182" s="21">
        <f>EXP(-LN(2)/2)*CM181+(1-EXP(-LN(2)/2))/(LN(2)/2)*CG182*CJ182*VLOOKUP('Données projet'!$B$12,Paramètres!$A$1:$I$89,3,0)*0.475*44/12</f>
        <v>1.5635122132933718E-15</v>
      </c>
      <c r="CN182" s="22">
        <f t="shared" si="172"/>
        <v>27.005142660441365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-7.3896444519050419E-13</v>
      </c>
      <c r="O183" s="13">
        <f>N183*VLOOKUP('Données projet'!$B$9,Paramètres!$A$1:$I$89,3,0)*VLOOKUP('Données projet'!$B$9,Paramètres!$A$1:$I$89,5,0)</f>
        <v>-3.4583536034915594E-13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190.74210845597287</v>
      </c>
      <c r="T183" s="59">
        <f t="shared" si="142"/>
        <v>131.88015896015884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35.459444533033462</v>
      </c>
      <c r="AA183" s="21">
        <f>EXP(-LN(2)/25)*AA182+(1-EXP(-LN(2)/25))/(LN(2)/25)*Calculateur!V183*Calculateur!X183*VLOOKUP('Données projet'!$B$9,Paramètres!$A$1:$I$89,3,0)*0.475*44/12</f>
        <v>4.5720924762832746</v>
      </c>
      <c r="AB183" s="21">
        <f>EXP(-LN(2)/2)*AB182+(1-EXP(-LN(2)/2))/(LN(2)/2)*V183*Y183*VLOOKUP('Données projet'!$B$9,Paramètres!$A$1:$I$89,3,0)*0.475*44/12</f>
        <v>2.8334519356312122E-11</v>
      </c>
      <c r="AC183" s="22">
        <f t="shared" si="163"/>
        <v>40.031537009345072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-6.3550942286383367E-14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278.5296012747549</v>
      </c>
      <c r="AO183" s="59">
        <f t="shared" si="144"/>
        <v>370.55343097937077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19.066113142181443</v>
      </c>
      <c r="AV183" s="21">
        <f>EXP(-LN(2)/25)*AV182+(1-EXP(-LN(2)/25))/(LN(2)/25)*Calculateur!AQ183*Calculateur!AS183*VLOOKUP('Données projet'!$B$10,Paramètres!$A$1:$I$89,3,0)*0.475*44/12</f>
        <v>1.8002400121325002</v>
      </c>
      <c r="AW183" s="21">
        <f>EXP(-LN(2)/2)*AW182+(1-EXP(-LN(2)/2))/(LN(2)/2)*AQ183*AT183*VLOOKUP('Données projet'!$B$10,Paramètres!$A$1:$I$89,3,0)*0.475*44/12</f>
        <v>5.2379302534825042E-18</v>
      </c>
      <c r="AX183" s="21">
        <f t="shared" si="166"/>
        <v>20.866353154313945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4.8316906031686813E-13</v>
      </c>
      <c r="BE183" s="13">
        <f>BD183*VLOOKUP('Données projet'!$B$11,Paramètres!$A$1:$I$89,3,0)*VLOOKUP('Données projet'!$B$11,Paramètres!$A$1:$I$89,5,0)</f>
        <v>2.2612312022829429E-13</v>
      </c>
      <c r="BF183" s="13">
        <f t="shared" si="167"/>
        <v>3.0892373714008046E-12</v>
      </c>
      <c r="BG183" s="20">
        <f t="shared" si="168"/>
        <v>5.7742528562540137E-12</v>
      </c>
      <c r="BH183" s="59">
        <f t="shared" si="116"/>
        <v>293.33333333333911</v>
      </c>
      <c r="BI183" s="59">
        <f ca="1">AVERAGE(OFFSET($BH$3,0,0,'Données projet'!$E$11+1,1))-AVERAGE(OFFSET($H$3,0,0,'Données projet'!$E$11+1,1))</f>
        <v>111.85541298746966</v>
      </c>
      <c r="BJ183" s="59">
        <f t="shared" si="146"/>
        <v>27.56942482401746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46.71688870368677</v>
      </c>
      <c r="BQ183" s="21">
        <f>EXP(-LN(2)/25)*BQ182+(1-EXP(-LN(2)/25))/(LN(2)/25)*Calculateur!BL183*Calculateur!BN183*VLOOKUP('Données projet'!$B$11,Paramètres!$A$1:$I$89,3,0)*0.475*44/12</f>
        <v>8.3218416250196281</v>
      </c>
      <c r="BR183" s="21">
        <f>EXP(-LN(2)/2)*BR182+(1-EXP(-LN(2)/2))/(LN(2)/2)*BL183*BO183*VLOOKUP('Données projet'!$B$11,Paramètres!$A$1:$I$89,3,0)*0.475*44/12</f>
        <v>5.0485626155615288E-5</v>
      </c>
      <c r="BS183" s="22">
        <f t="shared" si="169"/>
        <v>55.038780814332554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253.62423410951334</v>
      </c>
      <c r="CE183" s="59">
        <f t="shared" si="148"/>
        <v>230.93438491511529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23.829205956835658</v>
      </c>
      <c r="CL183" s="21">
        <f>EXP(-LN(2)/25)*CL182+(1-EXP(-LN(2)/25))/(LN(2)/25)*Calculateur!CG183*Calculateur!CI183*VLOOKUP('Données projet'!$B$12,Paramètres!$A$1:$I$89,3,0)*0.475*44/12</f>
        <v>2.6255013435810621</v>
      </c>
      <c r="CM183" s="21">
        <f>EXP(-LN(2)/2)*CM182+(1-EXP(-LN(2)/2))/(LN(2)/2)*CG183*CJ183*VLOOKUP('Données projet'!$B$12,Paramètres!$A$1:$I$89,3,0)*0.475*44/12</f>
        <v>1.1055700884877309E-15</v>
      </c>
      <c r="CN183" s="22">
        <f t="shared" si="172"/>
        <v>26.454707300416722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-7.3896444519050419E-13</v>
      </c>
      <c r="O184" s="13">
        <f>N184*VLOOKUP('Données projet'!$B$9,Paramètres!$A$1:$I$89,3,0)*VLOOKUP('Données projet'!$B$9,Paramètres!$A$1:$I$89,5,0)</f>
        <v>-3.4583536034915594E-13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190.74210845597287</v>
      </c>
      <c r="T184" s="59">
        <f t="shared" si="142"/>
        <v>131.88015896015884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34.764106453866241</v>
      </c>
      <c r="AA184" s="21">
        <f>EXP(-LN(2)/25)*AA183+(1-EXP(-LN(2)/25))/(LN(2)/25)*Calculateur!V184*Calculateur!X184*VLOOKUP('Données projet'!$B$9,Paramètres!$A$1:$I$89,3,0)*0.475*44/12</f>
        <v>4.447068367083415</v>
      </c>
      <c r="AB184" s="21">
        <f>EXP(-LN(2)/2)*AB183+(1-EXP(-LN(2)/2))/(LN(2)/2)*V184*Y184*VLOOKUP('Données projet'!$B$9,Paramètres!$A$1:$I$89,3,0)*0.475*44/12</f>
        <v>2.0035530778509791E-11</v>
      </c>
      <c r="AC184" s="22">
        <f t="shared" si="163"/>
        <v>39.211174820969696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-6.3550942286383367E-14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278.5296012747549</v>
      </c>
      <c r="AO184" s="59">
        <f t="shared" si="144"/>
        <v>370.55343097937077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18.692238292643996</v>
      </c>
      <c r="AV184" s="21">
        <f>EXP(-LN(2)/25)*AV183+(1-EXP(-LN(2)/25))/(LN(2)/25)*Calculateur!AQ184*Calculateur!AS184*VLOOKUP('Données projet'!$B$10,Paramètres!$A$1:$I$89,3,0)*0.475*44/12</f>
        <v>1.7510123543302292</v>
      </c>
      <c r="AW184" s="21">
        <f>EXP(-LN(2)/2)*AW183+(1-EXP(-LN(2)/2))/(LN(2)/2)*AQ184*AT184*VLOOKUP('Données projet'!$B$10,Paramètres!$A$1:$I$89,3,0)*0.475*44/12</f>
        <v>3.7037760016196505E-18</v>
      </c>
      <c r="AX184" s="21">
        <f t="shared" si="166"/>
        <v>20.443250646974224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4.8316906031686813E-13</v>
      </c>
      <c r="BE184" s="13">
        <f>BD184*VLOOKUP('Données projet'!$B$11,Paramètres!$A$1:$I$89,3,0)*VLOOKUP('Données projet'!$B$11,Paramètres!$A$1:$I$89,5,0)</f>
        <v>2.2612312022829429E-13</v>
      </c>
      <c r="BF184" s="13">
        <f t="shared" si="167"/>
        <v>3.0892373714008046E-12</v>
      </c>
      <c r="BG184" s="20">
        <f t="shared" si="168"/>
        <v>5.7742528562540137E-12</v>
      </c>
      <c r="BH184" s="59">
        <f t="shared" si="116"/>
        <v>293.33333333333911</v>
      </c>
      <c r="BI184" s="59">
        <f ca="1">AVERAGE(OFFSET($BH$3,0,0,'Données projet'!$E$11+1,1))-AVERAGE(OFFSET($H$3,0,0,'Données projet'!$E$11+1,1))</f>
        <v>111.85541298746966</v>
      </c>
      <c r="BJ184" s="59">
        <f t="shared" si="146"/>
        <v>27.56942482401746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45.800799010695982</v>
      </c>
      <c r="BQ184" s="21">
        <f>EXP(-LN(2)/25)*BQ183+(1-EXP(-LN(2)/25))/(LN(2)/25)*Calculateur!BL184*Calculateur!BN184*VLOOKUP('Données projet'!$B$11,Paramètres!$A$1:$I$89,3,0)*0.475*44/12</f>
        <v>8.0942804281568357</v>
      </c>
      <c r="BR184" s="21">
        <f>EXP(-LN(2)/2)*BR183+(1-EXP(-LN(2)/2))/(LN(2)/2)*BL184*BO184*VLOOKUP('Données projet'!$B$11,Paramètres!$A$1:$I$89,3,0)*0.475*44/12</f>
        <v>3.5698728607084499E-5</v>
      </c>
      <c r="BS184" s="22">
        <f t="shared" si="169"/>
        <v>53.895115137581428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253.62423410951334</v>
      </c>
      <c r="CE184" s="59">
        <f t="shared" si="148"/>
        <v>230.93438491511529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23.361929762402593</v>
      </c>
      <c r="CL184" s="21">
        <f>EXP(-LN(2)/25)*CL183+(1-EXP(-LN(2)/25))/(LN(2)/25)*Calculateur!CG184*Calculateur!CI184*VLOOKUP('Données projet'!$B$12,Paramètres!$A$1:$I$89,3,0)*0.475*44/12</f>
        <v>2.5537068712717228</v>
      </c>
      <c r="CM184" s="21">
        <f>EXP(-LN(2)/2)*CM183+(1-EXP(-LN(2)/2))/(LN(2)/2)*CG184*CJ184*VLOOKUP('Données projet'!$B$12,Paramètres!$A$1:$I$89,3,0)*0.475*44/12</f>
        <v>7.8175610664668592E-16</v>
      </c>
      <c r="CN184" s="22">
        <f t="shared" si="172"/>
        <v>25.915636633674314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-7.3896444519050419E-13</v>
      </c>
      <c r="O185" s="13">
        <f>N185*VLOOKUP('Données projet'!$B$9,Paramètres!$A$1:$I$89,3,0)*VLOOKUP('Données projet'!$B$9,Paramètres!$A$1:$I$89,5,0)</f>
        <v>-3.4583536034915594E-13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190.74210845597287</v>
      </c>
      <c r="T185" s="59">
        <f t="shared" si="142"/>
        <v>131.88015896015884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34.082403530317137</v>
      </c>
      <c r="AA185" s="21">
        <f>EXP(-LN(2)/25)*AA184+(1-EXP(-LN(2)/25))/(LN(2)/25)*Calculateur!V185*Calculateur!X185*VLOOKUP('Données projet'!$B$9,Paramètres!$A$1:$I$89,3,0)*0.475*44/12</f>
        <v>4.3254630487243579</v>
      </c>
      <c r="AB185" s="21">
        <f>EXP(-LN(2)/2)*AB184+(1-EXP(-LN(2)/2))/(LN(2)/2)*V185*Y185*VLOOKUP('Données projet'!$B$9,Paramètres!$A$1:$I$89,3,0)*0.475*44/12</f>
        <v>1.4167259678156061E-11</v>
      </c>
      <c r="AC185" s="22">
        <f t="shared" si="163"/>
        <v>38.407866579055664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-6.3550942286383367E-14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278.5296012747549</v>
      </c>
      <c r="AO185" s="59">
        <f t="shared" si="144"/>
        <v>370.55343097937077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18.325694900864836</v>
      </c>
      <c r="AV185" s="21">
        <f>EXP(-LN(2)/25)*AV184+(1-EXP(-LN(2)/25))/(LN(2)/25)*Calculateur!AQ185*Calculateur!AS185*VLOOKUP('Données projet'!$B$10,Paramètres!$A$1:$I$89,3,0)*0.475*44/12</f>
        <v>1.7031308294193312</v>
      </c>
      <c r="AW185" s="21">
        <f>EXP(-LN(2)/2)*AW184+(1-EXP(-LN(2)/2))/(LN(2)/2)*AQ185*AT185*VLOOKUP('Données projet'!$B$10,Paramètres!$A$1:$I$89,3,0)*0.475*44/12</f>
        <v>2.6189651267412521E-18</v>
      </c>
      <c r="AX185" s="21">
        <f t="shared" si="166"/>
        <v>20.028825730284169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4.8316906031686813E-13</v>
      </c>
      <c r="BE185" s="13">
        <f>BD185*VLOOKUP('Données projet'!$B$11,Paramètres!$A$1:$I$89,3,0)*VLOOKUP('Données projet'!$B$11,Paramètres!$A$1:$I$89,5,0)</f>
        <v>2.2612312022829429E-13</v>
      </c>
      <c r="BF185" s="13">
        <f t="shared" si="167"/>
        <v>3.0892373714008046E-12</v>
      </c>
      <c r="BG185" s="20">
        <f t="shared" si="168"/>
        <v>5.7742528562540137E-12</v>
      </c>
      <c r="BH185" s="59">
        <f t="shared" si="116"/>
        <v>293.33333333333911</v>
      </c>
      <c r="BI185" s="59">
        <f ca="1">AVERAGE(OFFSET($BH$3,0,0,'Données projet'!$E$11+1,1))-AVERAGE(OFFSET($H$3,0,0,'Données projet'!$E$11+1,1))</f>
        <v>111.85541298746966</v>
      </c>
      <c r="BJ185" s="59">
        <f t="shared" si="146"/>
        <v>27.56942482401746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44.902673277825208</v>
      </c>
      <c r="BQ185" s="21">
        <f>EXP(-LN(2)/25)*BQ184+(1-EXP(-LN(2)/25))/(LN(2)/25)*Calculateur!BL185*Calculateur!BN185*VLOOKUP('Données projet'!$B$11,Paramètres!$A$1:$I$89,3,0)*0.475*44/12</f>
        <v>7.8729419041891786</v>
      </c>
      <c r="BR185" s="21">
        <f>EXP(-LN(2)/2)*BR184+(1-EXP(-LN(2)/2))/(LN(2)/2)*BL185*BO185*VLOOKUP('Données projet'!$B$11,Paramètres!$A$1:$I$89,3,0)*0.475*44/12</f>
        <v>2.5242813077807644E-5</v>
      </c>
      <c r="BS185" s="22">
        <f t="shared" si="169"/>
        <v>52.775640424827465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253.62423410951334</v>
      </c>
      <c r="CE185" s="59">
        <f t="shared" si="148"/>
        <v>230.93438491511529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22.903816569132026</v>
      </c>
      <c r="CL185" s="21">
        <f>EXP(-LN(2)/25)*CL184+(1-EXP(-LN(2)/25))/(LN(2)/25)*Calculateur!CG185*Calculateur!CI185*VLOOKUP('Données projet'!$B$12,Paramètres!$A$1:$I$89,3,0)*0.475*44/12</f>
        <v>2.4838756225831897</v>
      </c>
      <c r="CM185" s="21">
        <f>EXP(-LN(2)/2)*CM184+(1-EXP(-LN(2)/2))/(LN(2)/2)*CG185*CJ185*VLOOKUP('Données projet'!$B$12,Paramètres!$A$1:$I$89,3,0)*0.475*44/12</f>
        <v>5.5278504424386544E-16</v>
      </c>
      <c r="CN185" s="22">
        <f t="shared" si="172"/>
        <v>25.387692191715217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-7.3896444519050419E-13</v>
      </c>
      <c r="O186" s="13">
        <f>N186*VLOOKUP('Données projet'!$B$9,Paramètres!$A$1:$I$89,3,0)*VLOOKUP('Données projet'!$B$9,Paramètres!$A$1:$I$89,5,0)</f>
        <v>-3.4583536034915594E-13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190.74210845597287</v>
      </c>
      <c r="T186" s="59">
        <f t="shared" si="142"/>
        <v>131.88015896015884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33.414068385301107</v>
      </c>
      <c r="AA186" s="21">
        <f>EXP(-LN(2)/25)*AA185+(1-EXP(-LN(2)/25))/(LN(2)/25)*Calculateur!V186*Calculateur!X186*VLOOKUP('Données projet'!$B$9,Paramètres!$A$1:$I$89,3,0)*0.475*44/12</f>
        <v>4.2071830341907743</v>
      </c>
      <c r="AB186" s="21">
        <f>EXP(-LN(2)/2)*AB185+(1-EXP(-LN(2)/2))/(LN(2)/2)*V186*Y186*VLOOKUP('Données projet'!$B$9,Paramètres!$A$1:$I$89,3,0)*0.475*44/12</f>
        <v>1.0017765389254895E-11</v>
      </c>
      <c r="AC186" s="22">
        <f t="shared" si="163"/>
        <v>37.621251419501903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-6.3550942286383367E-14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278.5296012747549</v>
      </c>
      <c r="AO186" s="59">
        <f t="shared" si="144"/>
        <v>370.55343097937077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17.966339201429072</v>
      </c>
      <c r="AV186" s="21">
        <f>EXP(-LN(2)/25)*AV185+(1-EXP(-LN(2)/25))/(LN(2)/25)*Calculateur!AQ186*Calculateur!AS186*VLOOKUP('Données projet'!$B$10,Paramètres!$A$1:$I$89,3,0)*0.475*44/12</f>
        <v>1.6565586273251018</v>
      </c>
      <c r="AW186" s="21">
        <f>EXP(-LN(2)/2)*AW185+(1-EXP(-LN(2)/2))/(LN(2)/2)*AQ186*AT186*VLOOKUP('Données projet'!$B$10,Paramètres!$A$1:$I$89,3,0)*0.475*44/12</f>
        <v>1.8518880008098253E-18</v>
      </c>
      <c r="AX186" s="21">
        <f t="shared" si="166"/>
        <v>19.622897828754173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4.8316906031686813E-13</v>
      </c>
      <c r="BE186" s="13">
        <f>BD186*VLOOKUP('Données projet'!$B$11,Paramètres!$A$1:$I$89,3,0)*VLOOKUP('Données projet'!$B$11,Paramètres!$A$1:$I$89,5,0)</f>
        <v>2.2612312022829429E-13</v>
      </c>
      <c r="BF186" s="13">
        <f t="shared" si="167"/>
        <v>3.0892373714008046E-12</v>
      </c>
      <c r="BG186" s="20">
        <f t="shared" si="168"/>
        <v>5.7742528562540137E-12</v>
      </c>
      <c r="BH186" s="59">
        <f t="shared" si="116"/>
        <v>293.33333333333911</v>
      </c>
      <c r="BI186" s="59">
        <f ca="1">AVERAGE(OFFSET($BH$3,0,0,'Données projet'!$E$11+1,1))-AVERAGE(OFFSET($H$3,0,0,'Données projet'!$E$11+1,1))</f>
        <v>111.85541298746966</v>
      </c>
      <c r="BJ186" s="59">
        <f t="shared" si="146"/>
        <v>27.56942482401746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44.022159242773419</v>
      </c>
      <c r="BQ186" s="21">
        <f>EXP(-LN(2)/25)*BQ185+(1-EXP(-LN(2)/25))/(LN(2)/25)*Calculateur!BL186*Calculateur!BN186*VLOOKUP('Données projet'!$B$11,Paramètres!$A$1:$I$89,3,0)*0.475*44/12</f>
        <v>7.6576558937991051</v>
      </c>
      <c r="BR186" s="21">
        <f>EXP(-LN(2)/2)*BR185+(1-EXP(-LN(2)/2))/(LN(2)/2)*BL186*BO186*VLOOKUP('Données projet'!$B$11,Paramètres!$A$1:$I$89,3,0)*0.475*44/12</f>
        <v>1.784936430354225E-5</v>
      </c>
      <c r="BS186" s="22">
        <f t="shared" si="169"/>
        <v>51.679832985936827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253.62423410951334</v>
      </c>
      <c r="CE186" s="59">
        <f t="shared" si="148"/>
        <v>230.93438491511529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22.454686696160035</v>
      </c>
      <c r="CL186" s="21">
        <f>EXP(-LN(2)/25)*CL185+(1-EXP(-LN(2)/25))/(LN(2)/25)*Calculateur!CG186*Calculateur!CI186*VLOOKUP('Données projet'!$B$12,Paramètres!$A$1:$I$89,3,0)*0.475*44/12</f>
        <v>2.4159539130623102</v>
      </c>
      <c r="CM186" s="21">
        <f>EXP(-LN(2)/2)*CM185+(1-EXP(-LN(2)/2))/(LN(2)/2)*CG186*CJ186*VLOOKUP('Données projet'!$B$12,Paramètres!$A$1:$I$89,3,0)*0.475*44/12</f>
        <v>3.9087805332334296E-16</v>
      </c>
      <c r="CN186" s="22">
        <f t="shared" si="172"/>
        <v>24.870640609222345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-7.3896444519050419E-13</v>
      </c>
      <c r="O187" s="13">
        <f>N187*VLOOKUP('Données projet'!$B$9,Paramètres!$A$1:$I$89,3,0)*VLOOKUP('Données projet'!$B$9,Paramètres!$A$1:$I$89,5,0)</f>
        <v>-3.4583536034915594E-13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190.74210845597287</v>
      </c>
      <c r="T187" s="59">
        <f t="shared" si="142"/>
        <v>131.88015896015884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32.758838884834653</v>
      </c>
      <c r="AA187" s="21">
        <f>EXP(-LN(2)/25)*AA186+(1-EXP(-LN(2)/25))/(LN(2)/25)*Calculateur!V187*Calculateur!X187*VLOOKUP('Données projet'!$B$9,Paramètres!$A$1:$I$89,3,0)*0.475*44/12</f>
        <v>4.0921373928746876</v>
      </c>
      <c r="AB187" s="21">
        <f>EXP(-LN(2)/2)*AB186+(1-EXP(-LN(2)/2))/(LN(2)/2)*V187*Y187*VLOOKUP('Données projet'!$B$9,Paramètres!$A$1:$I$89,3,0)*0.475*44/12</f>
        <v>7.0836298390780305E-12</v>
      </c>
      <c r="AC187" s="22">
        <f t="shared" si="163"/>
        <v>36.850976277716427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-6.3550942286383367E-14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278.5296012747549</v>
      </c>
      <c r="AO187" s="59">
        <f t="shared" si="144"/>
        <v>370.55343097937077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17.614030248073909</v>
      </c>
      <c r="AV187" s="21">
        <f>EXP(-LN(2)/25)*AV186+(1-EXP(-LN(2)/25))/(LN(2)/25)*Calculateur!AQ187*Calculateur!AS187*VLOOKUP('Données projet'!$B$10,Paramètres!$A$1:$I$89,3,0)*0.475*44/12</f>
        <v>1.6112599445462648</v>
      </c>
      <c r="AW187" s="21">
        <f>EXP(-LN(2)/2)*AW186+(1-EXP(-LN(2)/2))/(LN(2)/2)*AQ187*AT187*VLOOKUP('Données projet'!$B$10,Paramètres!$A$1:$I$89,3,0)*0.475*44/12</f>
        <v>1.3094825633706261E-18</v>
      </c>
      <c r="AX187" s="21">
        <f t="shared" si="166"/>
        <v>19.225290192620175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2.2612312022829429E-13</v>
      </c>
      <c r="BF187" s="13">
        <f t="shared" si="167"/>
        <v>3.0892373714008046E-12</v>
      </c>
      <c r="BG187" s="20">
        <f t="shared" si="168"/>
        <v>5.7742528562540137E-12</v>
      </c>
      <c r="BH187" s="59">
        <f t="shared" si="116"/>
        <v>293.33333333333911</v>
      </c>
      <c r="BI187" s="59">
        <f ca="1">AVERAGE(OFFSET($BH$3,0,0,'Données projet'!$E$11+1,1))-AVERAGE(OFFSET($H$3,0,0,'Données projet'!$E$11+1,1))</f>
        <v>111.85541298746966</v>
      </c>
      <c r="BJ187" s="59">
        <f t="shared" si="146"/>
        <v>27.56942482401746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43.158911550888469</v>
      </c>
      <c r="BQ187" s="21">
        <f>EXP(-LN(2)/25)*BQ186+(1-EXP(-LN(2)/25))/(LN(2)/25)*Calculateur!BL187*Calculateur!BN187*VLOOKUP('Données projet'!$B$11,Paramètres!$A$1:$I$89,3,0)*0.475*44/12</f>
        <v>7.4482568906845472</v>
      </c>
      <c r="BR187" s="21">
        <f>EXP(-LN(2)/2)*BR186+(1-EXP(-LN(2)/2))/(LN(2)/2)*BL187*BO187*VLOOKUP('Données projet'!$B$11,Paramètres!$A$1:$I$89,3,0)*0.475*44/12</f>
        <v>1.2621406538903822E-5</v>
      </c>
      <c r="BS187" s="22">
        <f t="shared" si="169"/>
        <v>50.607181062979556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253.62423410951334</v>
      </c>
      <c r="CE187" s="59">
        <f t="shared" si="148"/>
        <v>230.93438491511529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22.014363986054853</v>
      </c>
      <c r="CL187" s="21">
        <f>EXP(-LN(2)/25)*CL186+(1-EXP(-LN(2)/25))/(LN(2)/25)*Calculateur!CG187*Calculateur!CI187*VLOOKUP('Données projet'!$B$12,Paramètres!$A$1:$I$89,3,0)*0.475*44/12</f>
        <v>2.3498895262601267</v>
      </c>
      <c r="CM187" s="21">
        <f>EXP(-LN(2)/2)*CM186+(1-EXP(-LN(2)/2))/(LN(2)/2)*CG187*CJ187*VLOOKUP('Données projet'!$B$12,Paramètres!$A$1:$I$89,3,0)*0.475*44/12</f>
        <v>2.7639252212193272E-16</v>
      </c>
      <c r="CN187" s="22">
        <f t="shared" si="172"/>
        <v>24.364253512314981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-7.3896444519050419E-13</v>
      </c>
      <c r="O188" s="13">
        <f>N188*VLOOKUP('Données projet'!$B$9,Paramètres!$A$1:$I$89,3,0)*VLOOKUP('Données projet'!$B$9,Paramètres!$A$1:$I$89,5,0)</f>
        <v>-3.4583536034915594E-13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190.74210845597287</v>
      </c>
      <c r="T188" s="59">
        <f t="shared" si="142"/>
        <v>131.88015896015884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32.116458035221811</v>
      </c>
      <c r="AA188" s="21">
        <f>EXP(-LN(2)/25)*AA187+(1-EXP(-LN(2)/25))/(LN(2)/25)*Calculateur!V188*Calculateur!X188*VLOOKUP('Données projet'!$B$9,Paramètres!$A$1:$I$89,3,0)*0.475*44/12</f>
        <v>3.9802376806703763</v>
      </c>
      <c r="AB188" s="21">
        <f>EXP(-LN(2)/2)*AB187+(1-EXP(-LN(2)/2))/(LN(2)/2)*V188*Y188*VLOOKUP('Données projet'!$B$9,Paramètres!$A$1:$I$89,3,0)*0.475*44/12</f>
        <v>5.0088826946274477E-12</v>
      </c>
      <c r="AC188" s="22">
        <f t="shared" si="163"/>
        <v>36.096695715897198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-6.3550942286383367E-14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278.5296012747549</v>
      </c>
      <c r="AO188" s="59">
        <f t="shared" si="144"/>
        <v>370.55343097937077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17.268629858406801</v>
      </c>
      <c r="AV188" s="21">
        <f>EXP(-LN(2)/25)*AV187+(1-EXP(-LN(2)/25))/(LN(2)/25)*Calculateur!AQ188*Calculateur!AS188*VLOOKUP('Données projet'!$B$10,Paramètres!$A$1:$I$89,3,0)*0.475*44/12</f>
        <v>1.5671999566301693</v>
      </c>
      <c r="AW188" s="21">
        <f>EXP(-LN(2)/2)*AW187+(1-EXP(-LN(2)/2))/(LN(2)/2)*AQ188*AT188*VLOOKUP('Données projet'!$B$10,Paramètres!$A$1:$I$89,3,0)*0.475*44/12</f>
        <v>9.2594400040491263E-19</v>
      </c>
      <c r="AX188" s="21">
        <f t="shared" si="166"/>
        <v>18.83582981503697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2.2612312022829429E-13</v>
      </c>
      <c r="BF188" s="13">
        <f t="shared" si="167"/>
        <v>3.0892373714008046E-12</v>
      </c>
      <c r="BG188" s="20">
        <f t="shared" si="168"/>
        <v>5.7742528562540137E-12</v>
      </c>
      <c r="BH188" s="59">
        <f t="shared" si="116"/>
        <v>293.33333333333911</v>
      </c>
      <c r="BI188" s="59">
        <f ca="1">AVERAGE(OFFSET($BH$3,0,0,'Données projet'!$E$11+1,1))-AVERAGE(OFFSET($H$3,0,0,'Données projet'!$E$11+1,1))</f>
        <v>111.85541298746966</v>
      </c>
      <c r="BJ188" s="59">
        <f t="shared" si="146"/>
        <v>27.56942482401746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42.312591619712279</v>
      </c>
      <c r="BQ188" s="21">
        <f>EXP(-LN(2)/25)*BQ187+(1-EXP(-LN(2)/25))/(LN(2)/25)*Calculateur!BL188*Calculateur!BN188*VLOOKUP('Données projet'!$B$11,Paramètres!$A$1:$I$89,3,0)*0.475*44/12</f>
        <v>7.2445839143219715</v>
      </c>
      <c r="BR188" s="21">
        <f>EXP(-LN(2)/2)*BR187+(1-EXP(-LN(2)/2))/(LN(2)/2)*BL188*BO188*VLOOKUP('Données projet'!$B$11,Paramètres!$A$1:$I$89,3,0)*0.475*44/12</f>
        <v>8.9246821517711248E-6</v>
      </c>
      <c r="BS188" s="22">
        <f t="shared" si="169"/>
        <v>49.557184458716399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253.62423410951334</v>
      </c>
      <c r="CE188" s="59">
        <f t="shared" si="148"/>
        <v>230.93438491511529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21.5826757357245</v>
      </c>
      <c r="CL188" s="21">
        <f>EXP(-LN(2)/25)*CL187+(1-EXP(-LN(2)/25))/(LN(2)/25)*Calculateur!CG188*Calculateur!CI188*VLOOKUP('Données projet'!$B$12,Paramètres!$A$1:$I$89,3,0)*0.475*44/12</f>
        <v>2.2856316735892239</v>
      </c>
      <c r="CM188" s="21">
        <f>EXP(-LN(2)/2)*CM187+(1-EXP(-LN(2)/2))/(LN(2)/2)*CG188*CJ188*VLOOKUP('Données projet'!$B$12,Paramètres!$A$1:$I$89,3,0)*0.475*44/12</f>
        <v>1.9543902666167148E-16</v>
      </c>
      <c r="CN188" s="22">
        <f t="shared" si="172"/>
        <v>23.868307409313722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-7.3896444519050419E-13</v>
      </c>
      <c r="O189" s="13">
        <f>N189*VLOOKUP('Données projet'!$B$9,Paramètres!$A$1:$I$89,3,0)*VLOOKUP('Données projet'!$B$9,Paramètres!$A$1:$I$89,5,0)</f>
        <v>-3.4583536034915594E-13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190.74210845597287</v>
      </c>
      <c r="T189" s="59">
        <f t="shared" si="142"/>
        <v>131.88015896015884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31.486673882256248</v>
      </c>
      <c r="AA189" s="21">
        <f>EXP(-LN(2)/25)*AA188+(1-EXP(-LN(2)/25))/(LN(2)/25)*Calculateur!V189*Calculateur!X189*VLOOKUP('Données projet'!$B$9,Paramètres!$A$1:$I$89,3,0)*0.475*44/12</f>
        <v>3.8713978719808422</v>
      </c>
      <c r="AB189" s="21">
        <f>EXP(-LN(2)/2)*AB188+(1-EXP(-LN(2)/2))/(LN(2)/2)*V189*Y189*VLOOKUP('Données projet'!$B$9,Paramètres!$A$1:$I$89,3,0)*0.475*44/12</f>
        <v>3.5418149195390152E-12</v>
      </c>
      <c r="AC189" s="22">
        <f t="shared" si="163"/>
        <v>35.358071754240626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-6.3550942286383367E-14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278.5296012747549</v>
      </c>
      <c r="AO189" s="59">
        <f t="shared" si="144"/>
        <v>370.55343097937077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16.930002559707628</v>
      </c>
      <c r="AV189" s="21">
        <f>EXP(-LN(2)/25)*AV188+(1-EXP(-LN(2)/25))/(LN(2)/25)*Calculateur!AQ189*Calculateur!AS189*VLOOKUP('Données projet'!$B$10,Paramètres!$A$1:$I$89,3,0)*0.475*44/12</f>
        <v>1.5243447914006536</v>
      </c>
      <c r="AW189" s="21">
        <f>EXP(-LN(2)/2)*AW188+(1-EXP(-LN(2)/2))/(LN(2)/2)*AQ189*AT189*VLOOKUP('Données projet'!$B$10,Paramètres!$A$1:$I$89,3,0)*0.475*44/12</f>
        <v>6.5474128168531303E-19</v>
      </c>
      <c r="AX189" s="21">
        <f t="shared" si="166"/>
        <v>18.454347351108282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2.2612312022829429E-13</v>
      </c>
      <c r="BF189" s="13">
        <f t="shared" si="167"/>
        <v>3.0892373714008046E-12</v>
      </c>
      <c r="BG189" s="20">
        <f t="shared" si="168"/>
        <v>5.7742528562540137E-12</v>
      </c>
      <c r="BH189" s="59">
        <f t="shared" si="116"/>
        <v>293.33333333333911</v>
      </c>
      <c r="BI189" s="59">
        <f ca="1">AVERAGE(OFFSET($BH$3,0,0,'Données projet'!$E$11+1,1))-AVERAGE(OFFSET($H$3,0,0,'Données projet'!$E$11+1,1))</f>
        <v>111.85541298746966</v>
      </c>
      <c r="BJ189" s="59">
        <f t="shared" si="146"/>
        <v>27.56942482401746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41.482867506182266</v>
      </c>
      <c r="BQ189" s="21">
        <f>EXP(-LN(2)/25)*BQ188+(1-EXP(-LN(2)/25))/(LN(2)/25)*Calculateur!BL189*Calculateur!BN189*VLOOKUP('Données projet'!$B$11,Paramètres!$A$1:$I$89,3,0)*0.475*44/12</f>
        <v>7.0464803862087271</v>
      </c>
      <c r="BR189" s="21">
        <f>EXP(-LN(2)/2)*BR188+(1-EXP(-LN(2)/2))/(LN(2)/2)*BL189*BO189*VLOOKUP('Données projet'!$B$11,Paramètres!$A$1:$I$89,3,0)*0.475*44/12</f>
        <v>6.310703269451911E-6</v>
      </c>
      <c r="BS189" s="22">
        <f t="shared" si="169"/>
        <v>48.529354203094265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253.62423410951334</v>
      </c>
      <c r="CE189" s="59">
        <f t="shared" si="148"/>
        <v>230.93438491511529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21.15945262867929</v>
      </c>
      <c r="CL189" s="21">
        <f>EXP(-LN(2)/25)*CL188+(1-EXP(-LN(2)/25))/(LN(2)/25)*Calculateur!CG189*Calculateur!CI189*VLOOKUP('Données projet'!$B$12,Paramètres!$A$1:$I$89,3,0)*0.475*44/12</f>
        <v>2.2231309552787808</v>
      </c>
      <c r="CM189" s="21">
        <f>EXP(-LN(2)/2)*CM188+(1-EXP(-LN(2)/2))/(LN(2)/2)*CG189*CJ189*VLOOKUP('Données projet'!$B$12,Paramètres!$A$1:$I$89,3,0)*0.475*44/12</f>
        <v>1.3819626106096636E-16</v>
      </c>
      <c r="CN189" s="22">
        <f t="shared" si="172"/>
        <v>23.38258358395807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-7.3896444519050419E-13</v>
      </c>
      <c r="O190" s="13">
        <f>N190*VLOOKUP('Données projet'!$B$9,Paramètres!$A$1:$I$89,3,0)*VLOOKUP('Données projet'!$B$9,Paramètres!$A$1:$I$89,5,0)</f>
        <v>-3.4583536034915594E-13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190.74210845597287</v>
      </c>
      <c r="T190" s="59">
        <f t="shared" si="142"/>
        <v>131.88015896015884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30.869239412399939</v>
      </c>
      <c r="AA190" s="21">
        <f>EXP(-LN(2)/25)*AA189+(1-EXP(-LN(2)/25))/(LN(2)/25)*Calculateur!V190*Calculateur!X190*VLOOKUP('Données projet'!$B$9,Paramètres!$A$1:$I$89,3,0)*0.475*44/12</f>
        <v>3.7655342935835603</v>
      </c>
      <c r="AB190" s="21">
        <f>EXP(-LN(2)/2)*AB189+(1-EXP(-LN(2)/2))/(LN(2)/2)*V190*Y190*VLOOKUP('Données projet'!$B$9,Paramètres!$A$1:$I$89,3,0)*0.475*44/12</f>
        <v>2.5044413473137238E-12</v>
      </c>
      <c r="AC190" s="22">
        <f t="shared" si="163"/>
        <v>34.634773705985999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-6.3550942286383367E-14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278.5296012747549</v>
      </c>
      <c r="AO190" s="59">
        <f t="shared" si="144"/>
        <v>370.55343097937077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16.598015535793689</v>
      </c>
      <c r="AV190" s="21">
        <f>EXP(-LN(2)/25)*AV189+(1-EXP(-LN(2)/25))/(LN(2)/25)*Calculateur!AQ190*Calculateur!AS190*VLOOKUP('Données projet'!$B$10,Paramètres!$A$1:$I$89,3,0)*0.475*44/12</f>
        <v>1.4826615029179941</v>
      </c>
      <c r="AW190" s="21">
        <f>EXP(-LN(2)/2)*AW189+(1-EXP(-LN(2)/2))/(LN(2)/2)*AQ190*AT190*VLOOKUP('Données projet'!$B$10,Paramètres!$A$1:$I$89,3,0)*0.475*44/12</f>
        <v>4.6297200020245631E-19</v>
      </c>
      <c r="AX190" s="21">
        <f t="shared" si="166"/>
        <v>18.080677038711684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2.2612312022829429E-13</v>
      </c>
      <c r="BF190" s="13">
        <f t="shared" si="167"/>
        <v>3.0892373714008046E-12</v>
      </c>
      <c r="BG190" s="20">
        <f t="shared" si="168"/>
        <v>5.7742528562540137E-12</v>
      </c>
      <c r="BH190" s="59">
        <f t="shared" si="116"/>
        <v>293.33333333333911</v>
      </c>
      <c r="BI190" s="59">
        <f ca="1">AVERAGE(OFFSET($BH$3,0,0,'Données projet'!$E$11+1,1))-AVERAGE(OFFSET($H$3,0,0,'Données projet'!$E$11+1,1))</f>
        <v>111.85541298746966</v>
      </c>
      <c r="BJ190" s="59">
        <f t="shared" si="146"/>
        <v>27.56942482401746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40.669413776436841</v>
      </c>
      <c r="BQ190" s="21">
        <f>EXP(-LN(2)/25)*BQ189+(1-EXP(-LN(2)/25))/(LN(2)/25)*Calculateur!BL190*Calculateur!BN190*VLOOKUP('Données projet'!$B$11,Paramètres!$A$1:$I$89,3,0)*0.475*44/12</f>
        <v>6.8537940094895511</v>
      </c>
      <c r="BR190" s="21">
        <f>EXP(-LN(2)/2)*BR189+(1-EXP(-LN(2)/2))/(LN(2)/2)*BL190*BO190*VLOOKUP('Données projet'!$B$11,Paramètres!$A$1:$I$89,3,0)*0.475*44/12</f>
        <v>4.4623410758855624E-6</v>
      </c>
      <c r="BS190" s="22">
        <f t="shared" si="169"/>
        <v>47.523212248267463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253.62423410951334</v>
      </c>
      <c r="CE190" s="59">
        <f t="shared" si="148"/>
        <v>230.93438491511529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20.744528668622632</v>
      </c>
      <c r="CL190" s="21">
        <f>EXP(-LN(2)/25)*CL189+(1-EXP(-LN(2)/25))/(LN(2)/25)*Calculateur!CG190*Calculateur!CI190*VLOOKUP('Données projet'!$B$12,Paramètres!$A$1:$I$89,3,0)*0.475*44/12</f>
        <v>2.1623393223973064</v>
      </c>
      <c r="CM190" s="21">
        <f>EXP(-LN(2)/2)*CM189+(1-EXP(-LN(2)/2))/(LN(2)/2)*CG190*CJ190*VLOOKUP('Données projet'!$B$12,Paramètres!$A$1:$I$89,3,0)*0.475*44/12</f>
        <v>9.771951333083574E-17</v>
      </c>
      <c r="CN190" s="22">
        <f t="shared" si="172"/>
        <v>22.906867991019936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-7.3896444519050419E-13</v>
      </c>
      <c r="O191" s="13">
        <f>N191*VLOOKUP('Données projet'!$B$9,Paramètres!$A$1:$I$89,3,0)*VLOOKUP('Données projet'!$B$9,Paramètres!$A$1:$I$89,5,0)</f>
        <v>-3.4583536034915594E-13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190.74210845597287</v>
      </c>
      <c r="T191" s="59">
        <f t="shared" si="142"/>
        <v>131.88015896015884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30.263912455899668</v>
      </c>
      <c r="AA191" s="21">
        <f>EXP(-LN(2)/25)*AA190+(1-EXP(-LN(2)/25))/(LN(2)/25)*Calculateur!V191*Calculateur!X191*VLOOKUP('Données projet'!$B$9,Paramètres!$A$1:$I$89,3,0)*0.475*44/12</f>
        <v>3.6625655603046754</v>
      </c>
      <c r="AB191" s="21">
        <f>EXP(-LN(2)/2)*AB190+(1-EXP(-LN(2)/2))/(LN(2)/2)*V191*Y191*VLOOKUP('Données projet'!$B$9,Paramètres!$A$1:$I$89,3,0)*0.475*44/12</f>
        <v>1.7709074597695076E-12</v>
      </c>
      <c r="AC191" s="22">
        <f t="shared" si="163"/>
        <v>33.926478016206111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-6.3550942286383367E-14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278.5296012747549</v>
      </c>
      <c r="AO191" s="59">
        <f t="shared" si="144"/>
        <v>370.55343097937077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16.27253857492661</v>
      </c>
      <c r="AV191" s="21">
        <f>EXP(-LN(2)/25)*AV190+(1-EXP(-LN(2)/25))/(LN(2)/25)*Calculateur!AQ191*Calculateur!AS191*VLOOKUP('Données projet'!$B$10,Paramètres!$A$1:$I$89,3,0)*0.475*44/12</f>
        <v>1.4421180461509218</v>
      </c>
      <c r="AW191" s="21">
        <f>EXP(-LN(2)/2)*AW190+(1-EXP(-LN(2)/2))/(LN(2)/2)*AQ191*AT191*VLOOKUP('Données projet'!$B$10,Paramètres!$A$1:$I$89,3,0)*0.475*44/12</f>
        <v>3.2737064084265651E-19</v>
      </c>
      <c r="AX191" s="21">
        <f t="shared" si="166"/>
        <v>17.71465662107753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2.2612312022829429E-13</v>
      </c>
      <c r="BF191" s="13">
        <f t="shared" si="167"/>
        <v>3.0892373714008046E-12</v>
      </c>
      <c r="BG191" s="20">
        <f t="shared" si="168"/>
        <v>5.7742528562540137E-12</v>
      </c>
      <c r="BH191" s="59">
        <f t="shared" si="116"/>
        <v>293.33333333333911</v>
      </c>
      <c r="BI191" s="59">
        <f ca="1">AVERAGE(OFFSET($BH$3,0,0,'Données projet'!$E$11+1,1))-AVERAGE(OFFSET($H$3,0,0,'Données projet'!$E$11+1,1))</f>
        <v>111.85541298746966</v>
      </c>
      <c r="BJ191" s="59">
        <f t="shared" si="146"/>
        <v>27.56942482401746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39.871911378173941</v>
      </c>
      <c r="BQ191" s="21">
        <f>EXP(-LN(2)/25)*BQ190+(1-EXP(-LN(2)/25))/(LN(2)/25)*Calculateur!BL191*Calculateur!BN191*VLOOKUP('Données projet'!$B$11,Paramètres!$A$1:$I$89,3,0)*0.475*44/12</f>
        <v>6.666376651874697</v>
      </c>
      <c r="BR191" s="21">
        <f>EXP(-LN(2)/2)*BR190+(1-EXP(-LN(2)/2))/(LN(2)/2)*BL191*BO191*VLOOKUP('Données projet'!$B$11,Paramètres!$A$1:$I$89,3,0)*0.475*44/12</f>
        <v>3.1553516347259555E-6</v>
      </c>
      <c r="BS191" s="22">
        <f t="shared" si="169"/>
        <v>46.538291185400276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253.62423410951334</v>
      </c>
      <c r="CE191" s="59">
        <f t="shared" si="148"/>
        <v>230.93438491511529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20.337741114344059</v>
      </c>
      <c r="CL191" s="21">
        <f>EXP(-LN(2)/25)*CL190+(1-EXP(-LN(2)/25))/(LN(2)/25)*Calculateur!CG191*Calculateur!CI191*VLOOKUP('Données projet'!$B$12,Paramètres!$A$1:$I$89,3,0)*0.475*44/12</f>
        <v>2.1032100399138693</v>
      </c>
      <c r="CM191" s="21">
        <f>EXP(-LN(2)/2)*CM190+(1-EXP(-LN(2)/2))/(LN(2)/2)*CG191*CJ191*VLOOKUP('Données projet'!$B$12,Paramètres!$A$1:$I$89,3,0)*0.475*44/12</f>
        <v>6.909813053048318E-17</v>
      </c>
      <c r="CN191" s="22">
        <f t="shared" si="172"/>
        <v>22.440951154257927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-7.3896444519050419E-13</v>
      </c>
      <c r="O192" s="13">
        <f>N192*VLOOKUP('Données projet'!$B$9,Paramètres!$A$1:$I$89,3,0)*VLOOKUP('Données projet'!$B$9,Paramètres!$A$1:$I$89,5,0)</f>
        <v>-3.4583536034915594E-13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190.74210845597287</v>
      </c>
      <c r="T192" s="59">
        <f t="shared" si="142"/>
        <v>131.88015896015884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29.670455591803382</v>
      </c>
      <c r="AA192" s="21">
        <f>EXP(-LN(2)/25)*AA191+(1-EXP(-LN(2)/25))/(LN(2)/25)*Calculateur!V192*Calculateur!X192*VLOOKUP('Données projet'!$B$9,Paramètres!$A$1:$I$89,3,0)*0.475*44/12</f>
        <v>3.5624125124521919</v>
      </c>
      <c r="AB192" s="21">
        <f>EXP(-LN(2)/2)*AB191+(1-EXP(-LN(2)/2))/(LN(2)/2)*V192*Y192*VLOOKUP('Données projet'!$B$9,Paramètres!$A$1:$I$89,3,0)*0.475*44/12</f>
        <v>1.2522206736568619E-12</v>
      </c>
      <c r="AC192" s="22">
        <f t="shared" si="163"/>
        <v>33.232868104256823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-6.3550942286383367E-14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278.5296012747549</v>
      </c>
      <c r="AO192" s="59">
        <f t="shared" si="144"/>
        <v>370.55343097937077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15.953444018740791</v>
      </c>
      <c r="AV192" s="21">
        <f>EXP(-LN(2)/25)*AV191+(1-EXP(-LN(2)/25))/(LN(2)/25)*Calculateur!AQ192*Calculateur!AS192*VLOOKUP('Données projet'!$B$10,Paramètres!$A$1:$I$89,3,0)*0.475*44/12</f>
        <v>1.4026832523412327</v>
      </c>
      <c r="AW192" s="21">
        <f>EXP(-LN(2)/2)*AW191+(1-EXP(-LN(2)/2))/(LN(2)/2)*AQ192*AT192*VLOOKUP('Données projet'!$B$10,Paramètres!$A$1:$I$89,3,0)*0.475*44/12</f>
        <v>2.3148600010122816E-19</v>
      </c>
      <c r="AX192" s="21">
        <f t="shared" si="166"/>
        <v>17.356127271082023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2.2612312022829429E-13</v>
      </c>
      <c r="BF192" s="13">
        <f t="shared" si="167"/>
        <v>3.0892373714008046E-12</v>
      </c>
      <c r="BG192" s="20">
        <f t="shared" si="168"/>
        <v>5.7742528562540137E-12</v>
      </c>
      <c r="BH192" s="59">
        <f t="shared" si="116"/>
        <v>293.33333333333911</v>
      </c>
      <c r="BI192" s="59">
        <f ca="1">AVERAGE(OFFSET($BH$3,0,0,'Données projet'!$E$11+1,1))-AVERAGE(OFFSET($H$3,0,0,'Données projet'!$E$11+1,1))</f>
        <v>111.85541298746966</v>
      </c>
      <c r="BJ192" s="59">
        <f t="shared" si="146"/>
        <v>27.56942482401746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39.090047515512545</v>
      </c>
      <c r="BQ192" s="21">
        <f>EXP(-LN(2)/25)*BQ191+(1-EXP(-LN(2)/25))/(LN(2)/25)*Calculateur!BL192*Calculateur!BN192*VLOOKUP('Données projet'!$B$11,Paramètres!$A$1:$I$89,3,0)*0.475*44/12</f>
        <v>6.4840842317596712</v>
      </c>
      <c r="BR192" s="21">
        <f>EXP(-LN(2)/2)*BR191+(1-EXP(-LN(2)/2))/(LN(2)/2)*BL192*BO192*VLOOKUP('Données projet'!$B$11,Paramètres!$A$1:$I$89,3,0)*0.475*44/12</f>
        <v>2.2311705379427812E-6</v>
      </c>
      <c r="BS192" s="22">
        <f t="shared" si="169"/>
        <v>45.574133978442759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253.62423410951334</v>
      </c>
      <c r="CE192" s="59">
        <f t="shared" si="148"/>
        <v>230.93438491511529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19.938930415888979</v>
      </c>
      <c r="CL192" s="21">
        <f>EXP(-LN(2)/25)*CL191+(1-EXP(-LN(2)/25))/(LN(2)/25)*Calculateur!CG192*Calculateur!CI192*VLOOKUP('Données projet'!$B$12,Paramètres!$A$1:$I$89,3,0)*0.475*44/12</f>
        <v>2.0456976507694153</v>
      </c>
      <c r="CM192" s="21">
        <f>EXP(-LN(2)/2)*CM191+(1-EXP(-LN(2)/2))/(LN(2)/2)*CG192*CJ192*VLOOKUP('Données projet'!$B$12,Paramètres!$A$1:$I$89,3,0)*0.475*44/12</f>
        <v>4.885975666541787E-17</v>
      </c>
      <c r="CN192" s="22">
        <f t="shared" si="172"/>
        <v>21.984628066658395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-7.3896444519050419E-13</v>
      </c>
      <c r="O193" s="13">
        <f>N193*VLOOKUP('Données projet'!$B$9,Paramètres!$A$1:$I$89,3,0)*VLOOKUP('Données projet'!$B$9,Paramètres!$A$1:$I$89,5,0)</f>
        <v>-3.4583536034915594E-13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190.74210845597287</v>
      </c>
      <c r="T193" s="59">
        <f t="shared" si="142"/>
        <v>131.88015896015884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29.088636054839078</v>
      </c>
      <c r="AA193" s="21">
        <f>EXP(-LN(2)/25)*AA192+(1-EXP(-LN(2)/25))/(LN(2)/25)*Calculateur!V193*Calculateur!X193*VLOOKUP('Données projet'!$B$9,Paramètres!$A$1:$I$89,3,0)*0.475*44/12</f>
        <v>3.4649981549600546</v>
      </c>
      <c r="AB193" s="21">
        <f>EXP(-LN(2)/2)*AB192+(1-EXP(-LN(2)/2))/(LN(2)/2)*V193*Y193*VLOOKUP('Données projet'!$B$9,Paramètres!$A$1:$I$89,3,0)*0.475*44/12</f>
        <v>8.8545372988475381E-13</v>
      </c>
      <c r="AC193" s="22">
        <f t="shared" si="163"/>
        <v>32.553634209800023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-6.3550942286383367E-14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278.5296012747549</v>
      </c>
      <c r="AO193" s="59">
        <f t="shared" si="144"/>
        <v>370.55343097937077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15.640606712173314</v>
      </c>
      <c r="AV193" s="21">
        <f>EXP(-LN(2)/25)*AV192+(1-EXP(-LN(2)/25))/(LN(2)/25)*Calculateur!AQ193*Calculateur!AS193*VLOOKUP('Données projet'!$B$10,Paramètres!$A$1:$I$89,3,0)*0.475*44/12</f>
        <v>1.3643268050420554</v>
      </c>
      <c r="AW193" s="21">
        <f>EXP(-LN(2)/2)*AW192+(1-EXP(-LN(2)/2))/(LN(2)/2)*AQ193*AT193*VLOOKUP('Données projet'!$B$10,Paramètres!$A$1:$I$89,3,0)*0.475*44/12</f>
        <v>1.6368532042132826E-19</v>
      </c>
      <c r="AX193" s="21">
        <f t="shared" si="166"/>
        <v>17.00493351721537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2.2612312022829429E-13</v>
      </c>
      <c r="BF193" s="13">
        <f t="shared" si="167"/>
        <v>3.0892373714008046E-12</v>
      </c>
      <c r="BG193" s="20">
        <f t="shared" si="168"/>
        <v>5.7742528562540137E-12</v>
      </c>
      <c r="BH193" s="59">
        <f t="shared" si="116"/>
        <v>293.33333333333911</v>
      </c>
      <c r="BI193" s="59">
        <f ca="1">AVERAGE(OFFSET($BH$3,0,0,'Données projet'!$E$11+1,1))-AVERAGE(OFFSET($H$3,0,0,'Données projet'!$E$11+1,1))</f>
        <v>111.85541298746966</v>
      </c>
      <c r="BJ193" s="59">
        <f t="shared" si="146"/>
        <v>27.56942482401746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38.323515526308071</v>
      </c>
      <c r="BQ193" s="21">
        <f>EXP(-LN(2)/25)*BQ192+(1-EXP(-LN(2)/25))/(LN(2)/25)*Calculateur!BL193*Calculateur!BN193*VLOOKUP('Données projet'!$B$11,Paramètres!$A$1:$I$89,3,0)*0.475*44/12</f>
        <v>6.3067766074590326</v>
      </c>
      <c r="BR193" s="21">
        <f>EXP(-LN(2)/2)*BR192+(1-EXP(-LN(2)/2))/(LN(2)/2)*BL193*BO193*VLOOKUP('Données projet'!$B$11,Paramètres!$A$1:$I$89,3,0)*0.475*44/12</f>
        <v>1.5776758173629778E-6</v>
      </c>
      <c r="BS193" s="22">
        <f t="shared" si="169"/>
        <v>44.630293711442924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253.62423410951334</v>
      </c>
      <c r="CE193" s="59">
        <f t="shared" si="148"/>
        <v>230.93438491511529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19.547940151980097</v>
      </c>
      <c r="CL193" s="21">
        <f>EXP(-LN(2)/25)*CL192+(1-EXP(-LN(2)/25))/(LN(2)/25)*Calculateur!CG193*Calculateur!CI193*VLOOKUP('Données projet'!$B$12,Paramètres!$A$1:$I$89,3,0)*0.475*44/12</f>
        <v>1.9897579409305617</v>
      </c>
      <c r="CM193" s="21">
        <f>EXP(-LN(2)/2)*CM192+(1-EXP(-LN(2)/2))/(LN(2)/2)*CG193*CJ193*VLOOKUP('Données projet'!$B$12,Paramètres!$A$1:$I$89,3,0)*0.475*44/12</f>
        <v>3.454906526524159E-17</v>
      </c>
      <c r="CN193" s="22">
        <f t="shared" si="172"/>
        <v>21.537698092910659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-7.3896444519050419E-13</v>
      </c>
      <c r="O194" s="13">
        <f>N194*VLOOKUP('Données projet'!$B$9,Paramètres!$A$1:$I$89,3,0)*VLOOKUP('Données projet'!$B$9,Paramètres!$A$1:$I$89,5,0)</f>
        <v>-3.4583536034915594E-13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190.74210845597287</v>
      </c>
      <c r="T194" s="59">
        <f t="shared" si="142"/>
        <v>131.88015896015884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28.51822564411977</v>
      </c>
      <c r="AA194" s="21">
        <f>EXP(-LN(2)/25)*AA193+(1-EXP(-LN(2)/25))/(LN(2)/25)*Calculateur!V194*Calculateur!X194*VLOOKUP('Données projet'!$B$9,Paramètres!$A$1:$I$89,3,0)*0.475*44/12</f>
        <v>3.3702475981963382</v>
      </c>
      <c r="AB194" s="21">
        <f>EXP(-LN(2)/2)*AB193+(1-EXP(-LN(2)/2))/(LN(2)/2)*V194*Y194*VLOOKUP('Données projet'!$B$9,Paramètres!$A$1:$I$89,3,0)*0.475*44/12</f>
        <v>6.2611033682843096E-13</v>
      </c>
      <c r="AC194" s="22">
        <f t="shared" si="163"/>
        <v>31.888473242316735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-6.3550942286383367E-14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278.5296012747549</v>
      </c>
      <c r="AO194" s="59">
        <f t="shared" si="144"/>
        <v>370.55343097937077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15.33390395437571</v>
      </c>
      <c r="AV194" s="21">
        <f>EXP(-LN(2)/25)*AV193+(1-EXP(-LN(2)/25))/(LN(2)/25)*Calculateur!AQ194*Calculateur!AS194*VLOOKUP('Données projet'!$B$10,Paramètres!$A$1:$I$89,3,0)*0.475*44/12</f>
        <v>1.3270192168113519</v>
      </c>
      <c r="AW194" s="21">
        <f>EXP(-LN(2)/2)*AW193+(1-EXP(-LN(2)/2))/(LN(2)/2)*AQ194*AT194*VLOOKUP('Données projet'!$B$10,Paramètres!$A$1:$I$89,3,0)*0.475*44/12</f>
        <v>1.1574300005061408E-19</v>
      </c>
      <c r="AX194" s="21">
        <f t="shared" si="166"/>
        <v>16.660923171187061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2.2612312022829429E-13</v>
      </c>
      <c r="BF194" s="13">
        <f t="shared" si="167"/>
        <v>3.0892373714008046E-12</v>
      </c>
      <c r="BG194" s="20">
        <f t="shared" si="168"/>
        <v>5.7742528562540137E-12</v>
      </c>
      <c r="BH194" s="59">
        <f t="shared" si="116"/>
        <v>293.33333333333911</v>
      </c>
      <c r="BI194" s="59">
        <f ca="1">AVERAGE(OFFSET($BH$3,0,0,'Données projet'!$E$11+1,1))-AVERAGE(OFFSET($H$3,0,0,'Données projet'!$E$11+1,1))</f>
        <v>111.85541298746966</v>
      </c>
      <c r="BJ194" s="59">
        <f t="shared" si="146"/>
        <v>27.56942482401746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37.572014761873547</v>
      </c>
      <c r="BQ194" s="21">
        <f>EXP(-LN(2)/25)*BQ193+(1-EXP(-LN(2)/25))/(LN(2)/25)*Calculateur!BL194*Calculateur!BN194*VLOOKUP('Données projet'!$B$11,Paramètres!$A$1:$I$89,3,0)*0.475*44/12</f>
        <v>6.1343174694690976</v>
      </c>
      <c r="BR194" s="21">
        <f>EXP(-LN(2)/2)*BR193+(1-EXP(-LN(2)/2))/(LN(2)/2)*BL194*BO194*VLOOKUP('Données projet'!$B$11,Paramètres!$A$1:$I$89,3,0)*0.475*44/12</f>
        <v>1.1155852689713906E-6</v>
      </c>
      <c r="BS194" s="22">
        <f t="shared" si="169"/>
        <v>43.706333346927913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253.62423410951334</v>
      </c>
      <c r="CE194" s="59">
        <f t="shared" si="148"/>
        <v>230.93438491511529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19.164616968665953</v>
      </c>
      <c r="CL194" s="21">
        <f>EXP(-LN(2)/25)*CL193+(1-EXP(-LN(2)/25))/(LN(2)/25)*Calculateur!CG194*Calculateur!CI194*VLOOKUP('Données projet'!$B$12,Paramètres!$A$1:$I$89,3,0)*0.475*44/12</f>
        <v>1.935347905398993</v>
      </c>
      <c r="CM194" s="21">
        <f>EXP(-LN(2)/2)*CM193+(1-EXP(-LN(2)/2))/(LN(2)/2)*CG194*CJ194*VLOOKUP('Données projet'!$B$12,Paramètres!$A$1:$I$89,3,0)*0.475*44/12</f>
        <v>2.4429878332708935E-17</v>
      </c>
      <c r="CN194" s="22">
        <f t="shared" si="172"/>
        <v>21.099964874064945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-7.3896444519050419E-13</v>
      </c>
      <c r="O195" s="13">
        <f>N195*VLOOKUP('Données projet'!$B$9,Paramètres!$A$1:$I$89,3,0)*VLOOKUP('Données projet'!$B$9,Paramètres!$A$1:$I$89,5,0)</f>
        <v>-3.4583536034915594E-13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190.74210845597287</v>
      </c>
      <c r="T195" s="59">
        <f t="shared" si="142"/>
        <v>131.88015896015884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27.95900063363867</v>
      </c>
      <c r="AA195" s="21">
        <f>EXP(-LN(2)/25)*AA194+(1-EXP(-LN(2)/25))/(LN(2)/25)*Calculateur!V195*Calculateur!X195*VLOOKUP('Données projet'!$B$9,Paramètres!$A$1:$I$89,3,0)*0.475*44/12</f>
        <v>3.2780880003900408</v>
      </c>
      <c r="AB195" s="21">
        <f>EXP(-LN(2)/2)*AB194+(1-EXP(-LN(2)/2))/(LN(2)/2)*V195*Y195*VLOOKUP('Données projet'!$B$9,Paramètres!$A$1:$I$89,3,0)*0.475*44/12</f>
        <v>4.427268649423769E-13</v>
      </c>
      <c r="AC195" s="22">
        <f t="shared" si="163"/>
        <v>31.237088634029156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-6.3550942286383367E-14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278.5296012747549</v>
      </c>
      <c r="AO195" s="59">
        <f t="shared" si="144"/>
        <v>370.55343097937077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15.033215450588306</v>
      </c>
      <c r="AV195" s="21">
        <f>EXP(-LN(2)/25)*AV194+(1-EXP(-LN(2)/25))/(LN(2)/25)*Calculateur!AQ195*Calculateur!AS195*VLOOKUP('Données projet'!$B$10,Paramètres!$A$1:$I$89,3,0)*0.475*44/12</f>
        <v>1.2907318065427378</v>
      </c>
      <c r="AW195" s="21">
        <f>EXP(-LN(2)/2)*AW194+(1-EXP(-LN(2)/2))/(LN(2)/2)*AQ195*AT195*VLOOKUP('Données projet'!$B$10,Paramètres!$A$1:$I$89,3,0)*0.475*44/12</f>
        <v>8.1842660210664128E-20</v>
      </c>
      <c r="AX195" s="21">
        <f t="shared" si="166"/>
        <v>16.323947257131046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2.2612312022829429E-13</v>
      </c>
      <c r="BF195" s="13">
        <f t="shared" si="167"/>
        <v>3.0892373714008046E-12</v>
      </c>
      <c r="BG195" s="20">
        <f t="shared" si="168"/>
        <v>5.7742528562540137E-12</v>
      </c>
      <c r="BH195" s="59">
        <f t="shared" si="116"/>
        <v>293.33333333333911</v>
      </c>
      <c r="BI195" s="59">
        <f ca="1">AVERAGE(OFFSET($BH$3,0,0,'Données projet'!$E$11+1,1))-AVERAGE(OFFSET($H$3,0,0,'Données projet'!$E$11+1,1))</f>
        <v>111.85541298746966</v>
      </c>
      <c r="BJ195" s="59">
        <f t="shared" si="146"/>
        <v>27.56942482401746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36.835250469059382</v>
      </c>
      <c r="BQ195" s="21">
        <f>EXP(-LN(2)/25)*BQ194+(1-EXP(-LN(2)/25))/(LN(2)/25)*Calculateur!BL195*Calculateur!BN195*VLOOKUP('Données projet'!$B$11,Paramètres!$A$1:$I$89,3,0)*0.475*44/12</f>
        <v>5.9665742356767293</v>
      </c>
      <c r="BR195" s="21">
        <f>EXP(-LN(2)/2)*BR194+(1-EXP(-LN(2)/2))/(LN(2)/2)*BL195*BO195*VLOOKUP('Données projet'!$B$11,Paramètres!$A$1:$I$89,3,0)*0.475*44/12</f>
        <v>7.8883790868148888E-7</v>
      </c>
      <c r="BS195" s="22">
        <f t="shared" si="169"/>
        <v>42.801825493574022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253.62423410951334</v>
      </c>
      <c r="CE195" s="59">
        <f t="shared" si="148"/>
        <v>230.93438491511529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18.788810519172547</v>
      </c>
      <c r="CL195" s="21">
        <f>EXP(-LN(2)/25)*CL194+(1-EXP(-LN(2)/25))/(LN(2)/25)*Calculateur!CG195*Calculateur!CI195*VLOOKUP('Données projet'!$B$12,Paramètres!$A$1:$I$89,3,0)*0.475*44/12</f>
        <v>1.8824257151503345</v>
      </c>
      <c r="CM195" s="21">
        <f>EXP(-LN(2)/2)*CM194+(1-EXP(-LN(2)/2))/(LN(2)/2)*CG195*CJ195*VLOOKUP('Données projet'!$B$12,Paramètres!$A$1:$I$89,3,0)*0.475*44/12</f>
        <v>1.7274532632620795E-17</v>
      </c>
      <c r="CN195" s="22">
        <f t="shared" si="172"/>
        <v>20.67123623432288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-7.3896444519050419E-13</v>
      </c>
      <c r="O196" s="13">
        <f>N196*VLOOKUP('Données projet'!$B$9,Paramètres!$A$1:$I$89,3,0)*VLOOKUP('Données projet'!$B$9,Paramètres!$A$1:$I$89,5,0)</f>
        <v>-3.4583536034915594E-13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190.74210845597287</v>
      </c>
      <c r="T196" s="59">
        <f t="shared" si="142"/>
        <v>131.88015896015884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27.410741684519529</v>
      </c>
      <c r="AA196" s="21">
        <f>EXP(-LN(2)/25)*AA195+(1-EXP(-LN(2)/25))/(LN(2)/25)*Calculateur!V196*Calculateur!X196*VLOOKUP('Données projet'!$B$9,Paramètres!$A$1:$I$89,3,0)*0.475*44/12</f>
        <v>3.1884485116322194</v>
      </c>
      <c r="AB196" s="21">
        <f>EXP(-LN(2)/2)*AB195+(1-EXP(-LN(2)/2))/(LN(2)/2)*V196*Y196*VLOOKUP('Données projet'!$B$9,Paramètres!$A$1:$I$89,3,0)*0.475*44/12</f>
        <v>3.1305516841421548E-13</v>
      </c>
      <c r="AC196" s="22">
        <f t="shared" si="163"/>
        <v>30.599190196152062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-6.3550942286383367E-14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278.5296012747549</v>
      </c>
      <c r="AO196" s="59">
        <f t="shared" si="144"/>
        <v>370.55343097937077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14.738423264958296</v>
      </c>
      <c r="AV196" s="21">
        <f>EXP(-LN(2)/25)*AV195+(1-EXP(-LN(2)/25))/(LN(2)/25)*Calculateur!AQ196*Calculateur!AS196*VLOOKUP('Données projet'!$B$10,Paramètres!$A$1:$I$89,3,0)*0.475*44/12</f>
        <v>1.2554366774161909</v>
      </c>
      <c r="AW196" s="21">
        <f>EXP(-LN(2)/2)*AW195+(1-EXP(-LN(2)/2))/(LN(2)/2)*AQ196*AT196*VLOOKUP('Données projet'!$B$10,Paramètres!$A$1:$I$89,3,0)*0.475*44/12</f>
        <v>5.7871500025307039E-20</v>
      </c>
      <c r="AX196" s="21">
        <f t="shared" si="166"/>
        <v>15.993859942374486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2.2612312022829429E-13</v>
      </c>
      <c r="BF196" s="13">
        <f t="shared" si="167"/>
        <v>3.0892373714008046E-12</v>
      </c>
      <c r="BG196" s="20">
        <f t="shared" si="168"/>
        <v>5.7742528562540137E-12</v>
      </c>
      <c r="BH196" s="59">
        <f t="shared" ref="BH196:BH203" si="194">BG196+(AY196+AZ196)*44/12</f>
        <v>293.33333333333911</v>
      </c>
      <c r="BI196" s="59">
        <f ca="1">AVERAGE(OFFSET($BH$3,0,0,'Données projet'!$E$11+1,1))-AVERAGE(OFFSET($H$3,0,0,'Données projet'!$E$11+1,1))</f>
        <v>111.85541298746966</v>
      </c>
      <c r="BJ196" s="59">
        <f t="shared" si="146"/>
        <v>27.56942482401746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36.112933674645454</v>
      </c>
      <c r="BQ196" s="21">
        <f>EXP(-LN(2)/25)*BQ195+(1-EXP(-LN(2)/25))/(LN(2)/25)*Calculateur!BL196*Calculateur!BN196*VLOOKUP('Données projet'!$B$11,Paramètres!$A$1:$I$89,3,0)*0.475*44/12</f>
        <v>5.8034179494336469</v>
      </c>
      <c r="BR196" s="21">
        <f>EXP(-LN(2)/2)*BR195+(1-EXP(-LN(2)/2))/(LN(2)/2)*BL196*BO196*VLOOKUP('Données projet'!$B$11,Paramètres!$A$1:$I$89,3,0)*0.475*44/12</f>
        <v>5.577926344856953E-7</v>
      </c>
      <c r="BS196" s="22">
        <f t="shared" si="169"/>
        <v>41.91635218187173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253.62423410951334</v>
      </c>
      <c r="CE196" s="59">
        <f t="shared" si="148"/>
        <v>230.93438491511529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18.420373404934406</v>
      </c>
      <c r="CL196" s="21">
        <f>EXP(-LN(2)/25)*CL195+(1-EXP(-LN(2)/25))/(LN(2)/25)*Calculateur!CG196*Calculateur!CI196*VLOOKUP('Données projet'!$B$12,Paramètres!$A$1:$I$89,3,0)*0.475*44/12</f>
        <v>1.8309506849770827</v>
      </c>
      <c r="CM196" s="21">
        <f>EXP(-LN(2)/2)*CM195+(1-EXP(-LN(2)/2))/(LN(2)/2)*CG196*CJ196*VLOOKUP('Données projet'!$B$12,Paramètres!$A$1:$I$89,3,0)*0.475*44/12</f>
        <v>1.2214939166354468E-17</v>
      </c>
      <c r="CN196" s="22">
        <f t="shared" si="172"/>
        <v>20.251324089911488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-7.3896444519050419E-13</v>
      </c>
      <c r="O197" s="13">
        <f>N197*VLOOKUP('Données projet'!$B$9,Paramètres!$A$1:$I$89,3,0)*VLOOKUP('Données projet'!$B$9,Paramètres!$A$1:$I$89,5,0)</f>
        <v>-3.4583536034915594E-13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190.74210845597287</v>
      </c>
      <c r="T197" s="59">
        <f t="shared" ref="T197:T203" si="204">$T$3</f>
        <v>131.88015896015884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26.873233758987674</v>
      </c>
      <c r="AA197" s="21">
        <f>EXP(-LN(2)/25)*AA196+(1-EXP(-LN(2)/25))/(LN(2)/25)*Calculateur!V197*Calculateur!X197*VLOOKUP('Données projet'!$B$9,Paramètres!$A$1:$I$89,3,0)*0.475*44/12</f>
        <v>3.1012602194084167</v>
      </c>
      <c r="AB197" s="21">
        <f>EXP(-LN(2)/2)*AB196+(1-EXP(-LN(2)/2))/(LN(2)/2)*V197*Y197*VLOOKUP('Données projet'!$B$9,Paramètres!$A$1:$I$89,3,0)*0.475*44/12</f>
        <v>2.2136343247118845E-13</v>
      </c>
      <c r="AC197" s="22">
        <f t="shared" si="163"/>
        <v>29.97449397839631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-6.3550942286383367E-14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278.5296012747549</v>
      </c>
      <c r="AO197" s="59">
        <f t="shared" ref="AO197:AO203" si="205">$AO$3</f>
        <v>370.55343097937077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14.449411774283011</v>
      </c>
      <c r="AV197" s="21">
        <f>EXP(-LN(2)/25)*AV196+(1-EXP(-LN(2)/25))/(LN(2)/25)*Calculateur!AQ197*Calculateur!AS197*VLOOKUP('Données projet'!$B$10,Paramètres!$A$1:$I$89,3,0)*0.475*44/12</f>
        <v>1.2211066954516996</v>
      </c>
      <c r="AW197" s="21">
        <f>EXP(-LN(2)/2)*AW196+(1-EXP(-LN(2)/2))/(LN(2)/2)*AQ197*AT197*VLOOKUP('Données projet'!$B$10,Paramètres!$A$1:$I$89,3,0)*0.475*44/12</f>
        <v>4.0921330105332064E-20</v>
      </c>
      <c r="AX197" s="21">
        <f t="shared" si="166"/>
        <v>15.670518469734709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2.2612312022829429E-13</v>
      </c>
      <c r="BF197" s="13">
        <f t="shared" si="167"/>
        <v>3.0892373714008046E-12</v>
      </c>
      <c r="BG197" s="20">
        <f t="shared" si="168"/>
        <v>5.7742528562540137E-12</v>
      </c>
      <c r="BH197" s="59">
        <f t="shared" si="194"/>
        <v>293.33333333333911</v>
      </c>
      <c r="BI197" s="59">
        <f ca="1">AVERAGE(OFFSET($BH$3,0,0,'Données projet'!$E$11+1,1))-AVERAGE(OFFSET($H$3,0,0,'Données projet'!$E$11+1,1))</f>
        <v>111.85541298746966</v>
      </c>
      <c r="BJ197" s="59">
        <f t="shared" ref="BJ197:BJ203" si="206">$BJ$3</f>
        <v>27.56942482401746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35.40478107200024</v>
      </c>
      <c r="BQ197" s="21">
        <f>EXP(-LN(2)/25)*BQ196+(1-EXP(-LN(2)/25))/(LN(2)/25)*Calculateur!BL197*Calculateur!BN197*VLOOKUP('Données projet'!$B$11,Paramètres!$A$1:$I$89,3,0)*0.475*44/12</f>
        <v>5.6447231804178974</v>
      </c>
      <c r="BR197" s="21">
        <f>EXP(-LN(2)/2)*BR196+(1-EXP(-LN(2)/2))/(LN(2)/2)*BL197*BO197*VLOOKUP('Données projet'!$B$11,Paramètres!$A$1:$I$89,3,0)*0.475*44/12</f>
        <v>3.9441895434074444E-7</v>
      </c>
      <c r="BS197" s="22">
        <f t="shared" si="169"/>
        <v>41.049504646837093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253.62423410951334</v>
      </c>
      <c r="CE197" s="59">
        <f t="shared" ref="CE197:CE203" si="207">$CE$3</f>
        <v>230.93438491511529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18.059161117782022</v>
      </c>
      <c r="CL197" s="21">
        <f>EXP(-LN(2)/25)*CL196+(1-EXP(-LN(2)/25))/(LN(2)/25)*Calculateur!CG197*Calculateur!CI197*VLOOKUP('Données projet'!$B$12,Paramètres!$A$1:$I$89,3,0)*0.475*44/12</f>
        <v>1.7808832422108725</v>
      </c>
      <c r="CM197" s="21">
        <f>EXP(-LN(2)/2)*CM196+(1-EXP(-LN(2)/2))/(LN(2)/2)*CG197*CJ197*VLOOKUP('Données projet'!$B$12,Paramètres!$A$1:$I$89,3,0)*0.475*44/12</f>
        <v>8.6372663163103975E-18</v>
      </c>
      <c r="CN197" s="22">
        <f t="shared" si="172"/>
        <v>19.840044359992895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-7.3896444519050419E-13</v>
      </c>
      <c r="O198" s="13">
        <f>N198*VLOOKUP('Données projet'!$B$9,Paramètres!$A$1:$I$89,3,0)*VLOOKUP('Données projet'!$B$9,Paramètres!$A$1:$I$89,5,0)</f>
        <v>-3.4583536034915594E-13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190.74210845597287</v>
      </c>
      <c r="T198" s="59">
        <f t="shared" si="204"/>
        <v>131.88015896015884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26.346266036028037</v>
      </c>
      <c r="AA198" s="21">
        <f>EXP(-LN(2)/25)*AA197+(1-EXP(-LN(2)/25))/(LN(2)/25)*Calculateur!V198*Calculateur!X198*VLOOKUP('Données projet'!$B$9,Paramètres!$A$1:$I$89,3,0)*0.475*44/12</f>
        <v>3.0164560956205064</v>
      </c>
      <c r="AB198" s="21">
        <f>EXP(-LN(2)/2)*AB197+(1-EXP(-LN(2)/2))/(LN(2)/2)*V198*Y198*VLOOKUP('Données projet'!$B$9,Paramètres!$A$1:$I$89,3,0)*0.475*44/12</f>
        <v>1.5652758420710774E-13</v>
      </c>
      <c r="AC198" s="22">
        <f t="shared" si="163"/>
        <v>29.362722131648699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-6.3550942286383367E-14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278.5296012747549</v>
      </c>
      <c r="AO198" s="59">
        <f t="shared" si="205"/>
        <v>370.55343097937077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14.166067622660265</v>
      </c>
      <c r="AV198" s="21">
        <f>EXP(-LN(2)/25)*AV197+(1-EXP(-LN(2)/25))/(LN(2)/25)*Calculateur!AQ198*Calculateur!AS198*VLOOKUP('Données projet'!$B$10,Paramètres!$A$1:$I$89,3,0)*0.475*44/12</f>
        <v>1.1877154686493627</v>
      </c>
      <c r="AW198" s="21">
        <f>EXP(-LN(2)/2)*AW197+(1-EXP(-LN(2)/2))/(LN(2)/2)*AQ198*AT198*VLOOKUP('Données projet'!$B$10,Paramètres!$A$1:$I$89,3,0)*0.475*44/12</f>
        <v>2.893575001265352E-20</v>
      </c>
      <c r="AX198" s="21">
        <f t="shared" si="166"/>
        <v>15.353783091309626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2.2612312022829429E-13</v>
      </c>
      <c r="BF198" s="13">
        <f t="shared" si="167"/>
        <v>3.0892373714008046E-12</v>
      </c>
      <c r="BG198" s="20">
        <f t="shared" si="168"/>
        <v>5.7742528562540137E-12</v>
      </c>
      <c r="BH198" s="59">
        <f t="shared" si="194"/>
        <v>293.33333333333911</v>
      </c>
      <c r="BI198" s="59">
        <f ca="1">AVERAGE(OFFSET($BH$3,0,0,'Données projet'!$E$11+1,1))-AVERAGE(OFFSET($H$3,0,0,'Données projet'!$E$11+1,1))</f>
        <v>111.85541298746966</v>
      </c>
      <c r="BJ198" s="59">
        <f t="shared" si="206"/>
        <v>27.56942482401746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34.710514909962463</v>
      </c>
      <c r="BQ198" s="21">
        <f>EXP(-LN(2)/25)*BQ197+(1-EXP(-LN(2)/25))/(LN(2)/25)*Calculateur!BL198*Calculateur!BN198*VLOOKUP('Données projet'!$B$11,Paramètres!$A$1:$I$89,3,0)*0.475*44/12</f>
        <v>5.4903679282062789</v>
      </c>
      <c r="BR198" s="21">
        <f>EXP(-LN(2)/2)*BR197+(1-EXP(-LN(2)/2))/(LN(2)/2)*BL198*BO198*VLOOKUP('Données projet'!$B$11,Paramètres!$A$1:$I$89,3,0)*0.475*44/12</f>
        <v>2.7889631724284765E-7</v>
      </c>
      <c r="BS198" s="22">
        <f t="shared" si="169"/>
        <v>40.200883117065054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253.62423410951334</v>
      </c>
      <c r="CE198" s="59">
        <f t="shared" si="207"/>
        <v>230.93438491511529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17.705031983262959</v>
      </c>
      <c r="CL198" s="21">
        <f>EXP(-LN(2)/25)*CL197+(1-EXP(-LN(2)/25))/(LN(2)/25)*Calculateur!CG198*Calculateur!CI198*VLOOKUP('Données projet'!$B$12,Paramètres!$A$1:$I$89,3,0)*0.475*44/12</f>
        <v>1.7321848963000368</v>
      </c>
      <c r="CM198" s="21">
        <f>EXP(-LN(2)/2)*CM197+(1-EXP(-LN(2)/2))/(LN(2)/2)*CG198*CJ198*VLOOKUP('Données projet'!$B$12,Paramètres!$A$1:$I$89,3,0)*0.475*44/12</f>
        <v>6.1074695831772338E-18</v>
      </c>
      <c r="CN198" s="22">
        <f t="shared" si="172"/>
        <v>19.437216879562996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-7.3896444519050419E-13</v>
      </c>
      <c r="O199" s="13">
        <f>N199*VLOOKUP('Données projet'!$B$9,Paramètres!$A$1:$I$89,3,0)*VLOOKUP('Données projet'!$B$9,Paramètres!$A$1:$I$89,5,0)</f>
        <v>-3.4583536034915594E-13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190.74210845597287</v>
      </c>
      <c r="T199" s="59">
        <f t="shared" si="204"/>
        <v>131.88015896015884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25.829631828697064</v>
      </c>
      <c r="AA199" s="21">
        <f>EXP(-LN(2)/25)*AA198+(1-EXP(-LN(2)/25))/(LN(2)/25)*Calculateur!V199*Calculateur!X199*VLOOKUP('Données projet'!$B$9,Paramètres!$A$1:$I$89,3,0)*0.475*44/12</f>
        <v>2.933970945057232</v>
      </c>
      <c r="AB199" s="21">
        <f>EXP(-LN(2)/2)*AB198+(1-EXP(-LN(2)/2))/(LN(2)/2)*V199*Y199*VLOOKUP('Données projet'!$B$9,Paramètres!$A$1:$I$89,3,0)*0.475*44/12</f>
        <v>1.1068171623559423E-13</v>
      </c>
      <c r="AC199" s="22">
        <f t="shared" si="163"/>
        <v>28.763602773754407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-6.3550942286383367E-14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278.5296012747549</v>
      </c>
      <c r="AO199" s="59">
        <f t="shared" si="205"/>
        <v>370.55343097937077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13.888279677027974</v>
      </c>
      <c r="AV199" s="21">
        <f>EXP(-LN(2)/25)*AV198+(1-EXP(-LN(2)/25))/(LN(2)/25)*Calculateur!AQ199*Calculateur!AS199*VLOOKUP('Données projet'!$B$10,Paramètres!$A$1:$I$89,3,0)*0.475*44/12</f>
        <v>1.1552373266999039</v>
      </c>
      <c r="AW199" s="21">
        <f>EXP(-LN(2)/2)*AW198+(1-EXP(-LN(2)/2))/(LN(2)/2)*AQ199*AT199*VLOOKUP('Données projet'!$B$10,Paramètres!$A$1:$I$89,3,0)*0.475*44/12</f>
        <v>2.0460665052666032E-20</v>
      </c>
      <c r="AX199" s="21">
        <f t="shared" si="166"/>
        <v>15.043517003727878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2.2612312022829429E-13</v>
      </c>
      <c r="BF199" s="13">
        <f t="shared" si="167"/>
        <v>3.0892373714008046E-12</v>
      </c>
      <c r="BG199" s="20">
        <f t="shared" si="168"/>
        <v>5.7742528562540137E-12</v>
      </c>
      <c r="BH199" s="59">
        <f t="shared" si="194"/>
        <v>293.33333333333911</v>
      </c>
      <c r="BI199" s="59">
        <f ca="1">AVERAGE(OFFSET($BH$3,0,0,'Données projet'!$E$11+1,1))-AVERAGE(OFFSET($H$3,0,0,'Données projet'!$E$11+1,1))</f>
        <v>111.85541298746966</v>
      </c>
      <c r="BJ199" s="59">
        <f t="shared" si="206"/>
        <v>27.56942482401746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34.0298628839017</v>
      </c>
      <c r="BQ199" s="21">
        <f>EXP(-LN(2)/25)*BQ198+(1-EXP(-LN(2)/25))/(LN(2)/25)*Calculateur!BL199*Calculateur!BN199*VLOOKUP('Données projet'!$B$11,Paramètres!$A$1:$I$89,3,0)*0.475*44/12</f>
        <v>5.3402335284835774</v>
      </c>
      <c r="BR199" s="21">
        <f>EXP(-LN(2)/2)*BR198+(1-EXP(-LN(2)/2))/(LN(2)/2)*BL199*BO199*VLOOKUP('Données projet'!$B$11,Paramètres!$A$1:$I$89,3,0)*0.475*44/12</f>
        <v>1.9720947717037222E-7</v>
      </c>
      <c r="BS199" s="22">
        <f t="shared" si="169"/>
        <v>39.370096609594754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253.62423410951334</v>
      </c>
      <c r="CE199" s="59">
        <f t="shared" si="207"/>
        <v>230.93438491511529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17.35784710507437</v>
      </c>
      <c r="CL199" s="21">
        <f>EXP(-LN(2)/25)*CL198+(1-EXP(-LN(2)/25))/(LN(2)/25)*Calculateur!CG199*Calculateur!CI199*VLOOKUP('Données projet'!$B$12,Paramètres!$A$1:$I$89,3,0)*0.475*44/12</f>
        <v>1.6848182092190676</v>
      </c>
      <c r="CM199" s="21">
        <f>EXP(-LN(2)/2)*CM198+(1-EXP(-LN(2)/2))/(LN(2)/2)*CG199*CJ199*VLOOKUP('Données projet'!$B$12,Paramètres!$A$1:$I$89,3,0)*0.475*44/12</f>
        <v>4.3186331581551988E-18</v>
      </c>
      <c r="CN199" s="22">
        <f t="shared" si="172"/>
        <v>19.042665314293437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-7.3896444519050419E-13</v>
      </c>
      <c r="O200" s="13">
        <f>N200*VLOOKUP('Données projet'!$B$9,Paramètres!$A$1:$I$89,3,0)*VLOOKUP('Données projet'!$B$9,Paramètres!$A$1:$I$89,5,0)</f>
        <v>-3.4583536034915594E-13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190.74210845597287</v>
      </c>
      <c r="T200" s="59">
        <f t="shared" si="204"/>
        <v>131.88015896015884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25.3231285030561</v>
      </c>
      <c r="AA200" s="21">
        <f>EXP(-LN(2)/25)*AA199+(1-EXP(-LN(2)/25))/(LN(2)/25)*Calculateur!V200*Calculateur!X200*VLOOKUP('Données projet'!$B$9,Paramètres!$A$1:$I$89,3,0)*0.475*44/12</f>
        <v>2.8537413552738156</v>
      </c>
      <c r="AB200" s="21">
        <f>EXP(-LN(2)/2)*AB199+(1-EXP(-LN(2)/2))/(LN(2)/2)*V200*Y200*VLOOKUP('Données projet'!$B$9,Paramètres!$A$1:$I$89,3,0)*0.475*44/12</f>
        <v>7.826379210355387E-14</v>
      </c>
      <c r="AC200" s="22">
        <f t="shared" si="163"/>
        <v>28.176869858329994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-6.3550942286383367E-14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278.5296012747549</v>
      </c>
      <c r="AO200" s="59">
        <f t="shared" si="205"/>
        <v>370.55343097937077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13.615938983575615</v>
      </c>
      <c r="AV200" s="21">
        <f>EXP(-LN(2)/25)*AV199+(1-EXP(-LN(2)/25))/(LN(2)/25)*Calculateur!AQ200*Calculateur!AS200*VLOOKUP('Données projet'!$B$10,Paramètres!$A$1:$I$89,3,0)*0.475*44/12</f>
        <v>1.1236473012500043</v>
      </c>
      <c r="AW200" s="21">
        <f>EXP(-LN(2)/2)*AW199+(1-EXP(-LN(2)/2))/(LN(2)/2)*AQ200*AT200*VLOOKUP('Données projet'!$B$10,Paramètres!$A$1:$I$89,3,0)*0.475*44/12</f>
        <v>1.446787500632676E-20</v>
      </c>
      <c r="AX200" s="21">
        <f t="shared" si="166"/>
        <v>14.73958628482562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2.2612312022829429E-13</v>
      </c>
      <c r="BF200" s="13">
        <f t="shared" si="167"/>
        <v>3.0892373714008046E-12</v>
      </c>
      <c r="BG200" s="20">
        <f t="shared" si="168"/>
        <v>5.7742528562540137E-12</v>
      </c>
      <c r="BH200" s="59">
        <f t="shared" si="194"/>
        <v>293.33333333333911</v>
      </c>
      <c r="BI200" s="59">
        <f ca="1">AVERAGE(OFFSET($BH$3,0,0,'Données projet'!$E$11+1,1))-AVERAGE(OFFSET($H$3,0,0,'Données projet'!$E$11+1,1))</f>
        <v>111.85541298746966</v>
      </c>
      <c r="BJ200" s="59">
        <f t="shared" si="206"/>
        <v>27.56942482401746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33.362558028915245</v>
      </c>
      <c r="BQ200" s="21">
        <f>EXP(-LN(2)/25)*BQ199+(1-EXP(-LN(2)/25))/(LN(2)/25)*Calculateur!BL200*Calculateur!BN200*VLOOKUP('Données projet'!$B$11,Paramètres!$A$1:$I$89,3,0)*0.475*44/12</f>
        <v>5.1942045618165178</v>
      </c>
      <c r="BR200" s="21">
        <f>EXP(-LN(2)/2)*BR199+(1-EXP(-LN(2)/2))/(LN(2)/2)*BL200*BO200*VLOOKUP('Données projet'!$B$11,Paramètres!$A$1:$I$89,3,0)*0.475*44/12</f>
        <v>1.3944815862142383E-7</v>
      </c>
      <c r="BS200" s="22">
        <f t="shared" si="169"/>
        <v>38.556762730179926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253.62423410951334</v>
      </c>
      <c r="CE200" s="59">
        <f t="shared" si="207"/>
        <v>230.93438491511529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17.017470310585193</v>
      </c>
      <c r="CL200" s="21">
        <f>EXP(-LN(2)/25)*CL199+(1-EXP(-LN(2)/25))/(LN(2)/25)*Calculateur!CG200*Calculateur!CI200*VLOOKUP('Données projet'!$B$12,Paramètres!$A$1:$I$89,3,0)*0.475*44/12</f>
        <v>1.6387467666872333</v>
      </c>
      <c r="CM200" s="21">
        <f>EXP(-LN(2)/2)*CM199+(1-EXP(-LN(2)/2))/(LN(2)/2)*CG200*CJ200*VLOOKUP('Données projet'!$B$12,Paramètres!$A$1:$I$89,3,0)*0.475*44/12</f>
        <v>3.0537347915886169E-18</v>
      </c>
      <c r="CN200" s="22">
        <f t="shared" si="172"/>
        <v>18.656217077272427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-7.3896444519050419E-13</v>
      </c>
      <c r="O201" s="13">
        <f>N201*VLOOKUP('Données projet'!$B$9,Paramètres!$A$1:$I$89,3,0)*VLOOKUP('Données projet'!$B$9,Paramètres!$A$1:$I$89,5,0)</f>
        <v>-3.4583536034915594E-13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190.74210845597287</v>
      </c>
      <c r="T201" s="59">
        <f t="shared" si="204"/>
        <v>131.88015896015884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24.826557398694433</v>
      </c>
      <c r="AA201" s="21">
        <f>EXP(-LN(2)/25)*AA200+(1-EXP(-LN(2)/25))/(LN(2)/25)*Calculateur!V201*Calculateur!X201*VLOOKUP('Données projet'!$B$9,Paramètres!$A$1:$I$89,3,0)*0.475*44/12</f>
        <v>2.7757056478421176</v>
      </c>
      <c r="AB201" s="21">
        <f>EXP(-LN(2)/2)*AB200+(1-EXP(-LN(2)/2))/(LN(2)/2)*V201*Y201*VLOOKUP('Données projet'!$B$9,Paramètres!$A$1:$I$89,3,0)*0.475*44/12</f>
        <v>5.5340858117797113E-14</v>
      </c>
      <c r="AC201" s="22">
        <f t="shared" si="163"/>
        <v>27.602263046536606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-6.3550942286383367E-14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278.5296012747549</v>
      </c>
      <c r="AO201" s="59">
        <f t="shared" si="205"/>
        <v>370.55343097937077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13.348938725010436</v>
      </c>
      <c r="AV201" s="21">
        <f>EXP(-LN(2)/25)*AV200+(1-EXP(-LN(2)/25))/(LN(2)/25)*Calculateur!AQ201*Calculateur!AS201*VLOOKUP('Données projet'!$B$10,Paramètres!$A$1:$I$89,3,0)*0.475*44/12</f>
        <v>1.0929211067072795</v>
      </c>
      <c r="AW201" s="21">
        <f>EXP(-LN(2)/2)*AW200+(1-EXP(-LN(2)/2))/(LN(2)/2)*AQ201*AT201*VLOOKUP('Données projet'!$B$10,Paramètres!$A$1:$I$89,3,0)*0.475*44/12</f>
        <v>1.0230332526333016E-20</v>
      </c>
      <c r="AX201" s="21">
        <f t="shared" si="166"/>
        <v>14.441859831717716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2.2612312022829429E-13</v>
      </c>
      <c r="BF201" s="13">
        <f t="shared" si="167"/>
        <v>3.0892373714008046E-12</v>
      </c>
      <c r="BG201" s="20">
        <f t="shared" si="168"/>
        <v>5.7742528562540137E-12</v>
      </c>
      <c r="BH201" s="59">
        <f t="shared" si="194"/>
        <v>293.33333333333911</v>
      </c>
      <c r="BI201" s="59">
        <f ca="1">AVERAGE(OFFSET($BH$3,0,0,'Données projet'!$E$11+1,1))-AVERAGE(OFFSET($H$3,0,0,'Données projet'!$E$11+1,1))</f>
        <v>111.85541298746966</v>
      </c>
      <c r="BJ201" s="59">
        <f t="shared" si="206"/>
        <v>27.56942482401746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32.708338615119303</v>
      </c>
      <c r="BQ201" s="21">
        <f>EXP(-LN(2)/25)*BQ200+(1-EXP(-LN(2)/25))/(LN(2)/25)*Calculateur!BL201*Calculateur!BN201*VLOOKUP('Données projet'!$B$11,Paramètres!$A$1:$I$89,3,0)*0.475*44/12</f>
        <v>5.0521687649222988</v>
      </c>
      <c r="BR201" s="21">
        <f>EXP(-LN(2)/2)*BR200+(1-EXP(-LN(2)/2))/(LN(2)/2)*BL201*BO201*VLOOKUP('Données projet'!$B$11,Paramètres!$A$1:$I$89,3,0)*0.475*44/12</f>
        <v>9.860473858518611E-8</v>
      </c>
      <c r="BS201" s="22">
        <f t="shared" si="169"/>
        <v>37.760507478646339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253.62423410951334</v>
      </c>
      <c r="CE201" s="59">
        <f t="shared" si="207"/>
        <v>230.93438491511529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16.683768097426604</v>
      </c>
      <c r="CL201" s="21">
        <f>EXP(-LN(2)/25)*CL200+(1-EXP(-LN(2)/25))/(LN(2)/25)*Calculateur!CG201*Calculateur!CI201*VLOOKUP('Données projet'!$B$12,Paramètres!$A$1:$I$89,3,0)*0.475*44/12</f>
        <v>1.5939351501742238</v>
      </c>
      <c r="CM201" s="21">
        <f>EXP(-LN(2)/2)*CM200+(1-EXP(-LN(2)/2))/(LN(2)/2)*CG201*CJ201*VLOOKUP('Données projet'!$B$12,Paramètres!$A$1:$I$89,3,0)*0.475*44/12</f>
        <v>2.1593165790775994E-18</v>
      </c>
      <c r="CN201" s="22">
        <f t="shared" si="172"/>
        <v>18.277703247600829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-7.3896444519050419E-13</v>
      </c>
      <c r="O202" s="13">
        <f>N202*VLOOKUP('Données projet'!$B$9,Paramètres!$A$1:$I$89,3,0)*VLOOKUP('Données projet'!$B$9,Paramètres!$A$1:$I$89,5,0)</f>
        <v>-3.4583536034915594E-13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190.74210845597287</v>
      </c>
      <c r="T202" s="59">
        <f t="shared" si="204"/>
        <v>131.88015896015884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24.33972375081083</v>
      </c>
      <c r="AA202" s="21">
        <f>EXP(-LN(2)/25)*AA201+(1-EXP(-LN(2)/25))/(LN(2)/25)*Calculateur!V202*Calculateur!X202*VLOOKUP('Données projet'!$B$9,Paramètres!$A$1:$I$89,3,0)*0.475*44/12</f>
        <v>2.6998038309338588</v>
      </c>
      <c r="AB202" s="21">
        <f>EXP(-LN(2)/2)*AB201+(1-EXP(-LN(2)/2))/(LN(2)/2)*V202*Y202*VLOOKUP('Données projet'!$B$9,Paramètres!$A$1:$I$89,3,0)*0.475*44/12</f>
        <v>3.9131896051776935E-14</v>
      </c>
      <c r="AC202" s="22">
        <f t="shared" si="163"/>
        <v>27.039527581744728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-6.3550942286383367E-14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278.5296012747549</v>
      </c>
      <c r="AO202" s="59">
        <f t="shared" si="205"/>
        <v>370.55343097937077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13.087174178661643</v>
      </c>
      <c r="AV202" s="21">
        <f>EXP(-LN(2)/25)*AV201+(1-EXP(-LN(2)/25))/(LN(2)/25)*Calculateur!AQ202*Calculateur!AS202*VLOOKUP('Données projet'!$B$10,Paramètres!$A$1:$I$89,3,0)*0.475*44/12</f>
        <v>1.0630351215701459</v>
      </c>
      <c r="AW202" s="21">
        <f>EXP(-LN(2)/2)*AW201+(1-EXP(-LN(2)/2))/(LN(2)/2)*AQ202*AT202*VLOOKUP('Données projet'!$B$10,Paramètres!$A$1:$I$89,3,0)*0.475*44/12</f>
        <v>7.2339375031633799E-21</v>
      </c>
      <c r="AX202" s="21">
        <f t="shared" si="166"/>
        <v>14.150209300231788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2.2612312022829429E-13</v>
      </c>
      <c r="BF202" s="13">
        <f t="shared" si="167"/>
        <v>3.0892373714008046E-12</v>
      </c>
      <c r="BG202" s="20">
        <f t="shared" si="168"/>
        <v>5.7742528562540137E-12</v>
      </c>
      <c r="BH202" s="59">
        <f t="shared" si="194"/>
        <v>293.33333333333911</v>
      </c>
      <c r="BI202" s="59">
        <f ca="1">AVERAGE(OFFSET($BH$3,0,0,'Données projet'!$E$11+1,1))-AVERAGE(OFFSET($H$3,0,0,'Données projet'!$E$11+1,1))</f>
        <v>111.85541298746966</v>
      </c>
      <c r="BJ202" s="59">
        <f t="shared" si="206"/>
        <v>27.56942482401746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32.06694804499346</v>
      </c>
      <c r="BQ202" s="21">
        <f>EXP(-LN(2)/25)*BQ201+(1-EXP(-LN(2)/25))/(LN(2)/25)*Calculateur!BL202*Calculateur!BN202*VLOOKUP('Données projet'!$B$11,Paramètres!$A$1:$I$89,3,0)*0.475*44/12</f>
        <v>4.9140169443634898</v>
      </c>
      <c r="BR202" s="21">
        <f>EXP(-LN(2)/2)*BR201+(1-EXP(-LN(2)/2))/(LN(2)/2)*BL202*BO202*VLOOKUP('Données projet'!$B$11,Paramètres!$A$1:$I$89,3,0)*0.475*44/12</f>
        <v>6.9724079310711913E-8</v>
      </c>
      <c r="BS202" s="22">
        <f t="shared" si="169"/>
        <v>36.980965059081029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253.62423410951334</v>
      </c>
      <c r="CE202" s="59">
        <f t="shared" si="207"/>
        <v>230.93438491511529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16.356609581129803</v>
      </c>
      <c r="CL202" s="21">
        <f>EXP(-LN(2)/25)*CL201+(1-EXP(-LN(2)/25))/(LN(2)/25)*Calculateur!CG202*Calculateur!CI202*VLOOKUP('Données projet'!$B$12,Paramètres!$A$1:$I$89,3,0)*0.475*44/12</f>
        <v>1.550348909671303</v>
      </c>
      <c r="CM202" s="21">
        <f>EXP(-LN(2)/2)*CM201+(1-EXP(-LN(2)/2))/(LN(2)/2)*CG202*CJ202*VLOOKUP('Données projet'!$B$12,Paramètres!$A$1:$I$89,3,0)*0.475*44/12</f>
        <v>1.5268673957943084E-18</v>
      </c>
      <c r="CN202" s="22">
        <f t="shared" si="172"/>
        <v>17.906958490801106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-7.3896444519050419E-13</v>
      </c>
      <c r="O203" s="13">
        <f>N203*VLOOKUP('Données projet'!$B$9,Paramètres!$A$1:$I$89,3,0)*VLOOKUP('Données projet'!$B$9,Paramètres!$A$1:$I$89,5,0)</f>
        <v>-3.4583536034915594E-13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190.74210845597287</v>
      </c>
      <c r="T203" s="59">
        <f t="shared" si="204"/>
        <v>131.88015896015884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23.862436613823022</v>
      </c>
      <c r="AA203" s="21">
        <f>EXP(-LN(2)/25)*AA202+(1-EXP(-LN(2)/25))/(LN(2)/25)*Calculateur!V203*Calculateur!X203*VLOOKUP('Données projet'!$B$9,Paramètres!$A$1:$I$89,3,0)*0.475*44/12</f>
        <v>2.6259775532004594</v>
      </c>
      <c r="AB203" s="21">
        <f>EXP(-LN(2)/2)*AB202+(1-EXP(-LN(2)/2))/(LN(2)/2)*V203*Y203*VLOOKUP('Données projet'!$B$9,Paramètres!$A$1:$I$89,3,0)*0.475*44/12</f>
        <v>2.7670429058898557E-14</v>
      </c>
      <c r="AC203" s="22">
        <f t="shared" si="163"/>
        <v>26.48841416702351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-6.3550942286383367E-14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278.5296012747549</v>
      </c>
      <c r="AO203" s="59">
        <f t="shared" si="205"/>
        <v>370.55343097937077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12.830542675406141</v>
      </c>
      <c r="AV203" s="21">
        <f>EXP(-LN(2)/25)*AV202+(1-EXP(-LN(2)/25))/(LN(2)/25)*Calculateur!AQ203*Calculateur!AS203*VLOOKUP('Données projet'!$B$10,Paramètres!$A$1:$I$89,3,0)*0.475*44/12</f>
        <v>1.0339663702682229</v>
      </c>
      <c r="AW203" s="21">
        <f>EXP(-LN(2)/2)*AW202+(1-EXP(-LN(2)/2))/(LN(2)/2)*AQ203*AT203*VLOOKUP('Données projet'!$B$10,Paramètres!$A$1:$I$89,3,0)*0.475*44/12</f>
        <v>5.115166263166508E-21</v>
      </c>
      <c r="AX203" s="21">
        <f t="shared" si="166"/>
        <v>13.864509045674364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2.2612312022829429E-13</v>
      </c>
      <c r="BF203" s="13">
        <f t="shared" si="167"/>
        <v>3.0892373714008046E-12</v>
      </c>
      <c r="BG203" s="20">
        <f t="shared" si="168"/>
        <v>5.7742528562540137E-12</v>
      </c>
      <c r="BH203" s="59">
        <f t="shared" si="194"/>
        <v>293.33333333333911</v>
      </c>
      <c r="BI203" s="59">
        <f ca="1">AVERAGE(OFFSET($BH$3,0,0,'Données projet'!$E$11+1,1))-AVERAGE(OFFSET($H$3,0,0,'Données projet'!$E$11+1,1))</f>
        <v>111.85541298746966</v>
      </c>
      <c r="BJ203" s="59">
        <f t="shared" si="206"/>
        <v>27.56942482401746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31.438134752738165</v>
      </c>
      <c r="BQ203" s="21">
        <f>EXP(-LN(2)/25)*BQ202+(1-EXP(-LN(2)/25))/(LN(2)/25)*Calculateur!BL203*Calculateur!BN203*VLOOKUP('Données projet'!$B$11,Paramètres!$A$1:$I$89,3,0)*0.475*44/12</f>
        <v>4.7796428926029506</v>
      </c>
      <c r="BR203" s="21">
        <f>EXP(-LN(2)/2)*BR202+(1-EXP(-LN(2)/2))/(LN(2)/2)*BL203*BO203*VLOOKUP('Données projet'!$B$11,Paramètres!$A$1:$I$89,3,0)*0.475*44/12</f>
        <v>4.9302369292593055E-8</v>
      </c>
      <c r="BS203" s="22">
        <f t="shared" si="169"/>
        <v>36.217777694643488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253.62423410951334</v>
      </c>
      <c r="CE203" s="59">
        <f t="shared" si="207"/>
        <v>230.93438491511529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16.035866443790589</v>
      </c>
      <c r="CL203" s="21">
        <f>EXP(-LN(2)/25)*CL202+(1-EXP(-LN(2)/25))/(LN(2)/25)*Calculateur!CG203*Calculateur!CI203*VLOOKUP('Données projet'!$B$12,Paramètres!$A$1:$I$89,3,0)*0.475*44/12</f>
        <v>1.5079545372070355</v>
      </c>
      <c r="CM203" s="21">
        <f>EXP(-LN(2)/2)*CM202+(1-EXP(-LN(2)/2))/(LN(2)/2)*CG203*CJ203*VLOOKUP('Données projet'!$B$12,Paramètres!$A$1:$I$89,3,0)*0.475*44/12</f>
        <v>1.0796582895387997E-18</v>
      </c>
      <c r="CN203" s="22">
        <f t="shared" si="172"/>
        <v>17.543820980997623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1.1840119133911551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1.3356034260773062</v>
      </c>
      <c r="BA205" s="82">
        <f>EXP(LN('Données projet'!B88)/'Données projet'!A88)</f>
        <v>1.1443488482713908</v>
      </c>
      <c r="BV205" s="82">
        <f>EXP(LN('Données projet'!B114)/'Données projet'!A114)</f>
        <v>1.2805631431945952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5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" thickBot="1" x14ac:dyDescent="0.4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 x14ac:dyDescent="0.35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131</v>
      </c>
      <c r="P10" s="121">
        <v>0</v>
      </c>
    </row>
    <row r="11" spans="1:16" ht="15" thickBot="1" x14ac:dyDescent="0.4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159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69</v>
      </c>
      <c r="B24" s="123" t="s">
        <v>160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110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110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110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110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110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110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110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110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110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110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110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110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110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110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110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110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110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110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110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110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110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110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110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110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109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110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110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278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5">
      <c r="A93" s="122" t="s">
        <v>70</v>
      </c>
    </row>
    <row r="94" spans="1:14" x14ac:dyDescent="0.35">
      <c r="A94" s="122" t="s">
        <v>71</v>
      </c>
    </row>
    <row r="95" spans="1:14" x14ac:dyDescent="0.35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L24" sqref="L24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Cèdre de l'Atlas</v>
      </c>
      <c r="B6" s="146">
        <f>'Données projet'!D9</f>
        <v>1.4000000000000001</v>
      </c>
      <c r="C6" s="147">
        <f ca="1">IF(OR('Données projet'!B9="",'Données projet'!C9="",'Données projet'!C9=0%),0,Calculateur!S3)</f>
        <v>190.74210845597287</v>
      </c>
      <c r="D6" s="147">
        <f>IF(OR('Données projet'!B9="",'Données projet'!C9="",'Données projet'!C9=0%),0,Calculateur!T3)</f>
        <v>131.88015896015884</v>
      </c>
      <c r="E6" s="147">
        <f ca="1">MIN(C6,D6)</f>
        <v>131.88015896015884</v>
      </c>
      <c r="F6" s="147">
        <f ca="1">E6*B6</f>
        <v>184.6322225442224</v>
      </c>
      <c r="G6" s="147">
        <f ca="1">F6*(100%-'Données projet'!$C$24)*(100%-'Données projet'!$C$25)*(100%-'Données projet'!$C$26)*(100%-'Données projet'!$C$27)</f>
        <v>166.16900028980015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166.16900028980015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Douglas</v>
      </c>
      <c r="B7" s="154">
        <f>'Données projet'!D10</f>
        <v>2.8499999999999996</v>
      </c>
      <c r="C7" s="147">
        <f ca="1">IF(OR('Données projet'!B10="",'Données projet'!C10="",'Données projet'!C10=0%),0,Calculateur!AN3)</f>
        <v>278.5296012747549</v>
      </c>
      <c r="D7" s="147">
        <f>IF(OR('Données projet'!B10="",'Données projet'!C10="",'Données projet'!C10=0%),0,Calculateur!AO3)</f>
        <v>370.55343097937077</v>
      </c>
      <c r="E7" s="147">
        <f t="shared" ref="E7:E15" ca="1" si="0">MIN(C7,D7)</f>
        <v>278.5296012747549</v>
      </c>
      <c r="F7" s="147">
        <f t="shared" ref="F7:F15" ca="1" si="1">E7*B7</f>
        <v>793.80936363305136</v>
      </c>
      <c r="G7" s="147">
        <f ca="1">F7*(100%-'Données projet'!$C$24)*(100%-'Données projet'!$C$25)*(100%-'Données projet'!$C$26)*(100%-'Données projet'!$C$27)</f>
        <v>714.42842726974629</v>
      </c>
      <c r="H7" s="155">
        <f>IF(OR('Données projet'!B10="",'Données projet'!C10="",'Données projet'!C10=0%),0,AVERAGE(Calculateur!$AX$3:$AX$33)*B7)</f>
        <v>34.805331967430305</v>
      </c>
      <c r="I7" s="149">
        <f>H7*(100%-'Données projet'!$C$24)*(100%-'Données projet'!$C$25)*(100%-'Données projet'!$C$26)*(100%-'Données projet'!$C$27)</f>
        <v>31.324798770687277</v>
      </c>
      <c r="J7" s="150">
        <f>IF(OR('Données projet'!B10="",'Données projet'!C10="",'Données projet'!C10=0%),0,SUM(Calculateur!$AQ$3:$AQ$33)*VLOOKUP('Données projet'!$B$10,Paramètres!$A$1:$I$89,9,0)*B7)</f>
        <v>217.66765384615377</v>
      </c>
      <c r="K7" s="151">
        <f>J7*(100%-'Données projet'!$C$24)*(100%-'Données projet'!$C$25)*(100%-'Données projet'!$C$26)*(100%-'Données projet'!$C$27)</f>
        <v>195.90088846153839</v>
      </c>
      <c r="L7" s="152">
        <f t="shared" ref="L7:L15" ca="1" si="2">G7+I7+K7</f>
        <v>941.65411450197189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Cèdre de l'Atlas</v>
      </c>
      <c r="B8" s="154">
        <f>'Données projet'!D11</f>
        <v>0.25</v>
      </c>
      <c r="C8" s="147">
        <f ca="1">IF(OR('Données projet'!B11="",'Données projet'!C11="",'Données projet'!C11=0%),0,Calculateur!BI3)</f>
        <v>111.85541298746966</v>
      </c>
      <c r="D8" s="147">
        <f>IF(OR('Données projet'!B11="",'Données projet'!C11="",'Données projet'!C11=0%),0,Calculateur!BJ3)</f>
        <v>27.56942482401746</v>
      </c>
      <c r="E8" s="147">
        <f t="shared" ca="1" si="0"/>
        <v>27.56942482401746</v>
      </c>
      <c r="F8" s="147">
        <f t="shared" ca="1" si="1"/>
        <v>6.892356206004365</v>
      </c>
      <c r="G8" s="147">
        <f ca="1">F8*(100%-'Données projet'!$C$24)*(100%-'Données projet'!$C$25)*(100%-'Données projet'!$C$26)*(100%-'Données projet'!$C$27)</f>
        <v>6.2031205854039291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6.2031205854039291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Douglas</v>
      </c>
      <c r="B9" s="154">
        <f>'Données projet'!D12</f>
        <v>0.5</v>
      </c>
      <c r="C9" s="147">
        <f ca="1">IF(OR('Données projet'!B12="",'Données projet'!C12="",'Données projet'!C12=0%),0,Calculateur!CD3)</f>
        <v>253.62423410951334</v>
      </c>
      <c r="D9" s="147">
        <f>IF(OR('Données projet'!B12="",'Données projet'!C12="",'Données projet'!C12=0%),0,Calculateur!CE3)</f>
        <v>230.93438491511529</v>
      </c>
      <c r="E9" s="147">
        <f t="shared" ca="1" si="0"/>
        <v>230.93438491511529</v>
      </c>
      <c r="F9" s="147">
        <f t="shared" ca="1" si="1"/>
        <v>115.46719245755764</v>
      </c>
      <c r="G9" s="147">
        <f ca="1">F9*(100%-'Données projet'!$C$24)*(100%-'Données projet'!$C$25)*(100%-'Données projet'!$C$26)*(100%-'Données projet'!$C$27)</f>
        <v>103.92047321180188</v>
      </c>
      <c r="H9" s="155">
        <f>IF(OR('Données projet'!B12="",'Données projet'!C12="",'Données projet'!C12=0%),0,AVERAGE(Calculateur!$CN$3:$CN$33)*B9)</f>
        <v>4.0700435795425065</v>
      </c>
      <c r="I9" s="149">
        <f>H9*(100%-'Données projet'!$C$24)*(100%-'Données projet'!$C$25)*(100%-'Données projet'!$C$26)*(100%-'Données projet'!$C$27)</f>
        <v>3.6630392215882561</v>
      </c>
      <c r="J9" s="150">
        <f>IF(OR('Données projet'!B12="",'Données projet'!C12="",'Données projet'!C12=0%),0,SUM(Calculateur!$CG$3:$CG$33)*VLOOKUP('Données projet'!$B$12,Paramètres!$A$1:$I$89,9,0)*B9)</f>
        <v>25.388192307692304</v>
      </c>
      <c r="K9" s="151">
        <f>J9*(100%-'Données projet'!$C$24)*(100%-'Données projet'!$C$25)*(100%-'Données projet'!$C$26)*(100%-'Données projet'!$C$27)</f>
        <v>22.849373076923072</v>
      </c>
      <c r="L9" s="152">
        <f t="shared" ca="1" si="2"/>
        <v>130.43288551031321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1100.8011348408359</v>
      </c>
      <c r="G16" s="166">
        <f t="shared" ca="1" si="3"/>
        <v>990.7210213567522</v>
      </c>
      <c r="H16" s="167">
        <f t="shared" si="3"/>
        <v>38.875375546972812</v>
      </c>
      <c r="I16" s="167">
        <f t="shared" si="3"/>
        <v>34.98783799227553</v>
      </c>
      <c r="J16" s="168">
        <f t="shared" si="3"/>
        <v>243.05584615384606</v>
      </c>
      <c r="K16" s="168">
        <f t="shared" si="3"/>
        <v>218.75026153846147</v>
      </c>
      <c r="L16" s="169">
        <f t="shared" ca="1" si="3"/>
        <v>1244.459120887489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7" zoomScale="80" zoomScaleNormal="80" workbookViewId="0">
      <selection activeCell="T23" sqref="T23:V23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293</v>
      </c>
      <c r="I4" s="262"/>
      <c r="K4" s="286" t="s">
        <v>294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6" t="s">
        <v>295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-16393.316715231031</v>
      </c>
      <c r="U10" s="178">
        <f>'Données projet'!D9</f>
        <v>1.4000000000000001</v>
      </c>
      <c r="V10" s="177">
        <f>U10*T10</f>
        <v>-22950.643401323447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-13674.489784792373</v>
      </c>
      <c r="U11" s="178">
        <f>'Données projet'!D10</f>
        <v>2.8499999999999996</v>
      </c>
      <c r="V11" s="177">
        <f t="shared" ref="V11" si="0">U11*T11</f>
        <v>-38972.295886658256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-3013.6646857118617</v>
      </c>
      <c r="U12" s="178">
        <f>'Données projet'!D11</f>
        <v>0.25</v>
      </c>
      <c r="V12" s="177">
        <f t="shared" ref="V12:V19" si="1">U12*T12</f>
        <v>-753.41617142796542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Douglas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667.89900556698092</v>
      </c>
      <c r="U13" s="178">
        <f>'Données projet'!D12</f>
        <v>0.5</v>
      </c>
      <c r="V13" s="177">
        <f t="shared" si="1"/>
        <v>333.94950278349046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74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45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89"/>
      <c r="H16" s="190"/>
      <c r="I16" s="191"/>
      <c r="J16" s="202"/>
      <c r="K16" s="208"/>
      <c r="L16" s="286" t="s">
        <v>312</v>
      </c>
      <c r="M16" s="287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>
        <f>(12352+2880)-(12352+2880)*0.15</f>
        <v>12947.2</v>
      </c>
      <c r="F17" s="230"/>
      <c r="G17" s="289"/>
      <c r="J17" s="202"/>
      <c r="K17" s="208"/>
      <c r="L17" s="259" t="s">
        <v>313</v>
      </c>
      <c r="M17" s="261"/>
      <c r="N17" s="175">
        <f>VLOOKUP(N16,Calculateur!$A$2:$H$153,3,0)/VLOOKUP('Scénario référence'!$G$15,Paramètres!A1:I89,3,0)/VLOOKUP('Scénario référence'!$G$15,Paramètres!A1:I89,5,0)</f>
        <v>60.000000000000085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>
        <f>1650-(1650)*0.15</f>
        <v>1402.5</v>
      </c>
      <c r="F18" s="230"/>
      <c r="G18" s="289"/>
      <c r="J18" s="202"/>
      <c r="K18" s="208"/>
      <c r="L18" s="259" t="s">
        <v>309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>
        <f>1925-(1925)*0.15</f>
        <v>1636.25</v>
      </c>
      <c r="F19" s="230"/>
      <c r="G19" s="289"/>
      <c r="H19" s="212" t="s">
        <v>74</v>
      </c>
      <c r="I19" s="212" t="s">
        <v>314</v>
      </c>
      <c r="J19" s="93"/>
      <c r="K19" s="173"/>
      <c r="L19" s="286" t="s">
        <v>315</v>
      </c>
      <c r="M19" s="287"/>
      <c r="N19" s="179">
        <f>N17*N18</f>
        <v>1800.0000000000025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8147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>
        <f>2475-(2475)*0.15</f>
        <v>2103.75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>
        <v>0</v>
      </c>
      <c r="D23" s="182">
        <f>B23*C23</f>
        <v>0</v>
      </c>
      <c r="E23" s="193">
        <v>150</v>
      </c>
      <c r="F23" s="230"/>
      <c r="H23" s="190"/>
      <c r="I23" s="191"/>
      <c r="K23" s="208"/>
      <c r="L23" s="288" t="s">
        <v>316</v>
      </c>
      <c r="M23" s="288"/>
      <c r="N23" s="288"/>
      <c r="O23" s="23"/>
      <c r="P23" s="23"/>
      <c r="Q23" s="234"/>
      <c r="R23" s="23"/>
      <c r="S23" s="36" t="s">
        <v>317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-101323.26720064532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42</v>
      </c>
      <c r="B24" s="181">
        <f>'Données projet'!D37</f>
        <v>104.98461538461537</v>
      </c>
      <c r="C24" s="193">
        <v>10</v>
      </c>
      <c r="D24" s="182">
        <f t="shared" ref="D24:D42" si="2">B24*C24</f>
        <v>1049.8461538461536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641.60107452665954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50</v>
      </c>
      <c r="B25" s="181">
        <f>'Données projet'!D38</f>
        <v>100.66923076923077</v>
      </c>
      <c r="C25" s="193">
        <v>18</v>
      </c>
      <c r="D25" s="182">
        <f t="shared" si="2"/>
        <v>1812.0461538461539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03">
        <f ca="1">T23-T24</f>
        <v>-101964.86827517198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58</v>
      </c>
      <c r="B26" s="181">
        <f>'Données projet'!D39</f>
        <v>80.315384615384616</v>
      </c>
      <c r="C26" s="193">
        <v>25</v>
      </c>
      <c r="D26" s="182">
        <f t="shared" si="2"/>
        <v>2007.8846153846155</v>
      </c>
      <c r="E26" s="193">
        <v>150</v>
      </c>
      <c r="F26" s="233"/>
      <c r="G26" s="229"/>
      <c r="H26" s="190"/>
      <c r="I26" s="191"/>
      <c r="K26" s="208"/>
      <c r="L26" s="290" t="s">
        <v>321</v>
      </c>
      <c r="M26" s="291"/>
      <c r="N26" s="291"/>
      <c r="O26" s="291"/>
      <c r="P26" s="292"/>
      <c r="Q26" s="234"/>
      <c r="R26" s="23"/>
      <c r="S26" s="186" t="s">
        <v>322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66</v>
      </c>
      <c r="B27" s="181">
        <f>'Données projet'!D40</f>
        <v>79.169230769230765</v>
      </c>
      <c r="C27" s="193">
        <v>35</v>
      </c>
      <c r="D27" s="182">
        <f t="shared" si="2"/>
        <v>2770.9230769230767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323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75</v>
      </c>
      <c r="B28" s="181">
        <f>'Données projet'!D41</f>
        <v>78.307692307692307</v>
      </c>
      <c r="C28" s="193">
        <v>40</v>
      </c>
      <c r="D28" s="182">
        <f t="shared" si="2"/>
        <v>3132.3076923076924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83</v>
      </c>
      <c r="B29" s="181">
        <f>'Données projet'!D42</f>
        <v>79.707692307692312</v>
      </c>
      <c r="C29" s="193">
        <v>45</v>
      </c>
      <c r="D29" s="182">
        <f t="shared" si="2"/>
        <v>3586.8461538461543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91</v>
      </c>
      <c r="B30" s="181">
        <f>'Données projet'!D43</f>
        <v>229.73846153846154</v>
      </c>
      <c r="C30" s="193">
        <v>45</v>
      </c>
      <c r="D30" s="182">
        <f t="shared" si="2"/>
        <v>10338.23076923077</v>
      </c>
      <c r="E30" s="193">
        <v>150</v>
      </c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101</v>
      </c>
      <c r="B31" s="181">
        <f>'Données projet'!D44</f>
        <v>307.60769230769228</v>
      </c>
      <c r="C31" s="193">
        <v>56</v>
      </c>
      <c r="D31" s="182">
        <f t="shared" si="2"/>
        <v>17226.030769230769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45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>
        <f>(12352+2469)-(12352+2469)*0.15</f>
        <v>12597.85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>
        <f>1650-(1650)*0.15</f>
        <v>1402.5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>
        <f>1925-(1925)*0.15</f>
        <v>1636.25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>
        <f>2475-(2475)*0.15</f>
        <v>2103.75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18</v>
      </c>
      <c r="B54" s="181">
        <f>'Données projet'!D62</f>
        <v>69.284615384615378</v>
      </c>
      <c r="C54" s="191">
        <v>10</v>
      </c>
      <c r="D54" s="179">
        <f>B54*C54</f>
        <v>692.84615384615381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42.661538461538463</v>
      </c>
      <c r="C55" s="191">
        <v>10</v>
      </c>
      <c r="D55" s="179">
        <f t="shared" ref="D55:D73" si="4">B55*C55</f>
        <v>426.61538461538464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65.669230769230765</v>
      </c>
      <c r="C56" s="191">
        <v>18</v>
      </c>
      <c r="D56" s="179">
        <f t="shared" si="4"/>
        <v>1182.0461538461539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36</v>
      </c>
      <c r="B57" s="181">
        <f>'Données projet'!D65</f>
        <v>69.3</v>
      </c>
      <c r="C57" s="191">
        <v>25</v>
      </c>
      <c r="D57" s="179">
        <f t="shared" si="4"/>
        <v>1732.5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42</v>
      </c>
      <c r="B58" s="181">
        <f>'Données projet'!D66</f>
        <v>73.392307692307682</v>
      </c>
      <c r="C58" s="191">
        <v>25</v>
      </c>
      <c r="D58" s="179">
        <f t="shared" si="4"/>
        <v>1834.8076923076922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48</v>
      </c>
      <c r="B59" s="181">
        <f>'Données projet'!D67</f>
        <v>81.330769230769235</v>
      </c>
      <c r="C59" s="191">
        <v>35</v>
      </c>
      <c r="D59" s="179">
        <f t="shared" si="4"/>
        <v>2846.5769230769233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54</v>
      </c>
      <c r="B60" s="181">
        <f>'Données projet'!D68</f>
        <v>566.79999999999995</v>
      </c>
      <c r="C60" s="191">
        <v>40</v>
      </c>
      <c r="D60" s="179">
        <f t="shared" si="4"/>
        <v>22672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19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45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>
        <f>(12352+2880)*0.15</f>
        <v>2284.7999999999997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>
        <f>(1650)*0.15</f>
        <v>247.5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>
        <f>1925*0.15</f>
        <v>288.75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>
        <f>(2475)*0.15</f>
        <v>371.25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>
        <v>0</v>
      </c>
      <c r="D85" s="179">
        <f>B85*C85</f>
        <v>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67</v>
      </c>
      <c r="B86" s="181">
        <f>'Données projet'!D89</f>
        <v>74.123076923076923</v>
      </c>
      <c r="C86" s="191">
        <v>10</v>
      </c>
      <c r="D86" s="179">
        <f t="shared" ref="D86:D104" si="6">B86*C86</f>
        <v>741.23076923076928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82</v>
      </c>
      <c r="B87" s="181">
        <f>'Données projet'!D90</f>
        <v>75.91538461538461</v>
      </c>
      <c r="C87" s="191">
        <v>18</v>
      </c>
      <c r="D87" s="179">
        <f t="shared" si="6"/>
        <v>1366.476923076923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99</v>
      </c>
      <c r="B88" s="181">
        <f>'Données projet'!D91</f>
        <v>62.953846153846158</v>
      </c>
      <c r="C88" s="191">
        <v>25</v>
      </c>
      <c r="D88" s="179">
        <f t="shared" si="6"/>
        <v>1573.846153846154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119</v>
      </c>
      <c r="B89" s="181">
        <f>'Données projet'!D92</f>
        <v>59.215384615384615</v>
      </c>
      <c r="C89" s="191">
        <v>35</v>
      </c>
      <c r="D89" s="179">
        <f t="shared" si="6"/>
        <v>2072.5384615384614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134</v>
      </c>
      <c r="B90" s="181">
        <f>'Données projet'!D93</f>
        <v>158.87692307692308</v>
      </c>
      <c r="C90" s="191">
        <v>40</v>
      </c>
      <c r="D90" s="179">
        <f t="shared" si="6"/>
        <v>6355.0769230769229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144</v>
      </c>
      <c r="B91" s="181">
        <f>'Données projet'!D94</f>
        <v>184.23846153846154</v>
      </c>
      <c r="C91" s="191">
        <v>45</v>
      </c>
      <c r="D91" s="179">
        <f t="shared" si="6"/>
        <v>8290.7307692307695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20</v>
      </c>
      <c r="B107" s="174" t="str">
        <f>IF('Données projet'!B12="","",'Données projet'!B12)</f>
        <v>Douglas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45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>
        <f>(12352+2469)*0.15</f>
        <v>2223.15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>
        <f>(1650)*0.15</f>
        <v>247.5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>
        <f>1925*0.15</f>
        <v>288.75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>
        <f>(2475)*0.15</f>
        <v>371.25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21</v>
      </c>
      <c r="B116" s="181">
        <f>'Données projet'!D114</f>
        <v>61.169230769230765</v>
      </c>
      <c r="C116" s="191">
        <v>10</v>
      </c>
      <c r="D116" s="179">
        <f>B116*C116</f>
        <v>611.69230769230762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28</v>
      </c>
      <c r="B117" s="181">
        <f>'Données projet'!D115</f>
        <v>56.91538461538461</v>
      </c>
      <c r="C117" s="191">
        <v>10</v>
      </c>
      <c r="D117" s="179">
        <f t="shared" ref="D117:D135" si="8">B117*C117</f>
        <v>569.15384615384608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30</v>
      </c>
      <c r="B118" s="181">
        <f>'Données projet'!D116</f>
        <v>0</v>
      </c>
      <c r="C118" s="191">
        <v>18</v>
      </c>
      <c r="D118" s="179">
        <f t="shared" si="8"/>
        <v>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35</v>
      </c>
      <c r="B119" s="181">
        <f>'Données projet'!D117</f>
        <v>70.5</v>
      </c>
      <c r="C119" s="191">
        <v>25</v>
      </c>
      <c r="D119" s="179">
        <f t="shared" si="8"/>
        <v>1762.5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42</v>
      </c>
      <c r="B120" s="181">
        <f>'Données projet'!D118</f>
        <v>80.669230769230765</v>
      </c>
      <c r="C120" s="191">
        <v>25</v>
      </c>
      <c r="D120" s="179">
        <f t="shared" si="8"/>
        <v>2016.7307692307691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49</v>
      </c>
      <c r="B121" s="181">
        <f>'Données projet'!D119</f>
        <v>90.453846153846158</v>
      </c>
      <c r="C121" s="191">
        <v>35</v>
      </c>
      <c r="D121" s="179">
        <f t="shared" si="8"/>
        <v>3165.8846153846157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56</v>
      </c>
      <c r="B122" s="181">
        <f>'Données projet'!D120</f>
        <v>75.869230769230768</v>
      </c>
      <c r="C122" s="191">
        <v>40</v>
      </c>
      <c r="D122" s="179">
        <f t="shared" si="8"/>
        <v>3034.7692307692305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63</v>
      </c>
      <c r="B123" s="181">
        <f>'Données projet'!D121</f>
        <v>79.723076923076917</v>
      </c>
      <c r="C123" s="191">
        <v>45</v>
      </c>
      <c r="D123" s="179">
        <f t="shared" si="8"/>
        <v>3587.5384615384614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70</v>
      </c>
      <c r="B124" s="181">
        <f>'Données projet'!D122</f>
        <v>469.06923076923073</v>
      </c>
      <c r="C124" s="191">
        <v>55</v>
      </c>
      <c r="D124" s="179">
        <f t="shared" si="8"/>
        <v>25798.807692307691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21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45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22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45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23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45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24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45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25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45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26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45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0A80C5-DD06-4FEB-B847-563E55E05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2025-03-27T13:49:50Z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