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Banque Populaire ARA\Marcillat-en-Combraille\"/>
    </mc:Choice>
  </mc:AlternateContent>
  <bookViews>
    <workbookView xWindow="0" yWindow="0" windowWidth="20490" windowHeight="7755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2" i="1" l="1"/>
  <c r="D180" i="1"/>
  <c r="D178" i="1"/>
  <c r="D176" i="1"/>
  <c r="D174" i="1"/>
  <c r="D172" i="1"/>
  <c r="D170" i="1"/>
  <c r="D184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205" i="1" l="1"/>
  <c r="D205" i="1" s="1"/>
  <c r="D203" i="1"/>
  <c r="B203" i="1"/>
  <c r="D201" i="1"/>
  <c r="B201" i="1"/>
  <c r="D199" i="1"/>
  <c r="B199" i="1"/>
  <c r="D197" i="1"/>
  <c r="B197" i="1"/>
  <c r="D195" i="1"/>
  <c r="B195" i="1"/>
  <c r="D193" i="1"/>
  <c r="B193" i="1"/>
  <c r="D127" i="1"/>
  <c r="B127" i="1"/>
  <c r="D125" i="1"/>
  <c r="B125" i="1"/>
  <c r="D123" i="1"/>
  <c r="B123" i="1"/>
  <c r="D121" i="1"/>
  <c r="B121" i="1"/>
  <c r="D119" i="1"/>
  <c r="B119" i="1"/>
  <c r="D117" i="1"/>
  <c r="B117" i="1"/>
  <c r="D115" i="1"/>
  <c r="B115" i="1"/>
  <c r="D99" i="1"/>
  <c r="B99" i="1"/>
  <c r="D98" i="1"/>
  <c r="B98" i="1"/>
  <c r="D97" i="1"/>
  <c r="B97" i="1"/>
  <c r="D96" i="1"/>
  <c r="B96" i="1"/>
  <c r="D95" i="1"/>
  <c r="B95" i="1"/>
  <c r="D94" i="1"/>
  <c r="B94" i="1"/>
  <c r="B93" i="1"/>
  <c r="D92" i="1"/>
  <c r="B92" i="1"/>
  <c r="B91" i="1"/>
  <c r="D90" i="1"/>
  <c r="B90" i="1"/>
  <c r="B89" i="1"/>
  <c r="B88" i="1"/>
  <c r="B147" i="1" l="1"/>
  <c r="D146" i="1"/>
  <c r="B146" i="1"/>
  <c r="B145" i="1"/>
  <c r="D144" i="1"/>
  <c r="B144" i="1"/>
  <c r="B143" i="1"/>
  <c r="D142" i="1"/>
  <c r="B142" i="1"/>
  <c r="B141" i="1"/>
  <c r="B43" i="1"/>
  <c r="D42" i="1"/>
  <c r="B42" i="1"/>
  <c r="B41" i="1"/>
  <c r="D40" i="1"/>
  <c r="B40" i="1"/>
  <c r="B39" i="1"/>
  <c r="D38" i="1"/>
  <c r="B38" i="1"/>
  <c r="B37" i="1"/>
  <c r="D72" i="1" l="1"/>
  <c r="B72" i="1"/>
  <c r="B71" i="1"/>
  <c r="D70" i="1"/>
  <c r="B70" i="1"/>
  <c r="D69" i="1"/>
  <c r="B69" i="1"/>
  <c r="D68" i="1"/>
  <c r="B68" i="1"/>
  <c r="D67" i="1"/>
  <c r="B67" i="1"/>
  <c r="D66" i="1"/>
  <c r="B66" i="1"/>
  <c r="B65" i="1"/>
  <c r="D64" i="1"/>
  <c r="B64" i="1"/>
  <c r="D63" i="1"/>
  <c r="B63" i="1"/>
  <c r="B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V7" i="2"/>
  <c r="EB7" i="2"/>
  <c r="EX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EV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B22" i="2"/>
  <c r="EA22" i="2"/>
  <c r="EC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V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EW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W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D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EB156" i="2"/>
  <c r="DH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C157" i="2"/>
  <c r="EA157" i="2"/>
  <c r="CN156" i="2"/>
  <c r="EX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B161" i="2"/>
  <c r="EA161" i="2"/>
  <c r="EX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Y161" i="2"/>
  <c r="EC162" i="2"/>
  <c r="DI161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Y162" i="2"/>
  <c r="EA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D163" i="2"/>
  <c r="EV164" i="2"/>
  <c r="DH164" i="2"/>
  <c r="DI163" i="2"/>
  <c r="EX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EC167" i="2"/>
  <c r="DG167" i="2"/>
  <c r="EX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D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A175" i="2"/>
  <c r="ED174" i="2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B179" i="2"/>
  <c r="DF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A185" i="2"/>
  <c r="EB185" i="2"/>
  <c r="EV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ED185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EY188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ED189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A192" i="2" l="1"/>
  <c r="EW192" i="2"/>
  <c r="EC192" i="2"/>
  <c r="EB192" i="2"/>
  <c r="EV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B195" i="2"/>
  <c r="ED194" i="2"/>
  <c r="DH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A199" i="2" l="1"/>
  <c r="EB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DI200" i="2"/>
  <c r="ED200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X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3" i="2" a="1"/>
  <c r="DN113" i="2" s="1"/>
  <c r="DN115" i="2" a="1"/>
  <c r="DN115" i="2" s="1"/>
  <c r="DN177" i="2" a="1"/>
  <c r="DN177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88" i="2" l="1" a="1"/>
  <c r="DN188" i="2" s="1"/>
  <c r="DN153" i="2" a="1"/>
  <c r="DN153" i="2" s="1"/>
  <c r="DN135" i="2" a="1"/>
  <c r="DN135" i="2" s="1"/>
  <c r="DN86" i="2" a="1"/>
  <c r="DN86" i="2" s="1"/>
  <c r="DN25" i="2" a="1"/>
  <c r="DN25" i="2" s="1"/>
  <c r="DN152" i="2" a="1"/>
  <c r="DN152" i="2" s="1"/>
  <c r="DN155" i="2" a="1"/>
  <c r="DN155" i="2" s="1"/>
  <c r="DN56" i="2" a="1"/>
  <c r="DN56" i="2" s="1"/>
  <c r="DN150" i="2" a="1"/>
  <c r="DN150" i="2" s="1"/>
  <c r="DN170" i="2" a="1"/>
  <c r="DN170" i="2" s="1"/>
  <c r="DN43" i="2" a="1"/>
  <c r="DN43" i="2" s="1"/>
  <c r="DN114" i="2" a="1"/>
  <c r="DN114" i="2" s="1"/>
  <c r="DN192" i="2" a="1"/>
  <c r="DN192" i="2" s="1"/>
  <c r="DN129" i="2" a="1"/>
  <c r="DN129" i="2" s="1"/>
  <c r="DN186" i="2" a="1"/>
  <c r="DN186" i="2" s="1"/>
  <c r="DN103" i="2" a="1"/>
  <c r="DN103" i="2" s="1"/>
  <c r="DN66" i="2" a="1"/>
  <c r="DN66" i="2" s="1"/>
  <c r="DN50" i="2" a="1"/>
  <c r="DN50" i="2" s="1"/>
  <c r="DN184" i="2" a="1"/>
  <c r="DN184" i="2" s="1"/>
  <c r="DN124" i="2" a="1"/>
  <c r="DN124" i="2" s="1"/>
  <c r="DN137" i="2" a="1"/>
  <c r="DN13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155" i="2" l="1"/>
  <c r="CY193" i="2"/>
  <c r="CY24" i="2"/>
  <c r="CY103" i="2"/>
  <c r="CY15" i="2"/>
  <c r="CY183" i="2"/>
  <c r="CY95" i="2"/>
  <c r="CY203" i="2"/>
  <c r="CY32" i="2"/>
  <c r="CY92" i="2"/>
  <c r="CY74" i="2"/>
  <c r="CY119" i="2"/>
  <c r="CY201" i="2"/>
  <c r="CY158" i="2"/>
  <c r="CY194" i="2"/>
  <c r="CY149" i="2"/>
  <c r="CY34" i="2"/>
  <c r="CY87" i="2"/>
  <c r="CY33" i="2"/>
  <c r="CY131" i="2"/>
  <c r="CY56" i="2"/>
  <c r="CY176" i="2"/>
  <c r="CY132" i="2"/>
  <c r="CY38" i="2"/>
  <c r="CY157" i="2"/>
  <c r="CY188" i="2"/>
  <c r="CY187" i="2"/>
  <c r="CY148" i="2"/>
  <c r="CY31" i="2"/>
  <c r="CY66" i="2"/>
  <c r="CY94" i="2"/>
  <c r="CY166" i="2"/>
  <c r="CY46" i="2"/>
  <c r="CY156" i="2"/>
  <c r="CY8" i="2"/>
  <c r="CY129" i="2"/>
  <c r="CY178" i="2"/>
  <c r="CY118" i="2"/>
  <c r="CY144" i="2"/>
  <c r="CY68" i="2"/>
  <c r="CY151" i="2"/>
  <c r="CY182" i="2"/>
  <c r="CY105" i="2"/>
  <c r="CY135" i="2"/>
  <c r="CY71" i="2"/>
  <c r="CY170" i="2"/>
  <c r="CY138" i="2"/>
  <c r="CY120" i="2"/>
  <c r="CY23" i="2"/>
  <c r="CY106" i="2"/>
  <c r="CY111" i="2"/>
  <c r="CY180" i="2"/>
  <c r="CY18" i="2"/>
  <c r="CY108" i="2"/>
  <c r="CY16" i="2"/>
  <c r="CY117" i="2"/>
  <c r="CY41" i="2"/>
  <c r="CY67" i="2"/>
  <c r="CY116" i="2"/>
  <c r="CY134" i="2"/>
  <c r="CY179" i="2"/>
  <c r="CY35" i="2"/>
  <c r="CY63" i="2"/>
  <c r="CY83" i="2"/>
  <c r="CY185" i="2"/>
  <c r="CY80" i="2"/>
  <c r="CY98" i="2"/>
  <c r="CY58" i="2"/>
  <c r="CY61" i="2"/>
  <c r="CY114" i="2"/>
  <c r="CY195" i="2"/>
  <c r="CY168" i="2"/>
  <c r="CY147" i="2"/>
  <c r="CY190" i="2"/>
  <c r="CY197" i="2"/>
  <c r="CY47" i="2"/>
  <c r="CY64" i="2"/>
  <c r="CY25" i="2"/>
  <c r="CY192" i="2"/>
  <c r="CY90" i="2"/>
  <c r="CY85" i="2"/>
  <c r="CY127" i="2"/>
  <c r="CY89" i="2"/>
  <c r="CY75" i="2"/>
  <c r="CY175" i="2"/>
  <c r="CY3" i="2"/>
  <c r="C10" i="4" s="1"/>
  <c r="E10" i="4" s="1"/>
  <c r="F10" i="4" s="1"/>
  <c r="G10" i="4" s="1"/>
  <c r="L10" i="4" s="1"/>
  <c r="CY30" i="2"/>
  <c r="CY12" i="2"/>
  <c r="CY77" i="2"/>
  <c r="CY126" i="2"/>
  <c r="CY42" i="2"/>
  <c r="CY202" i="2"/>
  <c r="CY104" i="2"/>
  <c r="CY78" i="2"/>
  <c r="CY139" i="2"/>
  <c r="CY45" i="2"/>
  <c r="CY136" i="2"/>
  <c r="CY181" i="2"/>
  <c r="CY137" i="2"/>
  <c r="CY165" i="2"/>
  <c r="CY198" i="2"/>
  <c r="CY13" i="2"/>
  <c r="CY164" i="2"/>
  <c r="CY48" i="2"/>
  <c r="CY79" i="2"/>
  <c r="CY51" i="2"/>
  <c r="CY173" i="2"/>
  <c r="CY29" i="2"/>
  <c r="CY162" i="2"/>
  <c r="CY121" i="2"/>
  <c r="CY52" i="2"/>
  <c r="CY82" i="2"/>
  <c r="CY4" i="2"/>
  <c r="CY21" i="2"/>
  <c r="CY50" i="2"/>
  <c r="CY163" i="2"/>
  <c r="CY189" i="2"/>
  <c r="CY9" i="2"/>
  <c r="CY88" i="2"/>
  <c r="CY43" i="2"/>
  <c r="CY154" i="2"/>
  <c r="CY196" i="2"/>
  <c r="CY96" i="2"/>
  <c r="CY122" i="2"/>
  <c r="CY152" i="2"/>
  <c r="CY113" i="2"/>
  <c r="CY174" i="2"/>
  <c r="CY167" i="2"/>
  <c r="CY70" i="2"/>
  <c r="CY99" i="2"/>
  <c r="CY93" i="2"/>
  <c r="CY55" i="2"/>
  <c r="CY14" i="2"/>
  <c r="CY200" i="2"/>
  <c r="CY115" i="2"/>
  <c r="CY44" i="2"/>
  <c r="CY101" i="2"/>
  <c r="CY110" i="2"/>
  <c r="CY130" i="2"/>
  <c r="CY171" i="2"/>
  <c r="CY7" i="2"/>
  <c r="CY5" i="2"/>
  <c r="CY191" i="2"/>
  <c r="CY133" i="2"/>
  <c r="CY91" i="2"/>
  <c r="CY22" i="2"/>
  <c r="CY199" i="2"/>
  <c r="CY84" i="2"/>
  <c r="CY40" i="2"/>
  <c r="CY19" i="2"/>
  <c r="CY10" i="2"/>
  <c r="CY143" i="2"/>
  <c r="CY97" i="2"/>
  <c r="CY145" i="2"/>
  <c r="CY160" i="2"/>
  <c r="CY186" i="2"/>
  <c r="CY65" i="2"/>
  <c r="CY72" i="2"/>
  <c r="CY161" i="2"/>
  <c r="CY11" i="2"/>
  <c r="CY62" i="2"/>
  <c r="CY26" i="2"/>
  <c r="CY150" i="2"/>
  <c r="CY69" i="2"/>
  <c r="CY86" i="2"/>
  <c r="CY37" i="2"/>
  <c r="CY17" i="2"/>
  <c r="CY109" i="2"/>
  <c r="CY81" i="2"/>
  <c r="CY36" i="2"/>
  <c r="CY146" i="2"/>
  <c r="CY140" i="2"/>
  <c r="CY159" i="2"/>
  <c r="CY6" i="2"/>
  <c r="CY60" i="2"/>
  <c r="CY59" i="2"/>
  <c r="CY54" i="2"/>
  <c r="CY107" i="2"/>
  <c r="CY49" i="2"/>
  <c r="CY125" i="2"/>
  <c r="CY124" i="2"/>
  <c r="CY153" i="2"/>
  <c r="CY112" i="2"/>
  <c r="CY177" i="2"/>
  <c r="CY123" i="2"/>
  <c r="CY57" i="2"/>
  <c r="CY102" i="2"/>
  <c r="CY20" i="2"/>
  <c r="CY73" i="2"/>
  <c r="CY53" i="2"/>
  <c r="CY128" i="2"/>
  <c r="CY100" i="2"/>
  <c r="CY27" i="2"/>
  <c r="CY28" i="2"/>
  <c r="CY76" i="2"/>
  <c r="CY184" i="2"/>
  <c r="CY142" i="2"/>
  <c r="CY169" i="2"/>
  <c r="CY172" i="2"/>
  <c r="CY39" i="2"/>
  <c r="CY14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<sst xmlns="http://schemas.openxmlformats.org/spreadsheetml/2006/main" count="1176" uniqueCount="324">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</sst>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01447856"/>
        <c:axId val="-401447312"/>
      </c:scatterChart>
      <c:valAx>
        <c:axId val="-401447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1447312"/>
        <c:crosses val="autoZero"/>
        <c:crossBetween val="midCat"/>
      </c:valAx>
      <c:valAx>
        <c:axId val="-40144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01447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7745344"/>
        <c:axId val="-237740992"/>
      </c:scatterChart>
      <c:valAx>
        <c:axId val="-23774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7740992"/>
        <c:crosses val="autoZero"/>
        <c:crossBetween val="midCat"/>
      </c:valAx>
      <c:valAx>
        <c:axId val="-23774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774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472.44484575319535</c:v>
                </c:pt>
                <c:pt idx="65">
                  <c:v>488.29251559091125</c:v>
                </c:pt>
                <c:pt idx="66">
                  <c:v>504.12927484272382</c:v>
                </c:pt>
                <c:pt idx="67">
                  <c:v>519.95551437581287</c:v>
                </c:pt>
                <c:pt idx="68">
                  <c:v>535.7715993334549</c:v>
                </c:pt>
                <c:pt idx="69">
                  <c:v>551.57787155305971</c:v>
                </c:pt>
                <c:pt idx="70">
                  <c:v>566.74332225455612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243696"/>
        <c:axId val="-188239888"/>
      </c:scatterChart>
      <c:valAx>
        <c:axId val="-188243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39888"/>
        <c:crosses val="autoZero"/>
        <c:crossBetween val="midCat"/>
      </c:valAx>
      <c:valAx>
        <c:axId val="-18823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3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66.657384980595054</c:v>
                </c:pt>
                <c:pt idx="17">
                  <c:v>84.004272555239865</c:v>
                </c:pt>
                <c:pt idx="18">
                  <c:v>101.26043228511077</c:v>
                </c:pt>
                <c:pt idx="19">
                  <c:v>118.4435774600118</c:v>
                </c:pt>
                <c:pt idx="20">
                  <c:v>135.56582181617225</c:v>
                </c:pt>
                <c:pt idx="21">
                  <c:v>152.635953308398</c:v>
                </c:pt>
                <c:pt idx="22">
                  <c:v>172.96879566591463</c:v>
                </c:pt>
                <c:pt idx="23">
                  <c:v>118.91172145652443</c:v>
                </c:pt>
                <c:pt idx="24">
                  <c:v>133.60360008678595</c:v>
                </c:pt>
                <c:pt idx="25">
                  <c:v>151.40834557678431</c:v>
                </c:pt>
                <c:pt idx="26">
                  <c:v>169.16318954630938</c:v>
                </c:pt>
                <c:pt idx="27">
                  <c:v>186.87411053311584</c:v>
                </c:pt>
                <c:pt idx="28">
                  <c:v>158.76051047616974</c:v>
                </c:pt>
                <c:pt idx="29">
                  <c:v>175.59896515661092</c:v>
                </c:pt>
                <c:pt idx="30">
                  <c:v>192.39950654022343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242.60830522574884</c:v>
                </c:pt>
                <c:pt idx="34">
                  <c:v>203.58097513744312</c:v>
                </c:pt>
                <c:pt idx="35">
                  <c:v>220.02792534458783</c:v>
                </c:pt>
                <c:pt idx="36">
                  <c:v>236.44664825214025</c:v>
                </c:pt>
                <c:pt idx="37">
                  <c:v>252.83938003643593</c:v>
                </c:pt>
                <c:pt idx="38">
                  <c:v>269.20804307840717</c:v>
                </c:pt>
                <c:pt idx="39">
                  <c:v>285.5543068085463</c:v>
                </c:pt>
                <c:pt idx="40">
                  <c:v>301.87963387321696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288.86291050410284</c:v>
                </c:pt>
                <c:pt idx="45">
                  <c:v>304.0589372536673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245872"/>
        <c:axId val="-188240432"/>
      </c:scatterChart>
      <c:valAx>
        <c:axId val="-188245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0432"/>
        <c:crosses val="autoZero"/>
        <c:crossBetween val="midCat"/>
      </c:valAx>
      <c:valAx>
        <c:axId val="-18824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5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87.624256130804284</c:v>
                </c:pt>
                <c:pt idx="17">
                  <c:v>107.92051495671599</c:v>
                </c:pt>
                <c:pt idx="18">
                  <c:v>128.12250482488196</c:v>
                </c:pt>
                <c:pt idx="19">
                  <c:v>148.24723201695511</c:v>
                </c:pt>
                <c:pt idx="20">
                  <c:v>168.30668061428082</c:v>
                </c:pt>
                <c:pt idx="21">
                  <c:v>115.59337364680665</c:v>
                </c:pt>
                <c:pt idx="22">
                  <c:v>137.4997067322079</c:v>
                </c:pt>
                <c:pt idx="23">
                  <c:v>159.32196170762111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223.37066471153204</c:v>
                </c:pt>
                <c:pt idx="27">
                  <c:v>243.93430319999132</c:v>
                </c:pt>
                <c:pt idx="28">
                  <c:v>264.45853959036123</c:v>
                </c:pt>
                <c:pt idx="29">
                  <c:v>284.94686117730771</c:v>
                </c:pt>
                <c:pt idx="30">
                  <c:v>305.4022126668512</c:v>
                </c:pt>
                <c:pt idx="31">
                  <c:v>227.82966235272235</c:v>
                </c:pt>
                <c:pt idx="32">
                  <c:v>245.98843749648782</c:v>
                </c:pt>
                <c:pt idx="33">
                  <c:v>264.11677214797504</c:v>
                </c:pt>
                <c:pt idx="34">
                  <c:v>282.21704940359291</c:v>
                </c:pt>
                <c:pt idx="35">
                  <c:v>300.29132163404557</c:v>
                </c:pt>
                <c:pt idx="36">
                  <c:v>316.63952954423013</c:v>
                </c:pt>
                <c:pt idx="37">
                  <c:v>332.96904422153938</c:v>
                </c:pt>
                <c:pt idx="38">
                  <c:v>349.28091133215889</c:v>
                </c:pt>
                <c:pt idx="39">
                  <c:v>365.57607090875041</c:v>
                </c:pt>
                <c:pt idx="40">
                  <c:v>381.85537235272426</c:v>
                </c:pt>
                <c:pt idx="41">
                  <c:v>300.63210759978858</c:v>
                </c:pt>
                <c:pt idx="42">
                  <c:v>314.59704855401958</c:v>
                </c:pt>
                <c:pt idx="43">
                  <c:v>328.5482515646342</c:v>
                </c:pt>
                <c:pt idx="44">
                  <c:v>342.4863822030199</c:v>
                </c:pt>
                <c:pt idx="45">
                  <c:v>356.41204743833833</c:v>
                </c:pt>
                <c:pt idx="46">
                  <c:v>368.29036734139095</c:v>
                </c:pt>
                <c:pt idx="47">
                  <c:v>380.16032837232183</c:v>
                </c:pt>
                <c:pt idx="48">
                  <c:v>392.0222283580228</c:v>
                </c:pt>
                <c:pt idx="49">
                  <c:v>403.87634562786849</c:v>
                </c:pt>
                <c:pt idx="50">
                  <c:v>415.72294083711432</c:v>
                </c:pt>
                <c:pt idx="51">
                  <c:v>360.48557531469902</c:v>
                </c:pt>
                <c:pt idx="52">
                  <c:v>371.34342911371238</c:v>
                </c:pt>
                <c:pt idx="53">
                  <c:v>382.19436148493236</c:v>
                </c:pt>
                <c:pt idx="54">
                  <c:v>393.03859669656578</c:v>
                </c:pt>
                <c:pt idx="55">
                  <c:v>403.87634562786849</c:v>
                </c:pt>
                <c:pt idx="56">
                  <c:v>412.33895235831255</c:v>
                </c:pt>
                <c:pt idx="57">
                  <c:v>420.79781154308029</c:v>
                </c:pt>
                <c:pt idx="58">
                  <c:v>429.25300917701065</c:v>
                </c:pt>
                <c:pt idx="59">
                  <c:v>437.70462758915488</c:v>
                </c:pt>
                <c:pt idx="60">
                  <c:v>446.1527456683495</c:v>
                </c:pt>
                <c:pt idx="61">
                  <c:v>411.32363915605634</c:v>
                </c:pt>
                <c:pt idx="62">
                  <c:v>418.76802245127942</c:v>
                </c:pt>
                <c:pt idx="63">
                  <c:v>426.20955457884071</c:v>
                </c:pt>
                <c:pt idx="64">
                  <c:v>433.64829237194999</c:v>
                </c:pt>
                <c:pt idx="65">
                  <c:v>441.08429055375763</c:v>
                </c:pt>
                <c:pt idx="66">
                  <c:v>447.50412482878772</c:v>
                </c:pt>
                <c:pt idx="67">
                  <c:v>453.92198789781906</c:v>
                </c:pt>
                <c:pt idx="68">
                  <c:v>460.33791158124319</c:v>
                </c:pt>
                <c:pt idx="69">
                  <c:v>466.75192673952944</c:v>
                </c:pt>
                <c:pt idx="70">
                  <c:v>473.16406331526713</c:v>
                </c:pt>
                <c:pt idx="71">
                  <c:v>443.449724046781</c:v>
                </c:pt>
                <c:pt idx="72">
                  <c:v>449.1932259604792</c:v>
                </c:pt>
                <c:pt idx="73">
                  <c:v>454.93515661064163</c:v>
                </c:pt>
                <c:pt idx="74">
                  <c:v>460.67553864161073</c:v>
                </c:pt>
                <c:pt idx="75">
                  <c:v>466.41439408694345</c:v>
                </c:pt>
                <c:pt idx="76">
                  <c:v>471.47683944067597</c:v>
                </c:pt>
                <c:pt idx="77">
                  <c:v>476.53812734890533</c:v>
                </c:pt>
                <c:pt idx="78">
                  <c:v>481.59827184865503</c:v>
                </c:pt>
                <c:pt idx="79">
                  <c:v>486.65728665769001</c:v>
                </c:pt>
                <c:pt idx="80">
                  <c:v>491.71518518509475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246960"/>
        <c:axId val="-188246416"/>
      </c:scatterChart>
      <c:valAx>
        <c:axId val="-188246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6416"/>
        <c:crosses val="autoZero"/>
        <c:crossBetween val="midCat"/>
      </c:valAx>
      <c:valAx>
        <c:axId val="-18824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6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245328"/>
        <c:axId val="-188243152"/>
      </c:scatterChart>
      <c:valAx>
        <c:axId val="-188245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3152"/>
        <c:crosses val="autoZero"/>
        <c:crossBetween val="midCat"/>
      </c:valAx>
      <c:valAx>
        <c:axId val="-18824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5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164.07533800948443</c:v>
                </c:pt>
                <c:pt idx="32">
                  <c:v>174.31411099729235</c:v>
                </c:pt>
                <c:pt idx="33">
                  <c:v>184.53875634892685</c:v>
                </c:pt>
                <c:pt idx="34">
                  <c:v>194.75016791911332</c:v>
                </c:pt>
                <c:pt idx="35">
                  <c:v>204.94913805516691</c:v>
                </c:pt>
                <c:pt idx="36">
                  <c:v>216.13536806995225</c:v>
                </c:pt>
                <c:pt idx="37">
                  <c:v>227.3082824620661</c:v>
                </c:pt>
                <c:pt idx="38">
                  <c:v>238.46862841835264</c:v>
                </c:pt>
                <c:pt idx="39">
                  <c:v>249.61707741918681</c:v>
                </c:pt>
                <c:pt idx="40">
                  <c:v>260.75423602111391</c:v>
                </c:pt>
                <c:pt idx="41">
                  <c:v>272.68118293699183</c:v>
                </c:pt>
                <c:pt idx="42">
                  <c:v>284.596403536016</c:v>
                </c:pt>
                <c:pt idx="43">
                  <c:v>296.5004581524463</c:v>
                </c:pt>
                <c:pt idx="44">
                  <c:v>308.39385843235641</c:v>
                </c:pt>
                <c:pt idx="45">
                  <c:v>320.27707331895328</c:v>
                </c:pt>
                <c:pt idx="46">
                  <c:v>332.81878222101051</c:v>
                </c:pt>
                <c:pt idx="47">
                  <c:v>345.3500753576954</c:v>
                </c:pt>
                <c:pt idx="48">
                  <c:v>357.87138400274654</c:v>
                </c:pt>
                <c:pt idx="49">
                  <c:v>370.38310678134184</c:v>
                </c:pt>
                <c:pt idx="50">
                  <c:v>382.8856131844779</c:v>
                </c:pt>
                <c:pt idx="51">
                  <c:v>395.37924660026175</c:v>
                </c:pt>
                <c:pt idx="52">
                  <c:v>236.25024475085775</c:v>
                </c:pt>
                <c:pt idx="53">
                  <c:v>247.59615286649509</c:v>
                </c:pt>
                <c:pt idx="54">
                  <c:v>258.93026223231527</c:v>
                </c:pt>
                <c:pt idx="55">
                  <c:v>270.25316238981276</c:v>
                </c:pt>
                <c:pt idx="56">
                  <c:v>281.56538941412128</c:v>
                </c:pt>
                <c:pt idx="57">
                  <c:v>292.67919777140111</c:v>
                </c:pt>
                <c:pt idx="58">
                  <c:v>303.78358590566432</c:v>
                </c:pt>
                <c:pt idx="59">
                  <c:v>314.87894685838472</c:v>
                </c:pt>
                <c:pt idx="60">
                  <c:v>325.96564369687235</c:v>
                </c:pt>
                <c:pt idx="61">
                  <c:v>337.04401276379787</c:v>
                </c:pt>
                <c:pt idx="62">
                  <c:v>252.21456919520065</c:v>
                </c:pt>
                <c:pt idx="63">
                  <c:v>262.44542146430354</c:v>
                </c:pt>
                <c:pt idx="64">
                  <c:v>272.66727459691896</c:v>
                </c:pt>
                <c:pt idx="65">
                  <c:v>282.88051374655532</c:v>
                </c:pt>
                <c:pt idx="66">
                  <c:v>293.08549396442709</c:v>
                </c:pt>
                <c:pt idx="67">
                  <c:v>303.28254354108338</c:v>
                </c:pt>
                <c:pt idx="68">
                  <c:v>313.7582524161748</c:v>
                </c:pt>
                <c:pt idx="69">
                  <c:v>324.22620744324928</c:v>
                </c:pt>
                <c:pt idx="70">
                  <c:v>334.68669438075665</c:v>
                </c:pt>
                <c:pt idx="71">
                  <c:v>345.13997965752452</c:v>
                </c:pt>
                <c:pt idx="72">
                  <c:v>355.58631223872879</c:v>
                </c:pt>
                <c:pt idx="73">
                  <c:v>366.02592526105173</c:v>
                </c:pt>
                <c:pt idx="74">
                  <c:v>281.81632883541465</c:v>
                </c:pt>
                <c:pt idx="75">
                  <c:v>291.28277988050218</c:v>
                </c:pt>
                <c:pt idx="76">
                  <c:v>300.74236004002955</c:v>
                </c:pt>
                <c:pt idx="77">
                  <c:v>310.19531605992978</c:v>
                </c:pt>
                <c:pt idx="78">
                  <c:v>319.6418784088774</c:v>
                </c:pt>
                <c:pt idx="79">
                  <c:v>329.08226281184676</c:v>
                </c:pt>
                <c:pt idx="80">
                  <c:v>338.69481657281045</c:v>
                </c:pt>
                <c:pt idx="81">
                  <c:v>348.30136779641316</c:v>
                </c:pt>
                <c:pt idx="82">
                  <c:v>357.90210547556245</c:v>
                </c:pt>
                <c:pt idx="83">
                  <c:v>367.4972076306401</c:v>
                </c:pt>
                <c:pt idx="84">
                  <c:v>377.08684222260217</c:v>
                </c:pt>
                <c:pt idx="85">
                  <c:v>386.67116796831169</c:v>
                </c:pt>
                <c:pt idx="86">
                  <c:v>310.20302068238681</c:v>
                </c:pt>
                <c:pt idx="87">
                  <c:v>318.8834575745966</c:v>
                </c:pt>
                <c:pt idx="88">
                  <c:v>327.55866418727186</c:v>
                </c:pt>
                <c:pt idx="89">
                  <c:v>336.22879868133299</c:v>
                </c:pt>
                <c:pt idx="90">
                  <c:v>344.89401038910336</c:v>
                </c:pt>
                <c:pt idx="91">
                  <c:v>353.55444052140359</c:v>
                </c:pt>
                <c:pt idx="92">
                  <c:v>362.31388021108495</c:v>
                </c:pt>
                <c:pt idx="93">
                  <c:v>371.06869139569397</c:v>
                </c:pt>
                <c:pt idx="94">
                  <c:v>379.81899874468553</c:v>
                </c:pt>
                <c:pt idx="95">
                  <c:v>388.56492071108028</c:v>
                </c:pt>
                <c:pt idx="96">
                  <c:v>397.30656997742784</c:v>
                </c:pt>
                <c:pt idx="97">
                  <c:v>406.04405386046113</c:v>
                </c:pt>
                <c:pt idx="98">
                  <c:v>334.39312563623599</c:v>
                </c:pt>
                <c:pt idx="99">
                  <c:v>342.24703403704694</c:v>
                </c:pt>
                <c:pt idx="100">
                  <c:v>350.09698079823966</c:v>
                </c:pt>
                <c:pt idx="101">
                  <c:v>357.94306734951579</c:v>
                </c:pt>
                <c:pt idx="102">
                  <c:v>365.78539030752978</c:v>
                </c:pt>
                <c:pt idx="103">
                  <c:v>373.62404180484191</c:v>
                </c:pt>
                <c:pt idx="104">
                  <c:v>381.51151922303683</c:v>
                </c:pt>
                <c:pt idx="105">
                  <c:v>389.39545073608269</c:v>
                </c:pt>
                <c:pt idx="106">
                  <c:v>397.27591831089302</c:v>
                </c:pt>
                <c:pt idx="107">
                  <c:v>405.15300039508821</c:v>
                </c:pt>
                <c:pt idx="108">
                  <c:v>413.02677213508372</c:v>
                </c:pt>
                <c:pt idx="109">
                  <c:v>420.89730557667332</c:v>
                </c:pt>
                <c:pt idx="110">
                  <c:v>347.56231546624463</c:v>
                </c:pt>
                <c:pt idx="111">
                  <c:v>354.64786759228599</c:v>
                </c:pt>
                <c:pt idx="112">
                  <c:v>361.73031893174402</c:v>
                </c:pt>
                <c:pt idx="113">
                  <c:v>368.80973881426394</c:v>
                </c:pt>
                <c:pt idx="114">
                  <c:v>375.88619368839096</c:v>
                </c:pt>
                <c:pt idx="115">
                  <c:v>382.95974729448511</c:v>
                </c:pt>
                <c:pt idx="116">
                  <c:v>390.02023951163716</c:v>
                </c:pt>
                <c:pt idx="117">
                  <c:v>397.07795839700174</c:v>
                </c:pt>
                <c:pt idx="118">
                  <c:v>404.13296023549515</c:v>
                </c:pt>
                <c:pt idx="119">
                  <c:v>411.18529918508108</c:v>
                </c:pt>
                <c:pt idx="120">
                  <c:v>418.235027393054</c:v>
                </c:pt>
                <c:pt idx="121">
                  <c:v>425.28219510406774</c:v>
                </c:pt>
                <c:pt idx="122">
                  <c:v>223.15332793340841</c:v>
                </c:pt>
                <c:pt idx="123">
                  <c:v>228.35256653094197</c:v>
                </c:pt>
                <c:pt idx="124">
                  <c:v>233.54909656198762</c:v>
                </c:pt>
                <c:pt idx="125">
                  <c:v>238.74298690714286</c:v>
                </c:pt>
                <c:pt idx="126">
                  <c:v>243.93430319999132</c:v>
                </c:pt>
                <c:pt idx="127">
                  <c:v>248.62911644730306</c:v>
                </c:pt>
                <c:pt idx="128">
                  <c:v>253.3219181823894</c:v>
                </c:pt>
                <c:pt idx="129">
                  <c:v>258.01275099580977</c:v>
                </c:pt>
                <c:pt idx="130">
                  <c:v>262.70165580030124</c:v>
                </c:pt>
                <c:pt idx="131">
                  <c:v>267.38867192633211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242064"/>
        <c:axId val="-188242608"/>
      </c:scatterChart>
      <c:valAx>
        <c:axId val="-188242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2608"/>
        <c:crosses val="autoZero"/>
        <c:crossBetween val="midCat"/>
      </c:valAx>
      <c:valAx>
        <c:axId val="-18824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2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80.930305178951087</c:v>
                </c:pt>
                <c:pt idx="17">
                  <c:v>99.671872945964807</c:v>
                </c:pt>
                <c:pt idx="18">
                  <c:v>118.32573550855612</c:v>
                </c:pt>
                <c:pt idx="19">
                  <c:v>136.9077150360213</c:v>
                </c:pt>
                <c:pt idx="20">
                  <c:v>155.42896118281021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167.21639270035547</c:v>
                </c:pt>
                <c:pt idx="25">
                  <c:v>187.24258760716546</c:v>
                </c:pt>
                <c:pt idx="26">
                  <c:v>206.2685966241975</c:v>
                </c:pt>
                <c:pt idx="27">
                  <c:v>225.25404749767384</c:v>
                </c:pt>
                <c:pt idx="28">
                  <c:v>244.20283975997816</c:v>
                </c:pt>
                <c:pt idx="29">
                  <c:v>263.11821789263291</c:v>
                </c:pt>
                <c:pt idx="30">
                  <c:v>282.00292156784479</c:v>
                </c:pt>
                <c:pt idx="31">
                  <c:v>210.38540694907314</c:v>
                </c:pt>
                <c:pt idx="32">
                  <c:v>227.15051827180903</c:v>
                </c:pt>
                <c:pt idx="33">
                  <c:v>243.88730861103326</c:v>
                </c:pt>
                <c:pt idx="34">
                  <c:v>260.59799513306115</c:v>
                </c:pt>
                <c:pt idx="35">
                  <c:v>277.28448730625297</c:v>
                </c:pt>
                <c:pt idx="36">
                  <c:v>292.37729611444672</c:v>
                </c:pt>
                <c:pt idx="37">
                  <c:v>307.4527132610603</c:v>
                </c:pt>
                <c:pt idx="38">
                  <c:v>322.51171160469693</c:v>
                </c:pt>
                <c:pt idx="39">
                  <c:v>337.55516572548032</c:v>
                </c:pt>
                <c:pt idx="40">
                  <c:v>352.58386588275084</c:v>
                </c:pt>
                <c:pt idx="41">
                  <c:v>277.59910531675132</c:v>
                </c:pt>
                <c:pt idx="42">
                  <c:v>290.49166725088799</c:v>
                </c:pt>
                <c:pt idx="43">
                  <c:v>303.37144778612065</c:v>
                </c:pt>
                <c:pt idx="44">
                  <c:v>316.23906615147206</c:v>
                </c:pt>
                <c:pt idx="45">
                  <c:v>329.09508705409172</c:v>
                </c:pt>
                <c:pt idx="46">
                  <c:v>340.06095344521356</c:v>
                </c:pt>
                <c:pt idx="47">
                  <c:v>351.01904297525931</c:v>
                </c:pt>
                <c:pt idx="48">
                  <c:v>361.96963273404771</c:v>
                </c:pt>
                <c:pt idx="49">
                  <c:v>372.91298167145283</c:v>
                </c:pt>
                <c:pt idx="50">
                  <c:v>383.8493322938412</c:v>
                </c:pt>
                <c:pt idx="51">
                  <c:v>332.85570681025916</c:v>
                </c:pt>
                <c:pt idx="52">
                  <c:v>342.87947924141304</c:v>
                </c:pt>
                <c:pt idx="53">
                  <c:v>352.89681216953187</c:v>
                </c:pt>
                <c:pt idx="54">
                  <c:v>362.90791424748909</c:v>
                </c:pt>
                <c:pt idx="55">
                  <c:v>372.91298167145288</c:v>
                </c:pt>
                <c:pt idx="56">
                  <c:v>380.7253612664947</c:v>
                </c:pt>
                <c:pt idx="57">
                  <c:v>388.5342542497454</c:v>
                </c:pt>
                <c:pt idx="58">
                  <c:v>396.33974062840025</c:v>
                </c:pt>
                <c:pt idx="59">
                  <c:v>404.1418969991085</c:v>
                </c:pt>
                <c:pt idx="60">
                  <c:v>411.94079675783905</c:v>
                </c:pt>
                <c:pt idx="61">
                  <c:v>379.78806142237414</c:v>
                </c:pt>
                <c:pt idx="62">
                  <c:v>386.66043357385666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413.18832324929986</c:v>
                </c:pt>
                <c:pt idx="67">
                  <c:v>419.11296885471535</c:v>
                </c:pt>
                <c:pt idx="68">
                  <c:v>425.03581010994799</c:v>
                </c:pt>
                <c:pt idx="69">
                  <c:v>430.95687572671636</c:v>
                </c:pt>
                <c:pt idx="70">
                  <c:v>436.87619356276895</c:v>
                </c:pt>
                <c:pt idx="71">
                  <c:v>409.44549880731051</c:v>
                </c:pt>
                <c:pt idx="72">
                  <c:v>414.74761709639353</c:v>
                </c:pt>
                <c:pt idx="73">
                  <c:v>420.0482735257836</c:v>
                </c:pt>
                <c:pt idx="74">
                  <c:v>425.34748916314453</c:v>
                </c:pt>
                <c:pt idx="75">
                  <c:v>430.64528450788202</c:v>
                </c:pt>
                <c:pt idx="76">
                  <c:v>435.31864626323119</c:v>
                </c:pt>
                <c:pt idx="77">
                  <c:v>439.99093116362309</c:v>
                </c:pt>
                <c:pt idx="78">
                  <c:v>444.66215226871242</c:v>
                </c:pt>
                <c:pt idx="79">
                  <c:v>449.33232234112387</c:v>
                </c:pt>
                <c:pt idx="80">
                  <c:v>454.00145385629543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244784"/>
        <c:axId val="-188244240"/>
      </c:scatterChart>
      <c:valAx>
        <c:axId val="-188244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4240"/>
        <c:crosses val="autoZero"/>
        <c:crossBetween val="midCat"/>
      </c:valAx>
      <c:valAx>
        <c:axId val="-18824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4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240976"/>
        <c:axId val="-188241520"/>
      </c:scatterChart>
      <c:valAx>
        <c:axId val="-188240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1520"/>
        <c:crosses val="autoZero"/>
        <c:crossBetween val="midCat"/>
      </c:valAx>
      <c:valAx>
        <c:axId val="-18824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240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7742080"/>
        <c:axId val="-237747520"/>
      </c:scatterChart>
      <c:valAx>
        <c:axId val="-2377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7747520"/>
        <c:crosses val="autoZero"/>
        <c:crossBetween val="midCat"/>
      </c:valAx>
      <c:valAx>
        <c:axId val="-2377475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77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4.45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0.34620000000000001</v>
      </c>
      <c r="D9" s="36">
        <f t="shared" ref="D9:D18" si="0">C9*$C$5</f>
        <v>1.5405900000000001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0.1512</v>
      </c>
      <c r="D10" s="36">
        <f t="shared" si="0"/>
        <v>0.67283999999999999</v>
      </c>
      <c r="E10" s="37">
        <v>70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0.13339999999999999</v>
      </c>
      <c r="D11" s="36">
        <f t="shared" si="0"/>
        <v>0.59362999999999999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23</v>
      </c>
      <c r="C12" s="35">
        <v>0.1168</v>
      </c>
      <c r="D12" s="36">
        <f t="shared" si="0"/>
        <v>0.51976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12</v>
      </c>
      <c r="C13" s="35">
        <v>9.8100000000000007E-2</v>
      </c>
      <c r="D13" s="36">
        <f t="shared" si="0"/>
        <v>0.43654500000000007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164</v>
      </c>
      <c r="C14" s="35">
        <v>9.3600000000000003E-2</v>
      </c>
      <c r="D14" s="36">
        <f t="shared" si="0"/>
        <v>0.41652</v>
      </c>
      <c r="E14" s="37">
        <v>131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8</v>
      </c>
      <c r="C15" s="35">
        <v>6.0699999999999997E-2</v>
      </c>
      <c r="D15" s="36">
        <f t="shared" si="0"/>
        <v>0.27011499999999999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4.45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62+8</f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76+8+21</f>
        <v>105</v>
      </c>
      <c r="C38" s="61">
        <v>1</v>
      </c>
      <c r="D38" s="61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95+21</f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116+21+21</f>
        <v>158</v>
      </c>
      <c r="C40" s="61">
        <v>2</v>
      </c>
      <c r="D40" s="61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137+21</f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157+21+21</f>
        <v>199</v>
      </c>
      <c r="C42" s="61">
        <v>3</v>
      </c>
      <c r="D42" s="61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f>176+21</f>
        <v>197</v>
      </c>
      <c r="C43" s="61"/>
      <c r="D43" s="61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19</v>
      </c>
      <c r="B62" s="61">
        <f>192.63/1.3</f>
        <v>148.17692307692306</v>
      </c>
      <c r="C62" s="61"/>
      <c r="D62" s="61"/>
      <c r="E62" s="54"/>
      <c r="F62" s="54"/>
      <c r="G62" s="54"/>
      <c r="H62" s="54"/>
      <c r="I62" s="56">
        <f>IFERROR(B62/A62,"")</f>
        <v>7.7987854251012134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21</v>
      </c>
      <c r="B63" s="61">
        <f>234.08/1.3</f>
        <v>180.06153846153848</v>
      </c>
      <c r="C63" s="61">
        <v>1</v>
      </c>
      <c r="D63" s="61">
        <f>79.52/1.3</f>
        <v>61.169230769230765</v>
      </c>
      <c r="E63" s="54"/>
      <c r="F63" s="54">
        <v>0.2</v>
      </c>
      <c r="G63" s="54">
        <v>0.4</v>
      </c>
      <c r="H63" s="54">
        <v>0.4</v>
      </c>
      <c r="I63" s="52">
        <f>IF(A63&lt;&gt;0,(B63-(B62-D62))/(A63-A62),"")</f>
        <v>15.942307692307708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28</v>
      </c>
      <c r="B64" s="61">
        <f>306.42/1.3</f>
        <v>235.7076923076923</v>
      </c>
      <c r="C64" s="61">
        <v>2</v>
      </c>
      <c r="D64" s="61">
        <f>73.99/1.3</f>
        <v>56.91538461538461</v>
      </c>
      <c r="E64" s="54">
        <v>0.2</v>
      </c>
      <c r="F64" s="54">
        <v>0.2</v>
      </c>
      <c r="G64" s="54">
        <v>0.3</v>
      </c>
      <c r="H64" s="54">
        <v>0.3</v>
      </c>
      <c r="I64" s="52">
        <f>IF(A64&lt;&gt;0,(B64-(B63-D63))/(A64-A63),"")</f>
        <v>16.687912087912085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f>279.49/1.3</f>
        <v>214.99230769230769</v>
      </c>
      <c r="C65" s="61"/>
      <c r="D65" s="61"/>
      <c r="E65" s="54"/>
      <c r="F65" s="54"/>
      <c r="G65" s="54"/>
      <c r="H65" s="54"/>
      <c r="I65" s="52">
        <f>IF(A65&lt;&gt;0,(B65-(B64-D64))/(A65-A64),"")</f>
        <v>18.099999999999994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1">
        <f>397.14/1.3</f>
        <v>305.49230769230769</v>
      </c>
      <c r="C66" s="61">
        <v>3</v>
      </c>
      <c r="D66" s="61">
        <f>91.65/1.3</f>
        <v>70.5</v>
      </c>
      <c r="E66" s="54"/>
      <c r="F66" s="54"/>
      <c r="G66" s="54"/>
      <c r="H66" s="54"/>
      <c r="I66" s="52">
        <f t="shared" ref="I66:I81" si="2">IF(A66&lt;&gt;0,(B66-(B65-D65))/(A66-A65),"")</f>
        <v>18.100000000000001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42</v>
      </c>
      <c r="B67" s="61">
        <f>471.38/1.3</f>
        <v>362.59999999999997</v>
      </c>
      <c r="C67" s="61">
        <v>4</v>
      </c>
      <c r="D67" s="61">
        <f>104.87/1.3</f>
        <v>80.669230769230765</v>
      </c>
      <c r="E67" s="54"/>
      <c r="F67" s="54"/>
      <c r="G67" s="54"/>
      <c r="H67" s="54"/>
      <c r="I67" s="52">
        <f t="shared" si="2"/>
        <v>18.229670329670324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49</v>
      </c>
      <c r="B68" s="61">
        <f>525.94/1.3</f>
        <v>404.56923076923078</v>
      </c>
      <c r="C68" s="61">
        <v>5</v>
      </c>
      <c r="D68" s="61">
        <f>117.59/1.3</f>
        <v>90.453846153846158</v>
      </c>
      <c r="E68" s="54"/>
      <c r="F68" s="54"/>
      <c r="G68" s="54"/>
      <c r="H68" s="54"/>
      <c r="I68" s="52">
        <f t="shared" si="2"/>
        <v>17.519780219780223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1">
        <v>56</v>
      </c>
      <c r="B69" s="61">
        <f>556.02/1.3</f>
        <v>427.7076923076923</v>
      </c>
      <c r="C69" s="61">
        <v>6</v>
      </c>
      <c r="D69" s="61">
        <f>98.63/1.3</f>
        <v>75.869230769230768</v>
      </c>
      <c r="E69" s="54"/>
      <c r="F69" s="54"/>
      <c r="G69" s="54"/>
      <c r="H69" s="54"/>
      <c r="I69" s="52">
        <f t="shared" si="2"/>
        <v>16.227472527472521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1">
        <v>63</v>
      </c>
      <c r="B70" s="61">
        <f>592.43/1.3</f>
        <v>455.71538461538455</v>
      </c>
      <c r="C70" s="61">
        <v>7</v>
      </c>
      <c r="D70" s="61">
        <f>103.64/1.3</f>
        <v>79.723076923076917</v>
      </c>
      <c r="E70" s="54"/>
      <c r="F70" s="54"/>
      <c r="G70" s="54"/>
      <c r="H70" s="54"/>
      <c r="I70" s="52">
        <f t="shared" si="2"/>
        <v>14.839560439560435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1">
        <v>69</v>
      </c>
      <c r="B71" s="61">
        <f>593.1/1.3</f>
        <v>456.23076923076923</v>
      </c>
      <c r="C71" s="61"/>
      <c r="D71" s="61"/>
      <c r="E71" s="54"/>
      <c r="F71" s="54"/>
      <c r="G71" s="54"/>
      <c r="H71" s="54"/>
      <c r="I71" s="52">
        <f t="shared" si="2"/>
        <v>13.373076923076932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1">
        <v>70</v>
      </c>
      <c r="B72" s="61">
        <f>609.79/1.3</f>
        <v>469.06923076923073</v>
      </c>
      <c r="C72" s="61">
        <v>8</v>
      </c>
      <c r="D72" s="61">
        <f>B72</f>
        <v>469.06923076923073</v>
      </c>
      <c r="E72" s="54"/>
      <c r="F72" s="54"/>
      <c r="G72" s="54"/>
      <c r="H72" s="54"/>
      <c r="I72" s="52">
        <f t="shared" si="2"/>
        <v>12.838461538461502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f>46.42/1.3</f>
        <v>35.707692307692305</v>
      </c>
      <c r="C88" s="61"/>
      <c r="D88" s="61"/>
      <c r="E88" s="54"/>
      <c r="F88" s="54"/>
      <c r="G88" s="54"/>
      <c r="H88" s="91"/>
      <c r="I88" s="56">
        <f>IFERROR(B88/A88,"")</f>
        <v>2.3805128205128203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21</v>
      </c>
      <c r="B89" s="61">
        <f>148.63/1.3</f>
        <v>114.33076923076922</v>
      </c>
      <c r="C89" s="61"/>
      <c r="D89" s="61"/>
      <c r="E89" s="54"/>
      <c r="F89" s="54"/>
      <c r="G89" s="54"/>
      <c r="H89" s="91"/>
      <c r="I89" s="56">
        <f t="shared" ref="I89:I107" si="3">IF(A89&lt;&gt;0,(B89-(B88-D88))/(A89-A88),"")</f>
        <v>13.103846153846154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22</v>
      </c>
      <c r="B90" s="61">
        <f>168.98/1.3</f>
        <v>129.98461538461538</v>
      </c>
      <c r="C90" s="61">
        <v>1</v>
      </c>
      <c r="D90" s="61">
        <f>68.57/1.3</f>
        <v>52.746153846153838</v>
      </c>
      <c r="E90" s="91"/>
      <c r="F90" s="91"/>
      <c r="G90" s="91"/>
      <c r="H90" s="91">
        <v>1</v>
      </c>
      <c r="I90" s="56">
        <f t="shared" si="3"/>
        <v>15.65384615384616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24</v>
      </c>
      <c r="B91" s="61">
        <f>129.64/1.3</f>
        <v>99.723076923076903</v>
      </c>
      <c r="C91" s="61"/>
      <c r="D91" s="61"/>
      <c r="E91" s="91"/>
      <c r="F91" s="91"/>
      <c r="G91" s="91"/>
      <c r="H91" s="91"/>
      <c r="I91" s="56">
        <f t="shared" si="3"/>
        <v>11.242307692307683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27</v>
      </c>
      <c r="B92" s="61">
        <f>182.93/1.3</f>
        <v>140.71538461538461</v>
      </c>
      <c r="C92" s="61">
        <v>2</v>
      </c>
      <c r="D92" s="61">
        <f>45.04/1.3</f>
        <v>34.646153846153844</v>
      </c>
      <c r="E92" s="91"/>
      <c r="F92" s="91"/>
      <c r="G92" s="91">
        <v>0.5</v>
      </c>
      <c r="H92" s="91">
        <v>0.5</v>
      </c>
      <c r="I92" s="56">
        <f t="shared" si="3"/>
        <v>13.664102564102569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30</v>
      </c>
      <c r="B93" s="61">
        <f>188.48/1.3</f>
        <v>144.98461538461538</v>
      </c>
      <c r="C93" s="61"/>
      <c r="D93" s="61"/>
      <c r="E93" s="91"/>
      <c r="F93" s="91"/>
      <c r="G93" s="91"/>
      <c r="H93" s="91"/>
      <c r="I93" s="56">
        <f t="shared" si="3"/>
        <v>12.971794871794875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33</v>
      </c>
      <c r="B94" s="61">
        <f>239.07/1.3</f>
        <v>183.89999999999998</v>
      </c>
      <c r="C94" s="61">
        <v>3</v>
      </c>
      <c r="D94" s="61">
        <f>55.91/1.3</f>
        <v>43.007692307692302</v>
      </c>
      <c r="E94" s="91"/>
      <c r="F94" s="91"/>
      <c r="G94" s="91"/>
      <c r="H94" s="91"/>
      <c r="I94" s="56">
        <f t="shared" si="3"/>
        <v>12.971794871794865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41</v>
      </c>
      <c r="B95" s="61">
        <f>315.66/1.3</f>
        <v>242.81538461538463</v>
      </c>
      <c r="C95" s="61">
        <v>4</v>
      </c>
      <c r="D95" s="61">
        <f>76.03/1.3</f>
        <v>58.484615384615381</v>
      </c>
      <c r="E95" s="91"/>
      <c r="F95" s="91"/>
      <c r="G95" s="91"/>
      <c r="H95" s="91"/>
      <c r="I95" s="56">
        <f t="shared" si="3"/>
        <v>12.74038461538462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50</v>
      </c>
      <c r="B96" s="61">
        <f>378.41/1.3</f>
        <v>291.0846153846154</v>
      </c>
      <c r="C96" s="61">
        <v>5</v>
      </c>
      <c r="D96" s="61">
        <f>71.88/1.3</f>
        <v>55.292307692307688</v>
      </c>
      <c r="E96" s="91"/>
      <c r="F96" s="91"/>
      <c r="G96" s="91"/>
      <c r="H96" s="91"/>
      <c r="I96" s="56">
        <f t="shared" si="3"/>
        <v>11.861538461538462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60</v>
      </c>
      <c r="B97" s="61">
        <f>445.15/1.3</f>
        <v>342.42307692307691</v>
      </c>
      <c r="C97" s="61">
        <v>6</v>
      </c>
      <c r="D97" s="61">
        <f>70.54/1.3</f>
        <v>54.261538461538464</v>
      </c>
      <c r="E97" s="91"/>
      <c r="F97" s="91"/>
      <c r="G97" s="91"/>
      <c r="H97" s="91"/>
      <c r="I97" s="56">
        <f t="shared" si="3"/>
        <v>10.66307692307692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70</v>
      </c>
      <c r="B98" s="61">
        <f>493.99/1.3</f>
        <v>379.99230769230769</v>
      </c>
      <c r="C98" s="61">
        <v>7</v>
      </c>
      <c r="D98" s="61">
        <f>68.47/1.3</f>
        <v>52.669230769230765</v>
      </c>
      <c r="E98" s="91"/>
      <c r="F98" s="91"/>
      <c r="G98" s="91"/>
      <c r="H98" s="91"/>
      <c r="I98" s="56">
        <f t="shared" si="3"/>
        <v>9.1830769230769249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80</v>
      </c>
      <c r="B99" s="61">
        <f>523.78/1.3</f>
        <v>402.90769230769229</v>
      </c>
      <c r="C99" s="61">
        <v>8</v>
      </c>
      <c r="D99" s="61">
        <f>B99</f>
        <v>402.90769230769229</v>
      </c>
      <c r="E99" s="91"/>
      <c r="F99" s="91"/>
      <c r="G99" s="91"/>
      <c r="H99" s="91"/>
      <c r="I99" s="56">
        <f t="shared" si="3"/>
        <v>7.5584615384615343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/>
      <c r="B100" s="61"/>
      <c r="C100" s="61"/>
      <c r="D100" s="61"/>
      <c r="E100" s="66"/>
      <c r="F100" s="66"/>
      <c r="G100" s="66"/>
      <c r="H100" s="66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/>
      <c r="B101" s="61"/>
      <c r="C101" s="61"/>
      <c r="D101" s="61"/>
      <c r="E101" s="66"/>
      <c r="F101" s="66"/>
      <c r="G101" s="66"/>
      <c r="H101" s="66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sycomore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1">
        <v>37</v>
      </c>
      <c r="C114" s="61"/>
      <c r="D114" s="61"/>
      <c r="E114" s="54"/>
      <c r="F114" s="54"/>
      <c r="G114" s="54"/>
      <c r="H114" s="91"/>
      <c r="I114" s="56">
        <f>IFERROR(B114/A114,"")</f>
        <v>2.4666666666666668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1">
        <f>80+15</f>
        <v>95</v>
      </c>
      <c r="C115" s="61">
        <v>1</v>
      </c>
      <c r="D115" s="61">
        <f>15+28</f>
        <v>43</v>
      </c>
      <c r="E115" s="54"/>
      <c r="F115" s="54"/>
      <c r="G115" s="54"/>
      <c r="H115" s="91">
        <v>1</v>
      </c>
      <c r="I115" s="56">
        <f t="shared" ref="I115:I133" si="4">IF(A115&lt;&gt;0,(B115-(B114-D114))/(A115-A114),"")</f>
        <v>11.6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1">
        <v>115</v>
      </c>
      <c r="C116" s="61"/>
      <c r="D116" s="61"/>
      <c r="E116" s="91"/>
      <c r="F116" s="91"/>
      <c r="G116" s="91"/>
      <c r="H116" s="91"/>
      <c r="I116" s="56">
        <f t="shared" si="4"/>
        <v>12.6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1">
        <f>147+28</f>
        <v>175</v>
      </c>
      <c r="C117" s="61">
        <v>2</v>
      </c>
      <c r="D117" s="61">
        <f>28+28</f>
        <v>56</v>
      </c>
      <c r="E117" s="91"/>
      <c r="F117" s="91"/>
      <c r="G117" s="91"/>
      <c r="H117" s="91">
        <v>1</v>
      </c>
      <c r="I117" s="56">
        <f t="shared" si="4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1">
        <v>172</v>
      </c>
      <c r="C118" s="61"/>
      <c r="D118" s="61"/>
      <c r="E118" s="91"/>
      <c r="F118" s="91"/>
      <c r="G118" s="91"/>
      <c r="H118" s="91"/>
      <c r="I118" s="56">
        <f t="shared" si="4"/>
        <v>10.6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1">
        <f>192+28</f>
        <v>220</v>
      </c>
      <c r="C119" s="61">
        <v>3</v>
      </c>
      <c r="D119" s="61">
        <f>28+28</f>
        <v>56</v>
      </c>
      <c r="E119" s="91"/>
      <c r="F119" s="91"/>
      <c r="G119" s="91"/>
      <c r="H119" s="91"/>
      <c r="I119" s="56">
        <f t="shared" si="4"/>
        <v>9.6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45</v>
      </c>
      <c r="B120" s="61">
        <v>205</v>
      </c>
      <c r="C120" s="61"/>
      <c r="D120" s="61"/>
      <c r="E120" s="91"/>
      <c r="F120" s="91"/>
      <c r="G120" s="91"/>
      <c r="H120" s="91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1">
        <v>50</v>
      </c>
      <c r="B121" s="61">
        <f>218+22</f>
        <v>240</v>
      </c>
      <c r="C121" s="61">
        <v>4</v>
      </c>
      <c r="D121" s="61">
        <f>22+17</f>
        <v>39</v>
      </c>
      <c r="E121" s="91"/>
      <c r="F121" s="91"/>
      <c r="G121" s="91"/>
      <c r="H121" s="91"/>
      <c r="I121" s="56">
        <f t="shared" si="4"/>
        <v>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1">
        <v>55</v>
      </c>
      <c r="B122" s="61">
        <v>233</v>
      </c>
      <c r="C122" s="61"/>
      <c r="D122" s="61"/>
      <c r="E122" s="91"/>
      <c r="F122" s="91"/>
      <c r="G122" s="91"/>
      <c r="H122" s="91"/>
      <c r="I122" s="56">
        <f t="shared" si="4"/>
        <v>6.4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1">
        <v>60</v>
      </c>
      <c r="B123" s="61">
        <f>245+13</f>
        <v>258</v>
      </c>
      <c r="C123" s="61">
        <v>5</v>
      </c>
      <c r="D123" s="61">
        <f>13+12</f>
        <v>25</v>
      </c>
      <c r="E123" s="91"/>
      <c r="F123" s="91"/>
      <c r="G123" s="91"/>
      <c r="H123" s="91"/>
      <c r="I123" s="56">
        <f t="shared" si="4"/>
        <v>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1">
        <v>65</v>
      </c>
      <c r="B124" s="61">
        <v>255</v>
      </c>
      <c r="C124" s="61"/>
      <c r="D124" s="61"/>
      <c r="E124" s="91"/>
      <c r="F124" s="91"/>
      <c r="G124" s="91"/>
      <c r="H124" s="91"/>
      <c r="I124" s="56">
        <f t="shared" si="4"/>
        <v>4.4000000000000004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1">
        <v>70</v>
      </c>
      <c r="B125" s="61">
        <f>263+11</f>
        <v>274</v>
      </c>
      <c r="C125" s="61">
        <v>6</v>
      </c>
      <c r="D125" s="61">
        <f>11+10</f>
        <v>21</v>
      </c>
      <c r="E125" s="91"/>
      <c r="F125" s="91"/>
      <c r="G125" s="91"/>
      <c r="H125" s="91"/>
      <c r="I125" s="56">
        <f t="shared" si="4"/>
        <v>3.8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1">
        <v>75</v>
      </c>
      <c r="B126" s="61">
        <v>270</v>
      </c>
      <c r="C126" s="61"/>
      <c r="D126" s="61"/>
      <c r="E126" s="66"/>
      <c r="F126" s="66"/>
      <c r="G126" s="66"/>
      <c r="H126" s="66"/>
      <c r="I126" s="56">
        <f t="shared" si="4"/>
        <v>3.4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1">
        <v>80</v>
      </c>
      <c r="B127" s="61">
        <f>276+9</f>
        <v>285</v>
      </c>
      <c r="C127" s="61">
        <v>7</v>
      </c>
      <c r="D127" s="61">
        <f>B127</f>
        <v>285</v>
      </c>
      <c r="E127" s="66"/>
      <c r="F127" s="66"/>
      <c r="G127" s="66"/>
      <c r="H127" s="66"/>
      <c r="I127" s="56">
        <f t="shared" si="4"/>
        <v>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pubescent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f>62+8</f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f>76+8+21</f>
        <v>105</v>
      </c>
      <c r="C142" s="61">
        <v>1</v>
      </c>
      <c r="D142" s="61">
        <f>8+21</f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f>95+21</f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f>116+21+21</f>
        <v>158</v>
      </c>
      <c r="C144" s="61">
        <v>2</v>
      </c>
      <c r="D144" s="61">
        <f>21+21</f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f>137+21</f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1">
        <f>157+21+21</f>
        <v>199</v>
      </c>
      <c r="C146" s="61">
        <v>3</v>
      </c>
      <c r="D146" s="61">
        <f>21+21</f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1">
        <f>176+21</f>
        <v>197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Cèdre de l'Atlas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30</v>
      </c>
      <c r="B166" s="61">
        <f>191.43/1.3</f>
        <v>147.25384615384615</v>
      </c>
      <c r="C166" s="61"/>
      <c r="D166" s="61"/>
      <c r="E166" s="54"/>
      <c r="F166" s="54"/>
      <c r="G166" s="54"/>
      <c r="H166" s="54"/>
      <c r="I166" s="52">
        <f>IFERROR(B166/A166,"")</f>
        <v>4.9084615384615384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35</v>
      </c>
      <c r="B167" s="61">
        <f>256.96/1.3</f>
        <v>197.66153846153844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10.081538461538457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40</v>
      </c>
      <c r="B168" s="61">
        <f>328.92/1.3</f>
        <v>253.01538461538462</v>
      </c>
      <c r="C168" s="61"/>
      <c r="D168" s="61"/>
      <c r="E168" s="54"/>
      <c r="F168" s="54"/>
      <c r="G168" s="54"/>
      <c r="H168" s="54"/>
      <c r="I168" s="52">
        <f t="shared" si="6"/>
        <v>11.070769230769235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45</v>
      </c>
      <c r="B169" s="61">
        <f>406.06/1.3</f>
        <v>312.35384615384612</v>
      </c>
      <c r="C169" s="61"/>
      <c r="D169" s="61"/>
      <c r="E169" s="54"/>
      <c r="F169" s="54"/>
      <c r="G169" s="54"/>
      <c r="H169" s="54"/>
      <c r="I169" s="52">
        <f t="shared" si="6"/>
        <v>11.8676923076923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51</v>
      </c>
      <c r="B170" s="61">
        <f>503.84/1.3</f>
        <v>387.56923076923073</v>
      </c>
      <c r="C170" s="61">
        <v>1</v>
      </c>
      <c r="D170" s="61">
        <f>221.21/1.3</f>
        <v>170.16153846153847</v>
      </c>
      <c r="E170" s="54"/>
      <c r="F170" s="54"/>
      <c r="G170" s="54"/>
      <c r="H170" s="54"/>
      <c r="I170" s="52">
        <f t="shared" si="6"/>
        <v>12.535897435897434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56</v>
      </c>
      <c r="B171" s="61">
        <f>355.85/1.3</f>
        <v>273.73076923076923</v>
      </c>
      <c r="C171" s="61"/>
      <c r="D171" s="61"/>
      <c r="E171" s="54"/>
      <c r="F171" s="54"/>
      <c r="G171" s="54"/>
      <c r="H171" s="54"/>
      <c r="I171" s="52">
        <f t="shared" si="6"/>
        <v>11.264615384615393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61</v>
      </c>
      <c r="B172" s="61">
        <f>427.85/1.3</f>
        <v>329.11538461538464</v>
      </c>
      <c r="C172" s="61">
        <v>2</v>
      </c>
      <c r="D172" s="61">
        <f>123.19/1.3</f>
        <v>94.76153846153845</v>
      </c>
      <c r="E172" s="54"/>
      <c r="F172" s="54"/>
      <c r="G172" s="54"/>
      <c r="H172" s="54"/>
      <c r="I172" s="52">
        <f t="shared" si="6"/>
        <v>11.076923076923084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281">
        <v>67</v>
      </c>
      <c r="B173" s="61">
        <f>384/1.3</f>
        <v>295.38461538461536</v>
      </c>
      <c r="C173" s="61"/>
      <c r="D173" s="61"/>
      <c r="E173" s="54"/>
      <c r="F173" s="54"/>
      <c r="G173" s="54"/>
      <c r="H173" s="54"/>
      <c r="I173" s="52">
        <f t="shared" si="6"/>
        <v>10.171794871794864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281">
        <v>73</v>
      </c>
      <c r="B174" s="61">
        <f>465.57/1.3</f>
        <v>358.1307692307692</v>
      </c>
      <c r="C174" s="61">
        <v>3</v>
      </c>
      <c r="D174" s="61">
        <f>121.66/1.3</f>
        <v>93.584615384615375</v>
      </c>
      <c r="E174" s="54"/>
      <c r="F174" s="54"/>
      <c r="G174" s="54"/>
      <c r="H174" s="54"/>
      <c r="I174" s="52">
        <f t="shared" si="6"/>
        <v>10.457692307692307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281">
        <v>79</v>
      </c>
      <c r="B175" s="61">
        <f>417.5/1.3</f>
        <v>321.15384615384613</v>
      </c>
      <c r="C175" s="61"/>
      <c r="D175" s="61"/>
      <c r="E175" s="54"/>
      <c r="F175" s="54"/>
      <c r="G175" s="54"/>
      <c r="H175" s="54"/>
      <c r="I175" s="52">
        <f t="shared" si="6"/>
        <v>9.4346153846153786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281">
        <v>85</v>
      </c>
      <c r="B176" s="61">
        <f>492.48/1.3</f>
        <v>378.83076923076925</v>
      </c>
      <c r="C176" s="61">
        <v>4</v>
      </c>
      <c r="D176" s="61">
        <f>110.77/1.3</f>
        <v>85.207692307692298</v>
      </c>
      <c r="E176" s="54"/>
      <c r="F176" s="54"/>
      <c r="G176" s="54"/>
      <c r="H176" s="54"/>
      <c r="I176" s="52">
        <f t="shared" si="6"/>
        <v>9.6128205128205195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281">
        <v>91</v>
      </c>
      <c r="B177" s="61">
        <f>449.33/1.3</f>
        <v>345.63846153846151</v>
      </c>
      <c r="C177" s="61"/>
      <c r="D177" s="61"/>
      <c r="E177" s="54"/>
      <c r="F177" s="54"/>
      <c r="G177" s="54"/>
      <c r="H177" s="54"/>
      <c r="I177" s="52">
        <f t="shared" si="6"/>
        <v>8.6692307692307597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281">
        <v>97</v>
      </c>
      <c r="B178" s="61">
        <f>517.76/1.3</f>
        <v>398.27692307692308</v>
      </c>
      <c r="C178" s="61">
        <v>5</v>
      </c>
      <c r="D178" s="61">
        <f>103.57/1.3</f>
        <v>79.669230769230765</v>
      </c>
      <c r="E178" s="54"/>
      <c r="F178" s="54"/>
      <c r="G178" s="54"/>
      <c r="H178" s="54"/>
      <c r="I178" s="52">
        <f t="shared" si="6"/>
        <v>8.7730769230769283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281">
        <v>103</v>
      </c>
      <c r="B179" s="61">
        <f>475.47/1.3</f>
        <v>365.74615384615385</v>
      </c>
      <c r="C179" s="61"/>
      <c r="D179" s="61"/>
      <c r="E179" s="54"/>
      <c r="F179" s="54"/>
      <c r="G179" s="54"/>
      <c r="H179" s="54"/>
      <c r="I179" s="52">
        <f t="shared" si="6"/>
        <v>7.8564102564102525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281">
        <v>109</v>
      </c>
      <c r="B180" s="53">
        <f>537.16/1.3</f>
        <v>413.2</v>
      </c>
      <c r="C180" s="53">
        <v>6</v>
      </c>
      <c r="D180" s="53">
        <f>104.85/1.3</f>
        <v>80.653846153846146</v>
      </c>
      <c r="E180" s="54"/>
      <c r="F180" s="54"/>
      <c r="G180" s="54"/>
      <c r="H180" s="54"/>
      <c r="I180" s="52">
        <f t="shared" si="6"/>
        <v>7.9089743589743575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115</v>
      </c>
      <c r="B181" s="53">
        <f>487.64/1.3</f>
        <v>375.10769230769228</v>
      </c>
      <c r="C181" s="53"/>
      <c r="D181" s="53"/>
      <c r="E181" s="54"/>
      <c r="F181" s="54"/>
      <c r="G181" s="54"/>
      <c r="H181" s="54"/>
      <c r="I181" s="52">
        <f t="shared" si="6"/>
        <v>7.0935897435897362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121</v>
      </c>
      <c r="B182" s="53">
        <f>542.89/1.3</f>
        <v>417.60769230769228</v>
      </c>
      <c r="C182" s="53">
        <v>7</v>
      </c>
      <c r="D182" s="53">
        <f>269.2/1.3</f>
        <v>207.07692307692307</v>
      </c>
      <c r="E182" s="54"/>
      <c r="F182" s="54"/>
      <c r="G182" s="54"/>
      <c r="H182" s="54"/>
      <c r="I182" s="52">
        <f t="shared" si="6"/>
        <v>7.083333333333333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126</v>
      </c>
      <c r="B183" s="53">
        <f>307.19/1.3</f>
        <v>236.29999999999998</v>
      </c>
      <c r="C183" s="53"/>
      <c r="D183" s="53"/>
      <c r="E183" s="54"/>
      <c r="F183" s="54"/>
      <c r="G183" s="54"/>
      <c r="H183" s="54"/>
      <c r="I183" s="52">
        <f t="shared" si="6"/>
        <v>5.1538461538461551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131</v>
      </c>
      <c r="B184" s="53">
        <f>337.5/1.3</f>
        <v>259.61538461538458</v>
      </c>
      <c r="C184" s="53">
        <v>8</v>
      </c>
      <c r="D184" s="53">
        <f>B184</f>
        <v>259.61538461538458</v>
      </c>
      <c r="E184" s="54"/>
      <c r="F184" s="54"/>
      <c r="G184" s="54"/>
      <c r="H184" s="54"/>
      <c r="I184" s="52">
        <f t="shared" si="6"/>
        <v>4.66307692307692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Châtaignier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1">
        <v>37</v>
      </c>
      <c r="C192" s="61"/>
      <c r="D192" s="61"/>
      <c r="E192" s="54"/>
      <c r="F192" s="54"/>
      <c r="G192" s="54"/>
      <c r="H192" s="91"/>
      <c r="I192" s="52">
        <f>IFERROR(B192/A192,"")</f>
        <v>2.4666666666666668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1">
        <f>80+15</f>
        <v>95</v>
      </c>
      <c r="C193" s="61">
        <v>1</v>
      </c>
      <c r="D193" s="61">
        <f>15+28</f>
        <v>43</v>
      </c>
      <c r="E193" s="54"/>
      <c r="F193" s="54"/>
      <c r="G193" s="54"/>
      <c r="H193" s="91">
        <v>1</v>
      </c>
      <c r="I193" s="52">
        <f t="shared" ref="I193:I211" si="7">IF(A193&lt;&gt;0,(B193-(B192-D192))/(A193-A192),"")</f>
        <v>11.6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1">
        <v>115</v>
      </c>
      <c r="C194" s="61"/>
      <c r="D194" s="61"/>
      <c r="E194" s="91"/>
      <c r="F194" s="91"/>
      <c r="G194" s="91"/>
      <c r="H194" s="91"/>
      <c r="I194" s="52">
        <f t="shared" si="7"/>
        <v>12.6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1">
        <f>147+28</f>
        <v>175</v>
      </c>
      <c r="C195" s="61">
        <v>2</v>
      </c>
      <c r="D195" s="61">
        <f>28+28</f>
        <v>56</v>
      </c>
      <c r="E195" s="91"/>
      <c r="F195" s="91"/>
      <c r="G195" s="91"/>
      <c r="H195" s="91">
        <v>1</v>
      </c>
      <c r="I195" s="52">
        <f t="shared" si="7"/>
        <v>12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1">
        <v>172</v>
      </c>
      <c r="C196" s="61"/>
      <c r="D196" s="61"/>
      <c r="E196" s="91"/>
      <c r="F196" s="91"/>
      <c r="G196" s="91"/>
      <c r="H196" s="91"/>
      <c r="I196" s="52">
        <f t="shared" si="7"/>
        <v>10.6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1">
        <f>192+28</f>
        <v>220</v>
      </c>
      <c r="C197" s="61">
        <v>3</v>
      </c>
      <c r="D197" s="61">
        <f>28+28</f>
        <v>56</v>
      </c>
      <c r="E197" s="91"/>
      <c r="F197" s="91"/>
      <c r="G197" s="91"/>
      <c r="H197" s="91"/>
      <c r="I197" s="52">
        <f t="shared" si="7"/>
        <v>9.6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1">
        <v>205</v>
      </c>
      <c r="C198" s="61"/>
      <c r="D198" s="61"/>
      <c r="E198" s="91"/>
      <c r="F198" s="91"/>
      <c r="G198" s="91"/>
      <c r="H198" s="91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61">
        <v>50</v>
      </c>
      <c r="B199" s="61">
        <f>218+22</f>
        <v>240</v>
      </c>
      <c r="C199" s="61">
        <v>4</v>
      </c>
      <c r="D199" s="61">
        <f>22+17</f>
        <v>39</v>
      </c>
      <c r="E199" s="91"/>
      <c r="F199" s="91"/>
      <c r="G199" s="91"/>
      <c r="H199" s="91"/>
      <c r="I199" s="52">
        <f t="shared" si="7"/>
        <v>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61">
        <v>55</v>
      </c>
      <c r="B200" s="61">
        <v>233</v>
      </c>
      <c r="C200" s="61"/>
      <c r="D200" s="61"/>
      <c r="E200" s="91"/>
      <c r="F200" s="91"/>
      <c r="G200" s="91"/>
      <c r="H200" s="91"/>
      <c r="I200" s="52">
        <f t="shared" si="7"/>
        <v>6.4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61">
        <v>60</v>
      </c>
      <c r="B201" s="61">
        <f>245+13</f>
        <v>258</v>
      </c>
      <c r="C201" s="61">
        <v>5</v>
      </c>
      <c r="D201" s="61">
        <f>13+12</f>
        <v>25</v>
      </c>
      <c r="E201" s="91"/>
      <c r="F201" s="91"/>
      <c r="G201" s="91"/>
      <c r="H201" s="91"/>
      <c r="I201" s="52">
        <f t="shared" si="7"/>
        <v>5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61">
        <v>65</v>
      </c>
      <c r="B202" s="61">
        <v>255</v>
      </c>
      <c r="C202" s="61"/>
      <c r="D202" s="61"/>
      <c r="E202" s="91"/>
      <c r="F202" s="91"/>
      <c r="G202" s="91"/>
      <c r="H202" s="91"/>
      <c r="I202" s="52">
        <f t="shared" si="7"/>
        <v>4.4000000000000004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61">
        <v>70</v>
      </c>
      <c r="B203" s="61">
        <f>263+11</f>
        <v>274</v>
      </c>
      <c r="C203" s="61">
        <v>6</v>
      </c>
      <c r="D203" s="61">
        <f>11+10</f>
        <v>21</v>
      </c>
      <c r="E203" s="91"/>
      <c r="F203" s="91"/>
      <c r="G203" s="91"/>
      <c r="H203" s="91"/>
      <c r="I203" s="52">
        <f t="shared" si="7"/>
        <v>3.8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61">
        <v>75</v>
      </c>
      <c r="B204" s="61">
        <v>270</v>
      </c>
      <c r="C204" s="61"/>
      <c r="D204" s="61"/>
      <c r="E204" s="66"/>
      <c r="F204" s="66"/>
      <c r="G204" s="66"/>
      <c r="H204" s="66"/>
      <c r="I204" s="52">
        <f t="shared" si="7"/>
        <v>3.4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1">
        <v>80</v>
      </c>
      <c r="B205" s="61">
        <f>276+9</f>
        <v>285</v>
      </c>
      <c r="C205" s="61">
        <v>7</v>
      </c>
      <c r="D205" s="61">
        <f>B205</f>
        <v>285</v>
      </c>
      <c r="E205" s="66"/>
      <c r="F205" s="66"/>
      <c r="G205" s="66"/>
      <c r="H205" s="66"/>
      <c r="I205" s="52">
        <f t="shared" si="7"/>
        <v>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H13" sqref="H1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sessile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Douglas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Pin laricio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Erable sycomore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Chêne pubescent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Cèdre de l'Atlas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Châtaignier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428.8489304403459</v>
      </c>
      <c r="T3" s="60">
        <f>IF('Données projet'!E9&gt;30,$R$33-$H$33,LOOKUP('Données projet'!$E$9,$A$3:$A$203,R3:R203)-LOOKUP('Données projet'!$E$9,$A$3:$A$203,$H$3:$H$203))</f>
        <v>247.01165577562966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323.98185264074681</v>
      </c>
      <c r="AO3" s="60">
        <f>IF('Données projet'!E10&gt;30,$AM$33-$H$33,LOOKUP('Données projet'!$E$10,$A$3:$A$203,AM3:AM203)-LOOKUP('Données projet'!$E$10,$A$3:$A$203,$H$3:$H$203))</f>
        <v>301.22207291854005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289.12367833861299</v>
      </c>
      <c r="BJ3" s="60">
        <f>IF('Données projet'!E11&gt;30,$BH$33-$H$33,LOOKUP('Données projet'!$E$11,$A$3:$A$203,BH3:BH203)-LOOKUP('Données projet'!$E$11,$A$3:$A$203,$H$3:$H$203))</f>
        <v>229.06617320689003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312.53381881960331</v>
      </c>
      <c r="CE3" s="60">
        <f>IF('Données projet'!E12&gt;30,$CC$33-$H$33,LOOKUP('Données projet'!$E$12,$A$3:$A$203,CC3:CC203)-LOOKUP('Données projet'!$E$12,$A$3:$A$203,$H$3:$H$203))</f>
        <v>342.06887933351783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475.47920969424894</v>
      </c>
      <c r="CZ3" s="60">
        <f>IF('Données projet'!E13&gt;30,$CX$33-$H$33,LOOKUP('Données projet'!$E$13,$A$3:$A$203,CX3:CX203)-LOOKUP('Données projet'!$E$13,$A$3:$A$203,$H$3:$H$203))</f>
        <v>271.73544012419364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284.71577701131588</v>
      </c>
      <c r="DU3" s="60">
        <f>IF('Données projet'!E14&gt;30,$DS$33-$H$33,LOOKUP('Données projet'!$E$14,$A$3:$A$203,DS3:DS203)-LOOKUP('Données projet'!$E$14,$A$3:$A$203,$H$3:$H$203))</f>
        <v>190.4880882944471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290.85271051443431</v>
      </c>
      <c r="EP3" s="60">
        <f>IF('Données projet'!E15&gt;30,$EN$33-$H$33,LOOKUP('Données projet'!$E$15,$A$3:$A$203,EN3:EN203)-LOOKUP('Données projet'!$E$15,$A$3:$A$203,$H$3:$H$203))</f>
        <v>318.66958823451142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0">
        <f t="shared" si="0"/>
        <v>260.65521412271448</v>
      </c>
      <c r="S4" s="60">
        <f ca="1">AVERAGE(OFFSET($R$3,0,0,'Données projet'!$E$9+1,1))-AVERAGE(OFFSET($H$3,0,0,'Données projet'!$E$9+1,1))</f>
        <v>428.8489304403459</v>
      </c>
      <c r="T4" s="60">
        <f>$T$3</f>
        <v>247.01165577562966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7.7987854251012134</v>
      </c>
      <c r="AI4" s="14">
        <f>IF('Données projet'!$A$62&gt;35,AI3+AH4-AQ3,IF(A4&lt;'Données projet'!$A$62,$AF$205^A4,IF(A4='Données projet'!$A$62,'Données projet'!$B$62,AI3+AH4-AQ3)))</f>
        <v>1.3009230512021859</v>
      </c>
      <c r="AJ4" s="14">
        <f>AI4*VLOOKUP('Données projet'!$B$10,Paramètres!$A$1:$I$89,3,0)*VLOOKUP('Données projet'!$B$10,Paramètres!$A$1:$I$89,5,0)</f>
        <v>0.72721598562202194</v>
      </c>
      <c r="AK4" s="14">
        <f>EXP(-1.0587+0.8836*LN(AJ4)+0.284)</f>
        <v>0.3477906162348457</v>
      </c>
      <c r="AL4" s="22">
        <f t="shared" ref="AL4:AL67" si="4">(AJ4+AK4)*0.475*44/12</f>
        <v>1.8723031649007107</v>
      </c>
      <c r="AM4" s="60">
        <f t="shared" ref="AM4:AM67" si="5">AL4+(AD4+AE4)*44/12</f>
        <v>259.76119205378956</v>
      </c>
      <c r="AN4" s="60">
        <f ca="1">AVERAGE(OFFSET($AM$3,0,0,'Données projet'!$E$10+1,1))-AVERAGE(OFFSET($H$3,0,0,'Données projet'!$E$10+1,1))</f>
        <v>323.98185264074681</v>
      </c>
      <c r="AO4" s="60">
        <f>$AO$3</f>
        <v>301.22207291854005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2.3805128205128203</v>
      </c>
      <c r="BD4" s="13">
        <f>IF('Données projet'!$A$88&gt;35,BD3+BC4-BL3,IF(A4&lt;'Données projet'!$A$88,$BA$205^A4,IF(A4='Données projet'!$A$88,'Données projet'!$B$88,BD3+BC4-BL3)))</f>
        <v>1.2691631451226497</v>
      </c>
      <c r="BE4" s="14">
        <f>BD4*VLOOKUP('Données projet'!$B$11,Paramètres!$A$1:$I$89,3,0)*VLOOKUP('Données projet'!$B$11,Paramètres!$A$1:$I$89,5,0)</f>
        <v>0.75895956078334459</v>
      </c>
      <c r="BF4" s="14">
        <f>EXP(-1.0587+0.8836*LN(BE4)+0.284)</f>
        <v>0.36117131619841292</v>
      </c>
      <c r="BG4" s="22">
        <f t="shared" ref="BG4:BG67" si="7">(BE4+BF4)*0.475*44/12</f>
        <v>1.9508946107432275</v>
      </c>
      <c r="BH4" s="60">
        <f t="shared" ref="BH4:BH67" si="8">BG4+(AY4+AZ4)*44/12</f>
        <v>259.83978349963206</v>
      </c>
      <c r="BI4" s="60">
        <f ca="1">AVERAGE(OFFSET($BH$3,0,0,'Données projet'!$E$11+1,1))-AVERAGE(OFFSET($H$3,0,0,'Données projet'!$E$11+1,1))</f>
        <v>289.12367833861299</v>
      </c>
      <c r="BJ4" s="60">
        <f>$BJ$3</f>
        <v>229.06617320689003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2.4666666666666668</v>
      </c>
      <c r="BY4" s="13">
        <f>IF('Données projet'!$A$114&gt;35,BY3+BX4-CG3,IF(A4&lt;'Données projet'!$A$114,$BV$205^A4,IF(A4='Données projet'!$A$114,'Données projet'!$B$114,BY3+BX4-CG3)))</f>
        <v>1.2721747796233518</v>
      </c>
      <c r="BZ4" s="14">
        <f>BY4*VLOOKUP('Données projet'!$B$12,Paramètres!$A$1:$I$89,3,0)*VLOOKUP('Données projet'!$B$12,Paramètres!$A$1:$I$89,5,0)</f>
        <v>1.0121422546683387</v>
      </c>
      <c r="CA4" s="14">
        <f>EXP(-1.0587+0.8836*LN(BZ4)+0.284)</f>
        <v>0.46578286063395047</v>
      </c>
      <c r="CB4" s="22">
        <f t="shared" ref="CB4:CB67" si="10">(BZ4+CA4)*0.475*44/12</f>
        <v>2.574052909151487</v>
      </c>
      <c r="CC4" s="60">
        <f t="shared" ref="CC4:CC67" si="11">CB4+(BT4+BU4)*44/12</f>
        <v>260.46294179804033</v>
      </c>
      <c r="CD4" s="60">
        <f ca="1">AVERAGE(OFFSET($CC$3,0,0,'Données projet'!$E$12+1,1))-AVERAGE(OFFSET($H$3,0,0,'Données projet'!$E$12+1,1))</f>
        <v>312.53381881960331</v>
      </c>
      <c r="CE4" s="60">
        <f>$CE$3</f>
        <v>342.06887933351783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1.2223636300497438</v>
      </c>
      <c r="CV4" s="14">
        <f>EXP(-1.0587+0.8836*LN(CU4)+0.284)</f>
        <v>0.55030360208821416</v>
      </c>
      <c r="CW4" s="22">
        <f t="shared" ref="CW4:CW67" si="13">(CU4+CV4)*0.475*44/12</f>
        <v>3.0873954293069432</v>
      </c>
      <c r="CX4" s="60">
        <f t="shared" ref="CX4:CX67" si="14">CW4+(CO4+CP4)*44/12</f>
        <v>260.97628431819578</v>
      </c>
      <c r="CY4" s="60">
        <f ca="1">AVERAGE(OFFSET($CX$3,0,0,'Données projet'!$E$13+1,1))-AVERAGE(OFFSET($H$3,0,0,'Données projet'!$E$13+1,1))</f>
        <v>475.47920969424894</v>
      </c>
      <c r="CZ4" s="60">
        <f>$CZ$3</f>
        <v>271.73544012419364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4.9084615384615384</v>
      </c>
      <c r="DO4" s="13">
        <f>IF('Données projet'!$A$166&gt;35,DO3+DN4-DW3,IF(A4&lt;'Données projet'!$A$166,$DL$205^A4,IF(A4='Données projet'!$A$166,'Données projet'!$B$166,DO3+DN4-DW3)))</f>
        <v>1.1810516433311786</v>
      </c>
      <c r="DP4" s="18">
        <f>DO4*VLOOKUP('Données projet'!$B$14,Paramètres!$A$1:$I$89,3,0)*VLOOKUP('Données projet'!$B$14,Paramètres!$A$1:$I$89,5,0)</f>
        <v>0.55273216907899159</v>
      </c>
      <c r="DQ4" s="14">
        <f>EXP(-1.0587+0.8836*LN(DP4)+0.284)</f>
        <v>0.27292171413945432</v>
      </c>
      <c r="DR4" s="22">
        <f t="shared" ref="DR4:DR67" si="16">(DP4+DQ4)*0.475*44/12</f>
        <v>1.4380138466054599</v>
      </c>
      <c r="DS4" s="60">
        <f t="shared" ref="DS4:DS67" si="17">DR4+(DJ4+DK4)*44/12</f>
        <v>259.32690273549434</v>
      </c>
      <c r="DT4" s="60">
        <f ca="1">AVERAGE(OFFSET($DS$3,0,0,'Données projet'!$E$14+1,1))-AVERAGE(OFFSET($H$3,0,0,'Données projet'!$E$14+1,1))</f>
        <v>284.71577701131588</v>
      </c>
      <c r="DU4" s="60">
        <f>$DU$3</f>
        <v>190.4880882944471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2.4666666666666668</v>
      </c>
      <c r="EJ4" s="13">
        <f>IF('Données projet'!$A$192&gt;35,EJ3+EI4-ER3,IF(A4&lt;'Données projet'!$A$192,$EG$205^A4,IF(A4='Données projet'!$A$192,'Données projet'!$B$192,EJ3+EI4-ER3)))</f>
        <v>1.2721747796233518</v>
      </c>
      <c r="EK4" s="18">
        <f>EJ4*VLOOKUP('Données projet'!$B$15,Paramètres!$A$1:$I$89,3,0)*VLOOKUP('Données projet'!$B$15,Paramètres!$A$1:$I$89,5,0)</f>
        <v>0.9327585484198414</v>
      </c>
      <c r="EL4" s="14">
        <f>EXP(-1.0587+0.8836*LN(EK4)+0.284)</f>
        <v>0.43335135961225768</v>
      </c>
      <c r="EM4" s="22">
        <f t="shared" ref="EM4:EM67" si="19">(EK4+EL4)*0.475*44/12</f>
        <v>2.3793080898225729</v>
      </c>
      <c r="EN4" s="60">
        <f t="shared" ref="EN4:EN67" si="20">EM4+(EE4+EF4)*44/12</f>
        <v>260.26819697871144</v>
      </c>
      <c r="EO4" s="60">
        <f ca="1">AVERAGE(OFFSET($EN$3,0,0,'Données projet'!$E$15+1,1))-AVERAGE(OFFSET($H$3,0,0,'Données projet'!$E$15+1,1))</f>
        <v>290.85271051443431</v>
      </c>
      <c r="EP4" s="60">
        <f>$EP$3</f>
        <v>318.66958823451142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0">
        <f t="shared" si="0"/>
        <v>262.42339882093205</v>
      </c>
      <c r="S5" s="60">
        <f ca="1">AVERAGE(OFFSET($R$3,0,0,'Données projet'!$E$9+1,1))-AVERAGE(OFFSET($H$3,0,0,'Données projet'!$E$9+1,1))</f>
        <v>428.8489304403459</v>
      </c>
      <c r="T5" s="60">
        <f t="shared" ref="T5:T68" si="34">$T$3</f>
        <v>247.01165577562966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7.7987854251012134</v>
      </c>
      <c r="AI5" s="14">
        <f>IF('Données projet'!$A$62&gt;35,AI4+AH5-AQ4,IF(A5&lt;'Données projet'!$A$62,$AF$205^A5,IF(A5='Données projet'!$A$62,'Données projet'!$B$62,AI4+AH5-AQ4)))</f>
        <v>1.6924007851492051</v>
      </c>
      <c r="AJ5" s="14">
        <f>AI5*VLOOKUP('Données projet'!$B$10,Paramètres!$A$1:$I$89,3,0)*VLOOKUP('Données projet'!$B$10,Paramètres!$A$1:$I$89,5,0)</f>
        <v>0.94605203889840572</v>
      </c>
      <c r="AK5" s="14">
        <f t="shared" ref="AK5:AK68" si="35">EXP(-1.0587+0.8836*LN(AJ5)+0.284)</f>
        <v>0.43880400409515918</v>
      </c>
      <c r="AL5" s="22">
        <f t="shared" si="4"/>
        <v>2.4119576082137919</v>
      </c>
      <c r="AM5" s="60">
        <f t="shared" si="5"/>
        <v>261.52306871932495</v>
      </c>
      <c r="AN5" s="60">
        <f ca="1">AVERAGE(OFFSET($AM$3,0,0,'Données projet'!$E$10+1,1))-AVERAGE(OFFSET($H$3,0,0,'Données projet'!$E$10+1,1))</f>
        <v>323.98185264074681</v>
      </c>
      <c r="AO5" s="60">
        <f t="shared" ref="AO5:AO68" si="36">$AO$3</f>
        <v>301.22207291854005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2.3805128205128203</v>
      </c>
      <c r="BD5" s="13">
        <f>IF('Données projet'!$A$88&gt;35,BD4+BC5-BL4,IF(A5&lt;'Données projet'!$A$88,$BA$205^A5,IF(A5='Données projet'!$A$88,'Données projet'!$B$88,BD4+BC5-BL4)))</f>
        <v>1.610775088937616</v>
      </c>
      <c r="BE5" s="14">
        <f>BD5*VLOOKUP('Données projet'!$B$11,Paramètres!$A$1:$I$89,3,0)*VLOOKUP('Données projet'!$B$11,Paramètres!$A$1:$I$89,5,0)</f>
        <v>0.96324350318469443</v>
      </c>
      <c r="BF5" s="14">
        <f t="shared" ref="BF5:BF68" si="37">EXP(-1.0587+0.8836*LN(BE5)+0.284)</f>
        <v>0.44584230224208238</v>
      </c>
      <c r="BG5" s="22">
        <f t="shared" si="7"/>
        <v>2.4541577777849692</v>
      </c>
      <c r="BH5" s="60">
        <f t="shared" si="8"/>
        <v>261.56526888889613</v>
      </c>
      <c r="BI5" s="60">
        <f ca="1">AVERAGE(OFFSET($BH$3,0,0,'Données projet'!$E$11+1,1))-AVERAGE(OFFSET($H$3,0,0,'Données projet'!$E$11+1,1))</f>
        <v>289.12367833861299</v>
      </c>
      <c r="BJ5" s="60">
        <f t="shared" ref="BJ5:BJ68" si="38">$BJ$3</f>
        <v>229.06617320689003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2.4666666666666668</v>
      </c>
      <c r="BY5" s="13">
        <f>IF('Données projet'!$A$114&gt;35,BY4+BX5-CG4,IF(A5&lt;'Données projet'!$A$114,$BV$205^A5,IF(A5='Données projet'!$A$114,'Données projet'!$B$114,BY4+BX5-CG4)))</f>
        <v>1.6184286699097237</v>
      </c>
      <c r="BZ5" s="14">
        <f>BY5*VLOOKUP('Données projet'!$B$12,Paramètres!$A$1:$I$89,3,0)*VLOOKUP('Données projet'!$B$12,Paramètres!$A$1:$I$89,5,0)</f>
        <v>1.2876218497801761</v>
      </c>
      <c r="CA5" s="14">
        <f t="shared" ref="CA5:CA68" si="39">EXP(-1.0587+0.8836*LN(BZ5)+0.284)</f>
        <v>0.57618379541883336</v>
      </c>
      <c r="CB5" s="22">
        <f t="shared" si="10"/>
        <v>3.2461281653882743</v>
      </c>
      <c r="CC5" s="60">
        <f t="shared" si="11"/>
        <v>262.3572392764994</v>
      </c>
      <c r="CD5" s="60">
        <f ca="1">AVERAGE(OFFSET($CC$3,0,0,'Données projet'!$E$12+1,1))-AVERAGE(OFFSET($H$3,0,0,'Données projet'!$E$12+1,1))</f>
        <v>312.53381881960331</v>
      </c>
      <c r="CE5" s="60">
        <f t="shared" ref="CE5:CE68" si="40">$CE$3</f>
        <v>342.06887933351783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1.47354323872622</v>
      </c>
      <c r="CV5" s="14">
        <f t="shared" ref="CV5:CV68" si="41">EXP(-1.0587+0.8836*LN(CU5)+0.284)</f>
        <v>0.64910881835703094</v>
      </c>
      <c r="CW5" s="22">
        <f t="shared" si="13"/>
        <v>3.6969523327533285</v>
      </c>
      <c r="CX5" s="60">
        <f t="shared" si="14"/>
        <v>262.80806344386446</v>
      </c>
      <c r="CY5" s="60">
        <f ca="1">AVERAGE(OFFSET($CX$3,0,0,'Données projet'!$E$13+1,1))-AVERAGE(OFFSET($H$3,0,0,'Données projet'!$E$13+1,1))</f>
        <v>475.47920969424894</v>
      </c>
      <c r="CZ5" s="60">
        <f t="shared" ref="CZ5:CZ68" si="42">$CZ$3</f>
        <v>271.73544012419364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4.9084615384615384</v>
      </c>
      <c r="DO5" s="13">
        <f>IF('Données projet'!$A$166&gt;35,DO4+DN5-DW4,IF(A5&lt;'Données projet'!$A$166,$DL$205^A5,IF(A5='Données projet'!$A$166,'Données projet'!$B$166,DO4+DN5-DW4)))</f>
        <v>1.3948829842152777</v>
      </c>
      <c r="DP5" s="18">
        <f>DO5*VLOOKUP('Données projet'!$B$14,Paramètres!$A$1:$I$89,3,0)*VLOOKUP('Données projet'!$B$14,Paramètres!$A$1:$I$89,5,0)</f>
        <v>0.65280523661274992</v>
      </c>
      <c r="DQ5" s="14">
        <f t="shared" ref="DQ5:DQ68" si="43">EXP(-1.0587+0.8836*LN(DP5)+0.284)</f>
        <v>0.31615123301372139</v>
      </c>
      <c r="DR5" s="22">
        <f t="shared" si="16"/>
        <v>1.6875991845994376</v>
      </c>
      <c r="DS5" s="60">
        <f t="shared" si="17"/>
        <v>260.79871029571058</v>
      </c>
      <c r="DT5" s="60">
        <f ca="1">AVERAGE(OFFSET($DS$3,0,0,'Données projet'!$E$14+1,1))-AVERAGE(OFFSET($H$3,0,0,'Données projet'!$E$14+1,1))</f>
        <v>284.71577701131588</v>
      </c>
      <c r="DU5" s="60">
        <f t="shared" ref="DU5:DU68" si="44">$DU$3</f>
        <v>190.4880882944471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2.4666666666666668</v>
      </c>
      <c r="EJ5" s="13">
        <f>IF('Données projet'!$A$192&gt;35,EJ4+EI5-ER4,IF(A5&lt;'Données projet'!$A$192,$EG$205^A5,IF(A5='Données projet'!$A$192,'Données projet'!$B$192,EJ4+EI5-ER4)))</f>
        <v>1.6184286699097237</v>
      </c>
      <c r="EK5" s="18">
        <f>EJ5*VLOOKUP('Données projet'!$B$15,Paramètres!$A$1:$I$89,3,0)*VLOOKUP('Données projet'!$B$15,Paramètres!$A$1:$I$89,5,0)</f>
        <v>1.1866319007778094</v>
      </c>
      <c r="EL5" s="14">
        <f t="shared" ref="EL5:EL68" si="45">EXP(-1.0587+0.8836*LN(EK5)+0.284)</f>
        <v>0.53606530474621483</v>
      </c>
      <c r="EM5" s="22">
        <f t="shared" si="19"/>
        <v>3.0003642996210083</v>
      </c>
      <c r="EN5" s="60">
        <f t="shared" si="20"/>
        <v>262.11147541073217</v>
      </c>
      <c r="EO5" s="60">
        <f ca="1">AVERAGE(OFFSET($EN$3,0,0,'Données projet'!$E$15+1,1))-AVERAGE(OFFSET($H$3,0,0,'Données projet'!$E$15+1,1))</f>
        <v>290.85271051443431</v>
      </c>
      <c r="EP5" s="60">
        <f t="shared" ref="EP5:EP68" si="46">$EP$3</f>
        <v>318.66958823451142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0">
        <f t="shared" si="0"/>
        <v>264.29973523978072</v>
      </c>
      <c r="S6" s="60">
        <f ca="1">AVERAGE(OFFSET($R$3,0,0,'Données projet'!$E$9+1,1))-AVERAGE(OFFSET($H$3,0,0,'Données projet'!$E$9+1,1))</f>
        <v>428.8489304403459</v>
      </c>
      <c r="T6" s="60">
        <f t="shared" si="34"/>
        <v>247.01165577562966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7.7987854251012134</v>
      </c>
      <c r="AI6" s="14">
        <f>IF('Données projet'!$A$62&gt;35,AI5+AH6-AQ5,IF(A6&lt;'Données projet'!$A$62,$AF$205^A6,IF(A6='Données projet'!$A$62,'Données projet'!$B$62,AI5+AH6-AQ5)))</f>
        <v>2.2016831932732788</v>
      </c>
      <c r="AJ6" s="14">
        <f>AI6*VLOOKUP('Données projet'!$B$10,Paramètres!$A$1:$I$89,3,0)*VLOOKUP('Données projet'!$B$10,Paramètres!$A$1:$I$89,5,0)</f>
        <v>1.2307409050397629</v>
      </c>
      <c r="AK6" s="14">
        <f t="shared" si="35"/>
        <v>0.55363470151801264</v>
      </c>
      <c r="AL6" s="22">
        <f t="shared" si="4"/>
        <v>3.1077875147547922</v>
      </c>
      <c r="AM6" s="60">
        <f t="shared" si="5"/>
        <v>263.44112084808813</v>
      </c>
      <c r="AN6" s="60">
        <f ca="1">AVERAGE(OFFSET($AM$3,0,0,'Données projet'!$E$10+1,1))-AVERAGE(OFFSET($H$3,0,0,'Données projet'!$E$10+1,1))</f>
        <v>323.98185264074681</v>
      </c>
      <c r="AO6" s="60">
        <f t="shared" si="36"/>
        <v>301.22207291854005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2.3805128205128203</v>
      </c>
      <c r="BD6" s="13">
        <f>IF('Données projet'!$A$88&gt;35,BD5+BC6-BL5,IF(A6&lt;'Données projet'!$A$88,$BA$205^A6,IF(A6='Données projet'!$A$88,'Données projet'!$B$88,BD5+BC6-BL5)))</f>
        <v>2.0443363779612804</v>
      </c>
      <c r="BE6" s="14">
        <f>BD6*VLOOKUP('Données projet'!$B$11,Paramètres!$A$1:$I$89,3,0)*VLOOKUP('Données projet'!$B$11,Paramètres!$A$1:$I$89,5,0)</f>
        <v>1.2225131540208458</v>
      </c>
      <c r="BF6" s="14">
        <f t="shared" si="37"/>
        <v>0.55036308132321654</v>
      </c>
      <c r="BG6" s="22">
        <f t="shared" si="7"/>
        <v>3.0877594432242415</v>
      </c>
      <c r="BH6" s="60">
        <f t="shared" si="8"/>
        <v>263.42109277655754</v>
      </c>
      <c r="BI6" s="60">
        <f ca="1">AVERAGE(OFFSET($BH$3,0,0,'Données projet'!$E$11+1,1))-AVERAGE(OFFSET($H$3,0,0,'Données projet'!$E$11+1,1))</f>
        <v>289.12367833861299</v>
      </c>
      <c r="BJ6" s="60">
        <f t="shared" si="38"/>
        <v>229.06617320689003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2.4666666666666668</v>
      </c>
      <c r="BY6" s="13">
        <f>IF('Données projet'!$A$114&gt;35,BY5+BX6-CG5,IF(A6&lt;'Données projet'!$A$114,$BV$205^A6,IF(A6='Données projet'!$A$114,'Données projet'!$B$114,BY5+BX6-CG5)))</f>
        <v>2.0589241364785171</v>
      </c>
      <c r="BZ6" s="14">
        <f>BY6*VLOOKUP('Données projet'!$B$12,Paramètres!$A$1:$I$89,3,0)*VLOOKUP('Données projet'!$B$12,Paramètres!$A$1:$I$89,5,0)</f>
        <v>1.6380800429823084</v>
      </c>
      <c r="CA6" s="14">
        <f t="shared" si="39"/>
        <v>0.71275221602487127</v>
      </c>
      <c r="CB6" s="22">
        <f t="shared" si="10"/>
        <v>4.0943661844375043</v>
      </c>
      <c r="CC6" s="60">
        <f t="shared" si="11"/>
        <v>264.4276995177708</v>
      </c>
      <c r="CD6" s="60">
        <f ca="1">AVERAGE(OFFSET($CC$3,0,0,'Données projet'!$E$12+1,1))-AVERAGE(OFFSET($H$3,0,0,'Données projet'!$E$12+1,1))</f>
        <v>312.53381881960331</v>
      </c>
      <c r="CE6" s="60">
        <f t="shared" si="40"/>
        <v>342.06887933351783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1.7763369450933317</v>
      </c>
      <c r="CV6" s="14">
        <f t="shared" si="41"/>
        <v>0.76565418883323866</v>
      </c>
      <c r="CW6" s="22">
        <f t="shared" si="13"/>
        <v>4.4273012249221102</v>
      </c>
      <c r="CX6" s="60">
        <f t="shared" si="14"/>
        <v>264.76063455825545</v>
      </c>
      <c r="CY6" s="60">
        <f ca="1">AVERAGE(OFFSET($CX$3,0,0,'Données projet'!$E$13+1,1))-AVERAGE(OFFSET($H$3,0,0,'Données projet'!$E$13+1,1))</f>
        <v>475.47920969424894</v>
      </c>
      <c r="CZ6" s="60">
        <f t="shared" si="42"/>
        <v>271.73544012419364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4.9084615384615384</v>
      </c>
      <c r="DO6" s="13">
        <f>IF('Données projet'!$A$166&gt;35,DO5+DN6-DW5,IF(A6&lt;'Données projet'!$A$166,$DL$205^A6,IF(A6='Données projet'!$A$166,'Données projet'!$B$166,DO5+DN6-DW5)))</f>
        <v>1.6474288407621522</v>
      </c>
      <c r="DP6" s="18">
        <f>DO6*VLOOKUP('Données projet'!$B$14,Paramètres!$A$1:$I$89,3,0)*VLOOKUP('Données projet'!$B$14,Paramètres!$A$1:$I$89,5,0)</f>
        <v>0.7709966974766872</v>
      </c>
      <c r="DQ6" s="14">
        <f t="shared" si="43"/>
        <v>0.36622810482944673</v>
      </c>
      <c r="DR6" s="22">
        <f t="shared" si="16"/>
        <v>1.9806665306831832</v>
      </c>
      <c r="DS6" s="60">
        <f t="shared" si="17"/>
        <v>262.31399986401652</v>
      </c>
      <c r="DT6" s="60">
        <f ca="1">AVERAGE(OFFSET($DS$3,0,0,'Données projet'!$E$14+1,1))-AVERAGE(OFFSET($H$3,0,0,'Données projet'!$E$14+1,1))</f>
        <v>284.71577701131588</v>
      </c>
      <c r="DU6" s="60">
        <f t="shared" si="44"/>
        <v>190.4880882944471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2.4666666666666668</v>
      </c>
      <c r="EJ6" s="13">
        <f>IF('Données projet'!$A$192&gt;35,EJ5+EI6-ER5,IF(A6&lt;'Données projet'!$A$192,$EG$205^A6,IF(A6='Données projet'!$A$192,'Données projet'!$B$192,EJ5+EI6-ER5)))</f>
        <v>2.0589241364785171</v>
      </c>
      <c r="EK6" s="18">
        <f>EJ6*VLOOKUP('Données projet'!$B$15,Paramètres!$A$1:$I$89,3,0)*VLOOKUP('Données projet'!$B$15,Paramètres!$A$1:$I$89,5,0)</f>
        <v>1.5096031768660487</v>
      </c>
      <c r="EL6" s="14">
        <f t="shared" si="45"/>
        <v>0.66312474757151718</v>
      </c>
      <c r="EM6" s="22">
        <f t="shared" si="19"/>
        <v>3.7841678017287599</v>
      </c>
      <c r="EN6" s="60">
        <f t="shared" si="20"/>
        <v>264.11750113506207</v>
      </c>
      <c r="EO6" s="60">
        <f ca="1">AVERAGE(OFFSET($EN$3,0,0,'Données projet'!$E$15+1,1))-AVERAGE(OFFSET($H$3,0,0,'Données projet'!$E$15+1,1))</f>
        <v>290.85271051443431</v>
      </c>
      <c r="EP6" s="60">
        <f t="shared" si="46"/>
        <v>318.66958823451142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0">
        <f t="shared" si="0"/>
        <v>266.30572241486152</v>
      </c>
      <c r="S7" s="60">
        <f ca="1">AVERAGE(OFFSET($R$3,0,0,'Données projet'!$E$9+1,1))-AVERAGE(OFFSET($H$3,0,0,'Données projet'!$E$9+1,1))</f>
        <v>428.8489304403459</v>
      </c>
      <c r="T7" s="60">
        <f t="shared" si="34"/>
        <v>247.01165577562966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7.7987854251012134</v>
      </c>
      <c r="AI7" s="14">
        <f>IF('Données projet'!$A$62&gt;35,AI6+AH7-AQ6,IF(A7&lt;'Données projet'!$A$62,$AF$205^A7,IF(A7='Données projet'!$A$62,'Données projet'!$B$62,AI6+AH7-AQ6)))</f>
        <v>2.8642204175736459</v>
      </c>
      <c r="AJ7" s="14">
        <f>AI7*VLOOKUP('Données projet'!$B$10,Paramètres!$A$1:$I$89,3,0)*VLOOKUP('Données projet'!$B$10,Paramètres!$A$1:$I$89,5,0)</f>
        <v>1.6010992134236679</v>
      </c>
      <c r="AK7" s="14">
        <f t="shared" si="35"/>
        <v>0.69851546445430523</v>
      </c>
      <c r="AL7" s="22">
        <f t="shared" si="4"/>
        <v>4.0051622306374703</v>
      </c>
      <c r="AM7" s="60">
        <f t="shared" si="5"/>
        <v>265.56071778619304</v>
      </c>
      <c r="AN7" s="60">
        <f ca="1">AVERAGE(OFFSET($AM$3,0,0,'Données projet'!$E$10+1,1))-AVERAGE(OFFSET($H$3,0,0,'Données projet'!$E$10+1,1))</f>
        <v>323.98185264074681</v>
      </c>
      <c r="AO7" s="60">
        <f t="shared" si="36"/>
        <v>301.22207291854005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2.3805128205128203</v>
      </c>
      <c r="BD7" s="13">
        <f>IF('Données projet'!$A$88&gt;35,BD6+BC7-BL6,IF(A7&lt;'Données projet'!$A$88,$BA$205^A7,IF(A7='Données projet'!$A$88,'Données projet'!$B$88,BD6+BC7-BL6)))</f>
        <v>2.5945963871419848</v>
      </c>
      <c r="BE7" s="14">
        <f>BD7*VLOOKUP('Données projet'!$B$11,Paramètres!$A$1:$I$89,3,0)*VLOOKUP('Données projet'!$B$11,Paramètres!$A$1:$I$89,5,0)</f>
        <v>1.551568639510907</v>
      </c>
      <c r="BF7" s="14">
        <f t="shared" si="37"/>
        <v>0.67938712805030732</v>
      </c>
      <c r="BG7" s="22">
        <f t="shared" si="7"/>
        <v>3.8855812951691147</v>
      </c>
      <c r="BH7" s="60">
        <f t="shared" si="8"/>
        <v>265.44113685072466</v>
      </c>
      <c r="BI7" s="60">
        <f ca="1">AVERAGE(OFFSET($BH$3,0,0,'Données projet'!$E$11+1,1))-AVERAGE(OFFSET($H$3,0,0,'Données projet'!$E$11+1,1))</f>
        <v>289.12367833861299</v>
      </c>
      <c r="BJ7" s="60">
        <f t="shared" si="38"/>
        <v>229.06617320689003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2.4666666666666668</v>
      </c>
      <c r="BY7" s="13">
        <f>IF('Données projet'!$A$114&gt;35,BY6+BX7-CG6,IF(A7&lt;'Données projet'!$A$114,$BV$205^A7,IF(A7='Données projet'!$A$114,'Données projet'!$B$114,BY6+BX7-CG6)))</f>
        <v>2.6193113595857573</v>
      </c>
      <c r="BZ7" s="14">
        <f>BY7*VLOOKUP('Données projet'!$B$12,Paramètres!$A$1:$I$89,3,0)*VLOOKUP('Données projet'!$B$12,Paramètres!$A$1:$I$89,5,0)</f>
        <v>2.0839241176864287</v>
      </c>
      <c r="CA7" s="14">
        <f t="shared" si="39"/>
        <v>0.88169040068036508</v>
      </c>
      <c r="CB7" s="22">
        <f t="shared" si="10"/>
        <v>5.1651119528221656</v>
      </c>
      <c r="CC7" s="60">
        <f t="shared" si="11"/>
        <v>266.72066750837769</v>
      </c>
      <c r="CD7" s="60">
        <f ca="1">AVERAGE(OFFSET($CC$3,0,0,'Données projet'!$E$12+1,1))-AVERAGE(OFFSET($H$3,0,0,'Données projet'!$E$12+1,1))</f>
        <v>312.53381881960331</v>
      </c>
      <c r="CE7" s="60">
        <f t="shared" si="40"/>
        <v>342.06887933351783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2.1413507656762891</v>
      </c>
      <c r="CV7" s="14">
        <f t="shared" si="41"/>
        <v>0.9031249003236328</v>
      </c>
      <c r="CW7" s="22">
        <f t="shared" si="13"/>
        <v>5.3024617849498643</v>
      </c>
      <c r="CX7" s="60">
        <f t="shared" si="14"/>
        <v>266.8580173405054</v>
      </c>
      <c r="CY7" s="60">
        <f ca="1">AVERAGE(OFFSET($CX$3,0,0,'Données projet'!$E$13+1,1))-AVERAGE(OFFSET($H$3,0,0,'Données projet'!$E$13+1,1))</f>
        <v>475.47920969424894</v>
      </c>
      <c r="CZ7" s="60">
        <f t="shared" si="42"/>
        <v>271.73544012419364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4.9084615384615384</v>
      </c>
      <c r="DO7" s="13">
        <f>IF('Données projet'!$A$166&gt;35,DO6+DN7-DW6,IF(A7&lt;'Données projet'!$A$166,$DL$205^A7,IF(A7='Données projet'!$A$166,'Données projet'!$B$166,DO6+DN7-DW6)))</f>
        <v>1.9456985396533186</v>
      </c>
      <c r="DP7" s="18">
        <f>DO7*VLOOKUP('Données projet'!$B$14,Paramètres!$A$1:$I$89,3,0)*VLOOKUP('Données projet'!$B$14,Paramètres!$A$1:$I$89,5,0)</f>
        <v>0.91058691655775315</v>
      </c>
      <c r="DQ7" s="14">
        <f t="shared" si="43"/>
        <v>0.42423691816235021</v>
      </c>
      <c r="DR7" s="22">
        <f t="shared" si="16"/>
        <v>2.32481817880418</v>
      </c>
      <c r="DS7" s="60">
        <f t="shared" si="17"/>
        <v>263.88037373435975</v>
      </c>
      <c r="DT7" s="60">
        <f ca="1">AVERAGE(OFFSET($DS$3,0,0,'Données projet'!$E$14+1,1))-AVERAGE(OFFSET($H$3,0,0,'Données projet'!$E$14+1,1))</f>
        <v>284.71577701131588</v>
      </c>
      <c r="DU7" s="60">
        <f t="shared" si="44"/>
        <v>190.4880882944471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2.4666666666666668</v>
      </c>
      <c r="EJ7" s="13">
        <f>IF('Données projet'!$A$192&gt;35,EJ6+EI7-ER6,IF(A7&lt;'Données projet'!$A$192,$EG$205^A7,IF(A7='Données projet'!$A$192,'Données projet'!$B$192,EJ6+EI7-ER6)))</f>
        <v>2.6193113595857573</v>
      </c>
      <c r="EK7" s="18">
        <f>EJ7*VLOOKUP('Données projet'!$B$15,Paramètres!$A$1:$I$89,3,0)*VLOOKUP('Données projet'!$B$15,Paramètres!$A$1:$I$89,5,0)</f>
        <v>1.9204790888482772</v>
      </c>
      <c r="EL7" s="14">
        <f t="shared" si="45"/>
        <v>0.82030011446080875</v>
      </c>
      <c r="EM7" s="22">
        <f t="shared" si="19"/>
        <v>4.7735237790966574</v>
      </c>
      <c r="EN7" s="60">
        <f t="shared" si="20"/>
        <v>266.32907933465219</v>
      </c>
      <c r="EO7" s="60">
        <f ca="1">AVERAGE(OFFSET($EN$3,0,0,'Données projet'!$E$15+1,1))-AVERAGE(OFFSET($H$3,0,0,'Données projet'!$E$15+1,1))</f>
        <v>290.85271051443431</v>
      </c>
      <c r="EP7" s="60">
        <f t="shared" si="46"/>
        <v>318.66958823451142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0">
        <f t="shared" si="0"/>
        <v>268.46714702955143</v>
      </c>
      <c r="S8" s="60">
        <f ca="1">AVERAGE(OFFSET($R$3,0,0,'Données projet'!$E$9+1,1))-AVERAGE(OFFSET($H$3,0,0,'Données projet'!$E$9+1,1))</f>
        <v>428.8489304403459</v>
      </c>
      <c r="T8" s="60">
        <f t="shared" si="34"/>
        <v>247.01165577562966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7.7987854251012134</v>
      </c>
      <c r="AI8" s="14">
        <f>IF('Données projet'!$A$62&gt;35,AI7+AH8-AQ7,IF(A8&lt;'Données projet'!$A$62,$AF$205^A8,IF(A8='Données projet'!$A$62,'Données projet'!$B$62,AI7+AH8-AQ7)))</f>
        <v>3.7261303649455062</v>
      </c>
      <c r="AJ8" s="14">
        <f>AI8*VLOOKUP('Données projet'!$B$10,Paramètres!$A$1:$I$89,3,0)*VLOOKUP('Données projet'!$B$10,Paramètres!$A$1:$I$89,5,0)</f>
        <v>2.082906874004538</v>
      </c>
      <c r="AK8" s="14">
        <f t="shared" si="35"/>
        <v>0.88131009986182929</v>
      </c>
      <c r="AL8" s="22">
        <f t="shared" si="4"/>
        <v>5.1626778961505897</v>
      </c>
      <c r="AM8" s="60">
        <f t="shared" si="5"/>
        <v>267.94045567392834</v>
      </c>
      <c r="AN8" s="60">
        <f ca="1">AVERAGE(OFFSET($AM$3,0,0,'Données projet'!$E$10+1,1))-AVERAGE(OFFSET($H$3,0,0,'Données projet'!$E$10+1,1))</f>
        <v>323.98185264074681</v>
      </c>
      <c r="AO8" s="60">
        <f t="shared" si="36"/>
        <v>301.22207291854005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2.3805128205128203</v>
      </c>
      <c r="BD8" s="13">
        <f>IF('Données projet'!$A$88&gt;35,BD7+BC8-BL7,IF(A8&lt;'Données projet'!$A$88,$BA$205^A8,IF(A8='Données projet'!$A$88,'Données projet'!$B$88,BD7+BC8-BL7)))</f>
        <v>3.2929661110289854</v>
      </c>
      <c r="BE8" s="14">
        <f>BD8*VLOOKUP('Données projet'!$B$11,Paramètres!$A$1:$I$89,3,0)*VLOOKUP('Données projet'!$B$11,Paramètres!$A$1:$I$89,5,0)</f>
        <v>1.9691937343953334</v>
      </c>
      <c r="BF8" s="14">
        <f t="shared" si="37"/>
        <v>0.83865885162703413</v>
      </c>
      <c r="BG8" s="22">
        <f t="shared" si="7"/>
        <v>4.8903432539889566</v>
      </c>
      <c r="BH8" s="60">
        <f t="shared" si="8"/>
        <v>267.6681210317667</v>
      </c>
      <c r="BI8" s="60">
        <f ca="1">AVERAGE(OFFSET($BH$3,0,0,'Données projet'!$E$11+1,1))-AVERAGE(OFFSET($H$3,0,0,'Données projet'!$E$11+1,1))</f>
        <v>289.12367833861299</v>
      </c>
      <c r="BJ8" s="60">
        <f t="shared" si="38"/>
        <v>229.06617320689003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2.4666666666666668</v>
      </c>
      <c r="BY8" s="13">
        <f>IF('Données projet'!$A$114&gt;35,BY7+BX8-CG7,IF(A8&lt;'Données projet'!$A$114,$BV$205^A8,IF(A8='Données projet'!$A$114,'Données projet'!$B$114,BY7+BX8-CG7)))</f>
        <v>3.332221851645953</v>
      </c>
      <c r="BZ8" s="14">
        <f>BY8*VLOOKUP('Données projet'!$B$12,Paramètres!$A$1:$I$89,3,0)*VLOOKUP('Données projet'!$B$12,Paramètres!$A$1:$I$89,5,0)</f>
        <v>2.6511157051695204</v>
      </c>
      <c r="CA8" s="14">
        <f t="shared" si="39"/>
        <v>1.0906707059957799</v>
      </c>
      <c r="CB8" s="22">
        <f t="shared" si="10"/>
        <v>6.5169446661128978</v>
      </c>
      <c r="CC8" s="60">
        <f t="shared" si="11"/>
        <v>269.29472244389069</v>
      </c>
      <c r="CD8" s="60">
        <f ca="1">AVERAGE(OFFSET($CC$3,0,0,'Données projet'!$E$12+1,1))-AVERAGE(OFFSET($H$3,0,0,'Données projet'!$E$12+1,1))</f>
        <v>312.53381881960331</v>
      </c>
      <c r="CE8" s="60">
        <f t="shared" si="40"/>
        <v>342.06887933351783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2.5813701135521372</v>
      </c>
      <c r="CV8" s="14">
        <f t="shared" si="41"/>
        <v>1.0652780295337991</v>
      </c>
      <c r="CW8" s="22">
        <f t="shared" si="13"/>
        <v>6.3512455158746723</v>
      </c>
      <c r="CX8" s="60">
        <f t="shared" si="14"/>
        <v>269.12902329365244</v>
      </c>
      <c r="CY8" s="60">
        <f ca="1">AVERAGE(OFFSET($CX$3,0,0,'Données projet'!$E$13+1,1))-AVERAGE(OFFSET($H$3,0,0,'Données projet'!$E$13+1,1))</f>
        <v>475.47920969424894</v>
      </c>
      <c r="CZ8" s="60">
        <f t="shared" si="42"/>
        <v>271.73544012419364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4.9084615384615384</v>
      </c>
      <c r="DO8" s="13">
        <f>IF('Données projet'!$A$166&gt;35,DO7+DN8-DW7,IF(A8&lt;'Données projet'!$A$166,$DL$205^A8,IF(A8='Données projet'!$A$166,'Données projet'!$B$166,DO7+DN8-DW7)))</f>
        <v>2.2979704576846265</v>
      </c>
      <c r="DP8" s="18">
        <f>DO8*VLOOKUP('Données projet'!$B$14,Paramètres!$A$1:$I$89,3,0)*VLOOKUP('Données projet'!$B$14,Paramètres!$A$1:$I$89,5,0)</f>
        <v>1.0754501741964051</v>
      </c>
      <c r="DQ8" s="14">
        <f t="shared" si="43"/>
        <v>0.49143405532927165</v>
      </c>
      <c r="DR8" s="22">
        <f t="shared" si="16"/>
        <v>2.7289900330905534</v>
      </c>
      <c r="DS8" s="60">
        <f t="shared" si="17"/>
        <v>265.50676781086833</v>
      </c>
      <c r="DT8" s="60">
        <f ca="1">AVERAGE(OFFSET($DS$3,0,0,'Données projet'!$E$14+1,1))-AVERAGE(OFFSET($H$3,0,0,'Données projet'!$E$14+1,1))</f>
        <v>284.71577701131588</v>
      </c>
      <c r="DU8" s="60">
        <f t="shared" si="44"/>
        <v>190.4880882944471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2.4666666666666668</v>
      </c>
      <c r="EJ8" s="13">
        <f>IF('Données projet'!$A$192&gt;35,EJ7+EI8-ER7,IF(A8&lt;'Données projet'!$A$192,$EG$205^A8,IF(A8='Données projet'!$A$192,'Données projet'!$B$192,EJ7+EI8-ER7)))</f>
        <v>3.332221851645953</v>
      </c>
      <c r="EK8" s="18">
        <f>EJ8*VLOOKUP('Données projet'!$B$15,Paramètres!$A$1:$I$89,3,0)*VLOOKUP('Données projet'!$B$15,Paramètres!$A$1:$I$89,5,0)</f>
        <v>2.4431850616268127</v>
      </c>
      <c r="EL8" s="14">
        <f t="shared" si="45"/>
        <v>1.0147295516396715</v>
      </c>
      <c r="EM8" s="22">
        <f t="shared" si="19"/>
        <v>6.0225346181057935</v>
      </c>
      <c r="EN8" s="60">
        <f t="shared" si="20"/>
        <v>268.80031239588357</v>
      </c>
      <c r="EO8" s="60">
        <f ca="1">AVERAGE(OFFSET($EN$3,0,0,'Données projet'!$E$15+1,1))-AVERAGE(OFFSET($H$3,0,0,'Données projet'!$E$15+1,1))</f>
        <v>290.85271051443431</v>
      </c>
      <c r="EP8" s="60">
        <f t="shared" si="46"/>
        <v>318.66958823451142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0">
        <f t="shared" si="0"/>
        <v>270.81494110736412</v>
      </c>
      <c r="S9" s="60">
        <f ca="1">AVERAGE(OFFSET($R$3,0,0,'Données projet'!$E$9+1,1))-AVERAGE(OFFSET($H$3,0,0,'Données projet'!$E$9+1,1))</f>
        <v>428.8489304403459</v>
      </c>
      <c r="T9" s="60">
        <f t="shared" si="34"/>
        <v>247.01165577562966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7.7987854251012134</v>
      </c>
      <c r="AI9" s="14">
        <f>IF('Données projet'!$A$62&gt;35,AI8+AH9-AQ8,IF(A9&lt;'Données projet'!$A$62,$AF$205^A9,IF(A9='Données projet'!$A$62,'Données projet'!$B$62,AI8+AH9-AQ8)))</f>
        <v>4.8474088835420224</v>
      </c>
      <c r="AJ9" s="14">
        <f>AI9*VLOOKUP('Données projet'!$B$10,Paramètres!$A$1:$I$89,3,0)*VLOOKUP('Données projet'!$B$10,Paramètres!$A$1:$I$89,5,0)</f>
        <v>2.7097015658999908</v>
      </c>
      <c r="AK9" s="14">
        <f t="shared" si="35"/>
        <v>1.1119402957316735</v>
      </c>
      <c r="AL9" s="22">
        <f t="shared" si="4"/>
        <v>6.6560262423418139</v>
      </c>
      <c r="AM9" s="60">
        <f t="shared" si="5"/>
        <v>270.6560262423418</v>
      </c>
      <c r="AN9" s="60">
        <f ca="1">AVERAGE(OFFSET($AM$3,0,0,'Données projet'!$E$10+1,1))-AVERAGE(OFFSET($H$3,0,0,'Données projet'!$E$10+1,1))</f>
        <v>323.98185264074681</v>
      </c>
      <c r="AO9" s="60">
        <f t="shared" si="36"/>
        <v>301.22207291854005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2.3805128205128203</v>
      </c>
      <c r="BD9" s="13">
        <f>IF('Données projet'!$A$88&gt;35,BD8+BC9-BL8,IF(A9&lt;'Données projet'!$A$88,$BA$205^A9,IF(A9='Données projet'!$A$88,'Données projet'!$B$88,BD8+BC9-BL8)))</f>
        <v>4.1793112262558481</v>
      </c>
      <c r="BE9" s="14">
        <f>BD9*VLOOKUP('Données projet'!$B$11,Paramètres!$A$1:$I$89,3,0)*VLOOKUP('Données projet'!$B$11,Paramètres!$A$1:$I$89,5,0)</f>
        <v>2.4992281133009975</v>
      </c>
      <c r="BF9" s="14">
        <f t="shared" si="37"/>
        <v>1.0352693484653335</v>
      </c>
      <c r="BG9" s="22">
        <f t="shared" si="7"/>
        <v>6.1559164125763592</v>
      </c>
      <c r="BH9" s="60">
        <f t="shared" si="8"/>
        <v>270.15591641257635</v>
      </c>
      <c r="BI9" s="60">
        <f ca="1">AVERAGE(OFFSET($BH$3,0,0,'Données projet'!$E$11+1,1))-AVERAGE(OFFSET($H$3,0,0,'Données projet'!$E$11+1,1))</f>
        <v>289.12367833861299</v>
      </c>
      <c r="BJ9" s="60">
        <f t="shared" si="38"/>
        <v>229.06617320689003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2.4666666666666668</v>
      </c>
      <c r="BY9" s="13">
        <f>IF('Données projet'!$A$114&gt;35,BY8+BX9-CG8,IF(A9&lt;'Données projet'!$A$114,$BV$205^A9,IF(A9='Données projet'!$A$114,'Données projet'!$B$114,BY8+BX9-CG8)))</f>
        <v>4.2391685997738069</v>
      </c>
      <c r="BZ9" s="14">
        <f>BY9*VLOOKUP('Données projet'!$B$12,Paramètres!$A$1:$I$89,3,0)*VLOOKUP('Données projet'!$B$12,Paramètres!$A$1:$I$89,5,0)</f>
        <v>3.3726825379800407</v>
      </c>
      <c r="CA9" s="14">
        <f t="shared" si="39"/>
        <v>1.3491840083541735</v>
      </c>
      <c r="CB9" s="22">
        <f t="shared" si="10"/>
        <v>8.2239175681987557</v>
      </c>
      <c r="CC9" s="60">
        <f t="shared" si="11"/>
        <v>272.22391756819877</v>
      </c>
      <c r="CD9" s="60">
        <f ca="1">AVERAGE(OFFSET($CC$3,0,0,'Données projet'!$E$12+1,1))-AVERAGE(OFFSET($H$3,0,0,'Données projet'!$E$12+1,1))</f>
        <v>312.53381881960331</v>
      </c>
      <c r="CE9" s="60">
        <f t="shared" si="40"/>
        <v>342.06887933351783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3.111807635605039</v>
      </c>
      <c r="CV9" s="14">
        <f t="shared" si="41"/>
        <v>1.2565452240335246</v>
      </c>
      <c r="CW9" s="22">
        <f t="shared" si="13"/>
        <v>7.6082145638704972</v>
      </c>
      <c r="CX9" s="60">
        <f t="shared" si="14"/>
        <v>271.60821456387049</v>
      </c>
      <c r="CY9" s="60">
        <f ca="1">AVERAGE(OFFSET($CX$3,0,0,'Données projet'!$E$13+1,1))-AVERAGE(OFFSET($H$3,0,0,'Données projet'!$E$13+1,1))</f>
        <v>475.47920969424894</v>
      </c>
      <c r="CZ9" s="60">
        <f t="shared" si="42"/>
        <v>271.73544012419364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4.9084615384615384</v>
      </c>
      <c r="DO9" s="13">
        <f>IF('Données projet'!$A$166&gt;35,DO8+DN9-DW8,IF(A9&lt;'Données projet'!$A$166,$DL$205^A9,IF(A9='Données projet'!$A$166,'Données projet'!$B$166,DO8+DN9-DW8)))</f>
        <v>2.7140217853749289</v>
      </c>
      <c r="DP9" s="18">
        <f>DO9*VLOOKUP('Données projet'!$B$14,Paramètres!$A$1:$I$89,3,0)*VLOOKUP('Données projet'!$B$14,Paramètres!$A$1:$I$89,5,0)</f>
        <v>1.2701621955554667</v>
      </c>
      <c r="DQ9" s="14">
        <f t="shared" si="43"/>
        <v>0.56927490371064715</v>
      </c>
      <c r="DR9" s="22">
        <f t="shared" si="16"/>
        <v>3.203686281221815</v>
      </c>
      <c r="DS9" s="60">
        <f t="shared" si="17"/>
        <v>267.20368628122179</v>
      </c>
      <c r="DT9" s="60">
        <f ca="1">AVERAGE(OFFSET($DS$3,0,0,'Données projet'!$E$14+1,1))-AVERAGE(OFFSET($H$3,0,0,'Données projet'!$E$14+1,1))</f>
        <v>284.71577701131588</v>
      </c>
      <c r="DU9" s="60">
        <f t="shared" si="44"/>
        <v>190.4880882944471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2.4666666666666668</v>
      </c>
      <c r="EJ9" s="13">
        <f>IF('Données projet'!$A$192&gt;35,EJ8+EI9-ER8,IF(A9&lt;'Données projet'!$A$192,$EG$205^A9,IF(A9='Données projet'!$A$192,'Données projet'!$B$192,EJ8+EI9-ER8)))</f>
        <v>4.2391685997738069</v>
      </c>
      <c r="EK9" s="18">
        <f>EJ9*VLOOKUP('Données projet'!$B$15,Paramètres!$A$1:$I$89,3,0)*VLOOKUP('Données projet'!$B$15,Paramètres!$A$1:$I$89,5,0)</f>
        <v>3.1081584173541552</v>
      </c>
      <c r="EL9" s="14">
        <f t="shared" si="45"/>
        <v>1.2552431053208675</v>
      </c>
      <c r="EM9" s="22">
        <f t="shared" si="19"/>
        <v>7.5995909853256647</v>
      </c>
      <c r="EN9" s="60">
        <f t="shared" si="20"/>
        <v>271.59959098532568</v>
      </c>
      <c r="EO9" s="60">
        <f ca="1">AVERAGE(OFFSET($EN$3,0,0,'Données projet'!$E$15+1,1))-AVERAGE(OFFSET($H$3,0,0,'Données projet'!$E$15+1,1))</f>
        <v>290.85271051443431</v>
      </c>
      <c r="EP9" s="60">
        <f t="shared" si="46"/>
        <v>318.66958823451142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0">
        <f t="shared" si="0"/>
        <v>273.38621175408076</v>
      </c>
      <c r="S10" s="60">
        <f ca="1">AVERAGE(OFFSET($R$3,0,0,'Données projet'!$E$9+1,1))-AVERAGE(OFFSET($H$3,0,0,'Données projet'!$E$9+1,1))</f>
        <v>428.8489304403459</v>
      </c>
      <c r="T10" s="60">
        <f t="shared" si="34"/>
        <v>247.01165577562966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7.7987854251012134</v>
      </c>
      <c r="AI10" s="14">
        <f>IF('Données projet'!$A$62&gt;35,AI9+AH10-AQ9,IF(A10&lt;'Données projet'!$A$62,$AF$205^A10,IF(A10='Données projet'!$A$62,'Données projet'!$B$62,AI9+AH10-AQ9)))</f>
        <v>6.3061059552020682</v>
      </c>
      <c r="AJ10" s="14">
        <f>AI10*VLOOKUP('Données projet'!$B$10,Paramètres!$A$1:$I$89,3,0)*VLOOKUP('Données projet'!$B$10,Paramètres!$A$1:$I$89,5,0)</f>
        <v>3.5251132289579559</v>
      </c>
      <c r="AK10" s="14">
        <f t="shared" si="35"/>
        <v>1.4029241483397099</v>
      </c>
      <c r="AL10" s="22">
        <f t="shared" si="4"/>
        <v>8.5829984321267663</v>
      </c>
      <c r="AM10" s="60">
        <f t="shared" si="5"/>
        <v>273.805220654349</v>
      </c>
      <c r="AN10" s="60">
        <f ca="1">AVERAGE(OFFSET($AM$3,0,0,'Données projet'!$E$10+1,1))-AVERAGE(OFFSET($H$3,0,0,'Données projet'!$E$10+1,1))</f>
        <v>323.98185264074681</v>
      </c>
      <c r="AO10" s="60">
        <f t="shared" si="36"/>
        <v>301.22207291854005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2.3805128205128203</v>
      </c>
      <c r="BD10" s="13">
        <f>IF('Données projet'!$A$88&gt;35,BD9+BC10-BL9,IF(A10&lt;'Données projet'!$A$88,$BA$205^A10,IF(A10='Données projet'!$A$88,'Données projet'!$B$88,BD9+BC10-BL9)))</f>
        <v>5.304227780361269</v>
      </c>
      <c r="BE10" s="14">
        <f>BD10*VLOOKUP('Données projet'!$B$11,Paramètres!$A$1:$I$89,3,0)*VLOOKUP('Données projet'!$B$11,Paramètres!$A$1:$I$89,5,0)</f>
        <v>3.1719282126560389</v>
      </c>
      <c r="BF10" s="14">
        <f t="shared" si="37"/>
        <v>1.2779721120125676</v>
      </c>
      <c r="BG10" s="22">
        <f t="shared" si="7"/>
        <v>7.7502430654644883</v>
      </c>
      <c r="BH10" s="60">
        <f t="shared" si="8"/>
        <v>272.9724652876867</v>
      </c>
      <c r="BI10" s="60">
        <f ca="1">AVERAGE(OFFSET($BH$3,0,0,'Données projet'!$E$11+1,1))-AVERAGE(OFFSET($H$3,0,0,'Données projet'!$E$11+1,1))</f>
        <v>289.12367833861299</v>
      </c>
      <c r="BJ10" s="60">
        <f t="shared" si="38"/>
        <v>229.06617320689003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2.4666666666666668</v>
      </c>
      <c r="BY10" s="13">
        <f>IF('Données projet'!$A$114&gt;35,BY9+BX10-CG9,IF(A10&lt;'Données projet'!$A$114,$BV$205^A10,IF(A10='Données projet'!$A$114,'Données projet'!$B$114,BY9+BX10-CG9)))</f>
        <v>5.3929633792034757</v>
      </c>
      <c r="BZ10" s="14">
        <f>BY10*VLOOKUP('Données projet'!$B$12,Paramètres!$A$1:$I$89,3,0)*VLOOKUP('Données projet'!$B$12,Paramètres!$A$1:$I$89,5,0)</f>
        <v>4.2906416644942853</v>
      </c>
      <c r="CA10" s="14">
        <f t="shared" si="39"/>
        <v>1.6689707336887791</v>
      </c>
      <c r="CB10" s="22">
        <f t="shared" si="10"/>
        <v>10.379658260168837</v>
      </c>
      <c r="CC10" s="60">
        <f t="shared" si="11"/>
        <v>275.60188048239104</v>
      </c>
      <c r="CD10" s="60">
        <f ca="1">AVERAGE(OFFSET($CC$3,0,0,'Données projet'!$E$12+1,1))-AVERAGE(OFFSET($H$3,0,0,'Données projet'!$E$12+1,1))</f>
        <v>312.53381881960331</v>
      </c>
      <c r="CE10" s="60">
        <f t="shared" si="40"/>
        <v>342.06887933351783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3.7512430744326299</v>
      </c>
      <c r="CV10" s="14">
        <f t="shared" si="41"/>
        <v>1.4821538192545303</v>
      </c>
      <c r="CW10" s="22">
        <f t="shared" si="13"/>
        <v>9.1148329231718037</v>
      </c>
      <c r="CX10" s="60">
        <f t="shared" si="14"/>
        <v>274.33705514539406</v>
      </c>
      <c r="CY10" s="60">
        <f ca="1">AVERAGE(OFFSET($CX$3,0,0,'Données projet'!$E$13+1,1))-AVERAGE(OFFSET($H$3,0,0,'Données projet'!$E$13+1,1))</f>
        <v>475.47920969424894</v>
      </c>
      <c r="CZ10" s="60">
        <f t="shared" si="42"/>
        <v>271.73544012419364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4.9084615384615384</v>
      </c>
      <c r="DO10" s="13">
        <f>IF('Données projet'!$A$166&gt;35,DO9+DN10-DW9,IF(A10&lt;'Données projet'!$A$166,$DL$205^A10,IF(A10='Données projet'!$A$166,'Données projet'!$B$166,DO9+DN10-DW9)))</f>
        <v>3.2053998896536791</v>
      </c>
      <c r="DP10" s="18">
        <f>DO10*VLOOKUP('Données projet'!$B$14,Paramètres!$A$1:$I$89,3,0)*VLOOKUP('Données projet'!$B$14,Paramètres!$A$1:$I$89,5,0)</f>
        <v>1.5001271483579217</v>
      </c>
      <c r="DQ10" s="14">
        <f t="shared" si="43"/>
        <v>0.65944537721878049</v>
      </c>
      <c r="DR10" s="22">
        <f t="shared" si="16"/>
        <v>3.7612554820460891</v>
      </c>
      <c r="DS10" s="60">
        <f t="shared" si="17"/>
        <v>268.9834777042683</v>
      </c>
      <c r="DT10" s="60">
        <f ca="1">AVERAGE(OFFSET($DS$3,0,0,'Données projet'!$E$14+1,1))-AVERAGE(OFFSET($H$3,0,0,'Données projet'!$E$14+1,1))</f>
        <v>284.71577701131588</v>
      </c>
      <c r="DU10" s="60">
        <f t="shared" si="44"/>
        <v>190.4880882944471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2.4666666666666668</v>
      </c>
      <c r="EJ10" s="13">
        <f>IF('Données projet'!$A$192&gt;35,EJ9+EI10-ER9,IF(A10&lt;'Données projet'!$A$192,$EG$205^A10,IF(A10='Données projet'!$A$192,'Données projet'!$B$192,EJ9+EI10-ER9)))</f>
        <v>5.3929633792034757</v>
      </c>
      <c r="EK10" s="18">
        <f>EJ10*VLOOKUP('Données projet'!$B$15,Paramètres!$A$1:$I$89,3,0)*VLOOKUP('Données projet'!$B$15,Paramètres!$A$1:$I$89,5,0)</f>
        <v>3.9541207496319881</v>
      </c>
      <c r="EL10" s="14">
        <f t="shared" si="45"/>
        <v>1.5527637397664751</v>
      </c>
      <c r="EM10" s="22">
        <f t="shared" si="19"/>
        <v>9.5911571523689911</v>
      </c>
      <c r="EN10" s="60">
        <f t="shared" si="20"/>
        <v>274.81337937459119</v>
      </c>
      <c r="EO10" s="60">
        <f ca="1">AVERAGE(OFFSET($EN$3,0,0,'Données projet'!$E$15+1,1))-AVERAGE(OFFSET($H$3,0,0,'Données projet'!$E$15+1,1))</f>
        <v>290.85271051443431</v>
      </c>
      <c r="EP10" s="60">
        <f t="shared" si="46"/>
        <v>318.66958823451142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0">
        <f t="shared" si="0"/>
        <v>276.22547755046565</v>
      </c>
      <c r="S11" s="60">
        <f ca="1">AVERAGE(OFFSET($R$3,0,0,'Données projet'!$E$9+1,1))-AVERAGE(OFFSET($H$3,0,0,'Données projet'!$E$9+1,1))</f>
        <v>428.8489304403459</v>
      </c>
      <c r="T11" s="60">
        <f t="shared" si="34"/>
        <v>247.01165577562966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7.7987854251012134</v>
      </c>
      <c r="AI11" s="14">
        <f>IF('Données projet'!$A$62&gt;35,AI10+AH11-AQ10,IF(A11&lt;'Données projet'!$A$62,$AF$205^A11,IF(A11='Données projet'!$A$62,'Données projet'!$B$62,AI10+AH11-AQ10)))</f>
        <v>8.2037586004457506</v>
      </c>
      <c r="AJ11" s="14">
        <f>AI11*VLOOKUP('Données projet'!$B$10,Paramètres!$A$1:$I$89,3,0)*VLOOKUP('Données projet'!$B$10,Paramètres!$A$1:$I$89,5,0)</f>
        <v>4.5859010576491741</v>
      </c>
      <c r="AK11" s="14">
        <f t="shared" si="35"/>
        <v>1.770055616789747</v>
      </c>
      <c r="AL11" s="22">
        <f t="shared" si="4"/>
        <v>11.069957874647789</v>
      </c>
      <c r="AM11" s="60">
        <f t="shared" si="5"/>
        <v>277.51440231909226</v>
      </c>
      <c r="AN11" s="60">
        <f ca="1">AVERAGE(OFFSET($AM$3,0,0,'Données projet'!$E$10+1,1))-AVERAGE(OFFSET($H$3,0,0,'Données projet'!$E$10+1,1))</f>
        <v>323.98185264074681</v>
      </c>
      <c r="AO11" s="60">
        <f t="shared" si="36"/>
        <v>301.22207291854005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2.3805128205128203</v>
      </c>
      <c r="BD11" s="13">
        <f>IF('Données projet'!$A$88&gt;35,BD10+BC11-BL10,IF(A11&lt;'Données projet'!$A$88,$BA$205^A11,IF(A11='Données projet'!$A$88,'Données projet'!$B$88,BD10+BC11-BL10)))</f>
        <v>6.7319304121702404</v>
      </c>
      <c r="BE11" s="14">
        <f>BD11*VLOOKUP('Données projet'!$B$11,Paramètres!$A$1:$I$89,3,0)*VLOOKUP('Données projet'!$B$11,Paramètres!$A$1:$I$89,5,0)</f>
        <v>4.0256943864778041</v>
      </c>
      <c r="BF11" s="14">
        <f t="shared" si="37"/>
        <v>1.5775727558271786</v>
      </c>
      <c r="BG11" s="22">
        <f t="shared" si="7"/>
        <v>9.759023606181179</v>
      </c>
      <c r="BH11" s="60">
        <f t="shared" si="8"/>
        <v>276.20346805062564</v>
      </c>
      <c r="BI11" s="60">
        <f ca="1">AVERAGE(OFFSET($BH$3,0,0,'Données projet'!$E$11+1,1))-AVERAGE(OFFSET($H$3,0,0,'Données projet'!$E$11+1,1))</f>
        <v>289.12367833861299</v>
      </c>
      <c r="BJ11" s="60">
        <f t="shared" si="38"/>
        <v>229.06617320689003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2.4666666666666668</v>
      </c>
      <c r="BY11" s="13">
        <f>IF('Données projet'!$A$114&gt;35,BY10+BX11-CG10,IF(A11&lt;'Données projet'!$A$114,$BV$205^A11,IF(A11='Données projet'!$A$114,'Données projet'!$B$114,BY10+BX11-CG10)))</f>
        <v>6.8607919984549888</v>
      </c>
      <c r="BZ11" s="14">
        <f>BY11*VLOOKUP('Données projet'!$B$12,Paramètres!$A$1:$I$89,3,0)*VLOOKUP('Données projet'!$B$12,Paramètres!$A$1:$I$89,5,0)</f>
        <v>5.4584461139707896</v>
      </c>
      <c r="CA11" s="14">
        <f t="shared" si="39"/>
        <v>2.0645540509389519</v>
      </c>
      <c r="CB11" s="22">
        <f t="shared" si="10"/>
        <v>13.102558620551131</v>
      </c>
      <c r="CC11" s="60">
        <f t="shared" si="11"/>
        <v>279.54700306499558</v>
      </c>
      <c r="CD11" s="60">
        <f ca="1">AVERAGE(OFFSET($CC$3,0,0,'Données projet'!$E$12+1,1))-AVERAGE(OFFSET($H$3,0,0,'Données projet'!$E$12+1,1))</f>
        <v>312.53381881960331</v>
      </c>
      <c r="CE11" s="60">
        <f t="shared" si="40"/>
        <v>342.06887933351783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4.5220740647558486</v>
      </c>
      <c r="CV11" s="14">
        <f t="shared" si="41"/>
        <v>1.7482697016499746</v>
      </c>
      <c r="CW11" s="22">
        <f t="shared" si="13"/>
        <v>10.92084872649014</v>
      </c>
      <c r="CX11" s="60">
        <f t="shared" si="14"/>
        <v>277.36529317093459</v>
      </c>
      <c r="CY11" s="60">
        <f ca="1">AVERAGE(OFFSET($CX$3,0,0,'Données projet'!$E$13+1,1))-AVERAGE(OFFSET($H$3,0,0,'Données projet'!$E$13+1,1))</f>
        <v>475.47920969424894</v>
      </c>
      <c r="CZ11" s="60">
        <f t="shared" si="42"/>
        <v>271.73544012419364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4.9084615384615384</v>
      </c>
      <c r="DO11" s="13">
        <f>IF('Données projet'!$A$166&gt;35,DO10+DN11-DW10,IF(A11&lt;'Données projet'!$A$166,$DL$205^A11,IF(A11='Données projet'!$A$166,'Données projet'!$B$166,DO10+DN11-DW10)))</f>
        <v>3.7857428072090569</v>
      </c>
      <c r="DP11" s="18">
        <f>DO11*VLOOKUP('Données projet'!$B$14,Paramètres!$A$1:$I$89,3,0)*VLOOKUP('Données projet'!$B$14,Paramètres!$A$1:$I$89,5,0)</f>
        <v>1.7717276337738388</v>
      </c>
      <c r="DQ11" s="14">
        <f t="shared" si="43"/>
        <v>0.76389843061877893</v>
      </c>
      <c r="DR11" s="22">
        <f t="shared" si="16"/>
        <v>4.4162153954838086</v>
      </c>
      <c r="DS11" s="60">
        <f t="shared" si="17"/>
        <v>270.86065983992825</v>
      </c>
      <c r="DT11" s="60">
        <f ca="1">AVERAGE(OFFSET($DS$3,0,0,'Données projet'!$E$14+1,1))-AVERAGE(OFFSET($H$3,0,0,'Données projet'!$E$14+1,1))</f>
        <v>284.71577701131588</v>
      </c>
      <c r="DU11" s="60">
        <f t="shared" si="44"/>
        <v>190.4880882944471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2.4666666666666668</v>
      </c>
      <c r="EJ11" s="13">
        <f>IF('Données projet'!$A$192&gt;35,EJ10+EI11-ER10,IF(A11&lt;'Données projet'!$A$192,$EG$205^A11,IF(A11='Données projet'!$A$192,'Données projet'!$B$192,EJ10+EI11-ER10)))</f>
        <v>6.8607919984549888</v>
      </c>
      <c r="EK11" s="18">
        <f>EJ11*VLOOKUP('Données projet'!$B$15,Paramètres!$A$1:$I$89,3,0)*VLOOKUP('Données projet'!$B$15,Paramètres!$A$1:$I$89,5,0)</f>
        <v>5.0303326932671979</v>
      </c>
      <c r="EL11" s="14">
        <f t="shared" si="45"/>
        <v>1.9208034055819379</v>
      </c>
      <c r="EM11" s="22">
        <f t="shared" si="19"/>
        <v>12.106562038828912</v>
      </c>
      <c r="EN11" s="60">
        <f t="shared" si="20"/>
        <v>278.55100648327334</v>
      </c>
      <c r="EO11" s="60">
        <f ca="1">AVERAGE(OFFSET($EN$3,0,0,'Données projet'!$E$15+1,1))-AVERAGE(OFFSET($H$3,0,0,'Données projet'!$E$15+1,1))</f>
        <v>290.85271051443431</v>
      </c>
      <c r="EP11" s="60">
        <f t="shared" si="46"/>
        <v>318.66958823451142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0">
        <f t="shared" si="0"/>
        <v>279.38615317116773</v>
      </c>
      <c r="S12" s="60">
        <f ca="1">AVERAGE(OFFSET($R$3,0,0,'Données projet'!$E$9+1,1))-AVERAGE(OFFSET($H$3,0,0,'Données projet'!$E$9+1,1))</f>
        <v>428.8489304403459</v>
      </c>
      <c r="T12" s="60">
        <f t="shared" si="34"/>
        <v>247.01165577562966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7.7987854251012134</v>
      </c>
      <c r="AI12" s="14">
        <f>IF('Données projet'!$A$62&gt;35,AI11+AH12-AQ11,IF(A12&lt;'Données projet'!$A$62,$AF$205^A12,IF(A12='Données projet'!$A$62,'Données projet'!$B$62,AI11+AH12-AQ11)))</f>
        <v>10.672458669818059</v>
      </c>
      <c r="AJ12" s="14">
        <f>AI12*VLOOKUP('Données projet'!$B$10,Paramètres!$A$1:$I$89,3,0)*VLOOKUP('Données projet'!$B$10,Paramètres!$A$1:$I$89,5,0)</f>
        <v>5.9659043964282947</v>
      </c>
      <c r="AK12" s="14">
        <f t="shared" si="35"/>
        <v>2.2332617841362223</v>
      </c>
      <c r="AL12" s="22">
        <f t="shared" si="4"/>
        <v>14.280214431149867</v>
      </c>
      <c r="AM12" s="60">
        <f t="shared" si="5"/>
        <v>281.94688109781657</v>
      </c>
      <c r="AN12" s="60">
        <f ca="1">AVERAGE(OFFSET($AM$3,0,0,'Données projet'!$E$10+1,1))-AVERAGE(OFFSET($H$3,0,0,'Données projet'!$E$10+1,1))</f>
        <v>323.98185264074681</v>
      </c>
      <c r="AO12" s="60">
        <f t="shared" si="36"/>
        <v>301.22207291854005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2.3805128205128203</v>
      </c>
      <c r="BD12" s="13">
        <f>IF('Données projet'!$A$88&gt;35,BD11+BC12-BL11,IF(A12&lt;'Données projet'!$A$88,$BA$205^A12,IF(A12='Données projet'!$A$88,'Données projet'!$B$88,BD11+BC12-BL11)))</f>
        <v>8.5439179746567984</v>
      </c>
      <c r="BE12" s="14">
        <f>BD12*VLOOKUP('Données projet'!$B$11,Paramètres!$A$1:$I$89,3,0)*VLOOKUP('Données projet'!$B$11,Paramètres!$A$1:$I$89,5,0)</f>
        <v>5.1092629488447656</v>
      </c>
      <c r="BF12" s="14">
        <f t="shared" si="37"/>
        <v>1.9474101011553873</v>
      </c>
      <c r="BG12" s="22">
        <f t="shared" si="7"/>
        <v>12.290372228750266</v>
      </c>
      <c r="BH12" s="60">
        <f t="shared" si="8"/>
        <v>279.95703889541693</v>
      </c>
      <c r="BI12" s="60">
        <f ca="1">AVERAGE(OFFSET($BH$3,0,0,'Données projet'!$E$11+1,1))-AVERAGE(OFFSET($H$3,0,0,'Données projet'!$E$11+1,1))</f>
        <v>289.12367833861299</v>
      </c>
      <c r="BJ12" s="60">
        <f t="shared" si="38"/>
        <v>229.06617320689003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2.4666666666666668</v>
      </c>
      <c r="BY12" s="13">
        <f>IF('Données projet'!$A$114&gt;35,BY11+BX12-CG11,IF(A12&lt;'Données projet'!$A$114,$BV$205^A12,IF(A12='Données projet'!$A$114,'Données projet'!$B$114,BY11+BX12-CG11)))</f>
        <v>8.7281265486761299</v>
      </c>
      <c r="BZ12" s="14">
        <f>BY12*VLOOKUP('Données projet'!$B$12,Paramètres!$A$1:$I$89,3,0)*VLOOKUP('Données projet'!$B$12,Paramètres!$A$1:$I$89,5,0)</f>
        <v>6.9440974821267289</v>
      </c>
      <c r="CA12" s="14">
        <f t="shared" si="39"/>
        <v>2.5538994442566798</v>
      </c>
      <c r="CB12" s="22">
        <f t="shared" si="10"/>
        <v>16.542344646784436</v>
      </c>
      <c r="CC12" s="60">
        <f t="shared" si="11"/>
        <v>284.20901131345113</v>
      </c>
      <c r="CD12" s="60">
        <f ca="1">AVERAGE(OFFSET($CC$3,0,0,'Données projet'!$E$12+1,1))-AVERAGE(OFFSET($H$3,0,0,'Données projet'!$E$12+1,1))</f>
        <v>312.53381881960331</v>
      </c>
      <c r="CE12" s="60">
        <f t="shared" si="40"/>
        <v>342.06887933351783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5.4513006599100189</v>
      </c>
      <c r="CV12" s="14">
        <f t="shared" si="41"/>
        <v>2.062165822468125</v>
      </c>
      <c r="CW12" s="22">
        <f t="shared" si="13"/>
        <v>13.085954123475267</v>
      </c>
      <c r="CX12" s="60">
        <f t="shared" si="14"/>
        <v>280.75262079014198</v>
      </c>
      <c r="CY12" s="60">
        <f ca="1">AVERAGE(OFFSET($CX$3,0,0,'Données projet'!$E$13+1,1))-AVERAGE(OFFSET($H$3,0,0,'Données projet'!$E$13+1,1))</f>
        <v>475.47920969424894</v>
      </c>
      <c r="CZ12" s="60">
        <f t="shared" si="42"/>
        <v>271.73544012419364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4.9084615384615384</v>
      </c>
      <c r="DO12" s="13">
        <f>IF('Données projet'!$A$166&gt;35,DO11+DN12-DW11,IF(A12&lt;'Données projet'!$A$166,$DL$205^A12,IF(A12='Données projet'!$A$166,'Données projet'!$B$166,DO11+DN12-DW11)))</f>
        <v>4.4711577636834461</v>
      </c>
      <c r="DP12" s="18">
        <f>DO12*VLOOKUP('Données projet'!$B$14,Paramètres!$A$1:$I$89,3,0)*VLOOKUP('Données projet'!$B$14,Paramètres!$A$1:$I$89,5,0)</f>
        <v>2.0925018334038525</v>
      </c>
      <c r="DQ12" s="14">
        <f t="shared" si="43"/>
        <v>0.8848963575465858</v>
      </c>
      <c r="DR12" s="22">
        <f t="shared" si="16"/>
        <v>5.1856351825720131</v>
      </c>
      <c r="DS12" s="60">
        <f t="shared" si="17"/>
        <v>272.8523018492387</v>
      </c>
      <c r="DT12" s="60">
        <f ca="1">AVERAGE(OFFSET($DS$3,0,0,'Données projet'!$E$14+1,1))-AVERAGE(OFFSET($H$3,0,0,'Données projet'!$E$14+1,1))</f>
        <v>284.71577701131588</v>
      </c>
      <c r="DU12" s="60">
        <f t="shared" si="44"/>
        <v>190.4880882944471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2.4666666666666668</v>
      </c>
      <c r="EJ12" s="13">
        <f>IF('Données projet'!$A$192&gt;35,EJ11+EI12-ER11,IF(A12&lt;'Données projet'!$A$192,$EG$205^A12,IF(A12='Données projet'!$A$192,'Données projet'!$B$192,EJ11+EI12-ER11)))</f>
        <v>8.7281265486761299</v>
      </c>
      <c r="EK12" s="18">
        <f>EJ12*VLOOKUP('Données projet'!$B$15,Paramètres!$A$1:$I$89,3,0)*VLOOKUP('Données projet'!$B$15,Paramètres!$A$1:$I$89,5,0)</f>
        <v>6.399462385489338</v>
      </c>
      <c r="EL12" s="14">
        <f t="shared" si="45"/>
        <v>2.3760766872686268</v>
      </c>
      <c r="EM12" s="22">
        <f t="shared" si="19"/>
        <v>15.284063885053456</v>
      </c>
      <c r="EN12" s="60">
        <f t="shared" si="20"/>
        <v>282.95073055172014</v>
      </c>
      <c r="EO12" s="60">
        <f ca="1">AVERAGE(OFFSET($EN$3,0,0,'Données projet'!$E$15+1,1))-AVERAGE(OFFSET($H$3,0,0,'Données projet'!$E$15+1,1))</f>
        <v>290.85271051443431</v>
      </c>
      <c r="EP12" s="60">
        <f t="shared" si="46"/>
        <v>318.66958823451142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0">
        <f t="shared" si="0"/>
        <v>282.93233218914207</v>
      </c>
      <c r="S13" s="60">
        <f ca="1">AVERAGE(OFFSET($R$3,0,0,'Données projet'!$E$9+1,1))-AVERAGE(OFFSET($H$3,0,0,'Données projet'!$E$9+1,1))</f>
        <v>428.8489304403459</v>
      </c>
      <c r="T13" s="60">
        <f t="shared" si="34"/>
        <v>247.01165577562966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7.7987854251012134</v>
      </c>
      <c r="AI13" s="14">
        <f>IF('Données projet'!$A$62&gt;35,AI12+AH13-AQ12,IF(A13&lt;'Données projet'!$A$62,$AF$205^A13,IF(A13='Données projet'!$A$62,'Données projet'!$B$62,AI12+AH13-AQ12)))</f>
        <v>13.884047496568932</v>
      </c>
      <c r="AJ13" s="14">
        <f>AI13*VLOOKUP('Données projet'!$B$10,Paramètres!$A$1:$I$89,3,0)*VLOOKUP('Données projet'!$B$10,Paramètres!$A$1:$I$89,5,0)</f>
        <v>7.7611825505820331</v>
      </c>
      <c r="AK13" s="14">
        <f t="shared" si="35"/>
        <v>2.8176844553216833</v>
      </c>
      <c r="AL13" s="22">
        <f t="shared" si="4"/>
        <v>18.424860035282308</v>
      </c>
      <c r="AM13" s="60">
        <f t="shared" si="5"/>
        <v>287.31374892417114</v>
      </c>
      <c r="AN13" s="60">
        <f ca="1">AVERAGE(OFFSET($AM$3,0,0,'Données projet'!$E$10+1,1))-AVERAGE(OFFSET($H$3,0,0,'Données projet'!$E$10+1,1))</f>
        <v>323.98185264074681</v>
      </c>
      <c r="AO13" s="60">
        <f t="shared" si="36"/>
        <v>301.22207291854005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2.3805128205128203</v>
      </c>
      <c r="BD13" s="13">
        <f>IF('Données projet'!$A$88&gt;35,BD12+BC13-BL12,IF(A13&lt;'Données projet'!$A$88,$BA$205^A13,IF(A13='Données projet'!$A$88,'Données projet'!$B$88,BD12+BC13-BL12)))</f>
        <v>10.843625808385362</v>
      </c>
      <c r="BE13" s="14">
        <f>BD13*VLOOKUP('Données projet'!$B$11,Paramètres!$A$1:$I$89,3,0)*VLOOKUP('Données projet'!$B$11,Paramètres!$A$1:$I$89,5,0)</f>
        <v>6.4844882334144467</v>
      </c>
      <c r="BF13" s="14">
        <f t="shared" si="37"/>
        <v>2.4039500479922649</v>
      </c>
      <c r="BG13" s="22">
        <f t="shared" si="7"/>
        <v>15.480696673450021</v>
      </c>
      <c r="BH13" s="60">
        <f t="shared" si="8"/>
        <v>284.3695855623389</v>
      </c>
      <c r="BI13" s="60">
        <f ca="1">AVERAGE(OFFSET($BH$3,0,0,'Données projet'!$E$11+1,1))-AVERAGE(OFFSET($H$3,0,0,'Données projet'!$E$11+1,1))</f>
        <v>289.12367833861299</v>
      </c>
      <c r="BJ13" s="60">
        <f t="shared" si="38"/>
        <v>229.06617320689003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2.4666666666666668</v>
      </c>
      <c r="BY13" s="13">
        <f>IF('Données projet'!$A$114&gt;35,BY12+BX13-CG12,IF(A13&lt;'Données projet'!$A$114,$BV$205^A13,IF(A13='Données projet'!$A$114,'Données projet'!$B$114,BY12+BX13-CG12)))</f>
        <v>11.103702468586782</v>
      </c>
      <c r="BZ13" s="14">
        <f>BY13*VLOOKUP('Données projet'!$B$12,Paramètres!$A$1:$I$89,3,0)*VLOOKUP('Données projet'!$B$12,Paramètres!$A$1:$I$89,5,0)</f>
        <v>8.8341056840076444</v>
      </c>
      <c r="CA13" s="14">
        <f t="shared" si="39"/>
        <v>3.1592306185484516</v>
      </c>
      <c r="CB13" s="22">
        <f t="shared" si="10"/>
        <v>20.888394060285197</v>
      </c>
      <c r="CC13" s="60">
        <f t="shared" si="11"/>
        <v>289.77728294917404</v>
      </c>
      <c r="CD13" s="60">
        <f ca="1">AVERAGE(OFFSET($CC$3,0,0,'Données projet'!$E$12+1,1))-AVERAGE(OFFSET($H$3,0,0,'Données projet'!$E$12+1,1))</f>
        <v>312.53381881960331</v>
      </c>
      <c r="CE13" s="60">
        <f t="shared" si="40"/>
        <v>342.06887933351783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6.5714710681855761</v>
      </c>
      <c r="CV13" s="14">
        <f t="shared" si="41"/>
        <v>2.4324209676242781</v>
      </c>
      <c r="CW13" s="22">
        <f t="shared" si="13"/>
        <v>15.681778629035497</v>
      </c>
      <c r="CX13" s="60">
        <f t="shared" si="14"/>
        <v>284.57066751792433</v>
      </c>
      <c r="CY13" s="60">
        <f ca="1">AVERAGE(OFFSET($CX$3,0,0,'Données projet'!$E$13+1,1))-AVERAGE(OFFSET($H$3,0,0,'Données projet'!$E$13+1,1))</f>
        <v>475.47920969424894</v>
      </c>
      <c r="CZ13" s="60">
        <f t="shared" si="42"/>
        <v>271.73544012419364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4.9084615384615384</v>
      </c>
      <c r="DO13" s="13">
        <f>IF('Données projet'!$A$166&gt;35,DO12+DN13-DW12,IF(A13&lt;'Données projet'!$A$166,$DL$205^A13,IF(A13='Données projet'!$A$166,'Données projet'!$B$166,DO12+DN13-DW12)))</f>
        <v>5.2806682243912917</v>
      </c>
      <c r="DP13" s="18">
        <f>DO13*VLOOKUP('Données projet'!$B$14,Paramètres!$A$1:$I$89,3,0)*VLOOKUP('Données projet'!$B$14,Paramètres!$A$1:$I$89,5,0)</f>
        <v>2.4713527290151243</v>
      </c>
      <c r="DQ13" s="14">
        <f t="shared" si="43"/>
        <v>1.0250597883345953</v>
      </c>
      <c r="DR13" s="22">
        <f t="shared" si="16"/>
        <v>6.0895851343840945</v>
      </c>
      <c r="DS13" s="60">
        <f t="shared" si="17"/>
        <v>274.97847402327295</v>
      </c>
      <c r="DT13" s="60">
        <f ca="1">AVERAGE(OFFSET($DS$3,0,0,'Données projet'!$E$14+1,1))-AVERAGE(OFFSET($H$3,0,0,'Données projet'!$E$14+1,1))</f>
        <v>284.71577701131588</v>
      </c>
      <c r="DU13" s="60">
        <f t="shared" si="44"/>
        <v>190.4880882944471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2.4666666666666668</v>
      </c>
      <c r="EJ13" s="13">
        <f>IF('Données projet'!$A$192&gt;35,EJ12+EI13-ER12,IF(A13&lt;'Données projet'!$A$192,$EG$205^A13,IF(A13='Données projet'!$A$192,'Données projet'!$B$192,EJ12+EI13-ER12)))</f>
        <v>11.103702468586782</v>
      </c>
      <c r="EK13" s="18">
        <f>EJ13*VLOOKUP('Données projet'!$B$15,Paramètres!$A$1:$I$89,3,0)*VLOOKUP('Données projet'!$B$15,Paramètres!$A$1:$I$89,5,0)</f>
        <v>8.1412346499678296</v>
      </c>
      <c r="EL13" s="14">
        <f t="shared" si="45"/>
        <v>2.9392598989436851</v>
      </c>
      <c r="EM13" s="22">
        <f t="shared" si="19"/>
        <v>19.298528006020888</v>
      </c>
      <c r="EN13" s="60">
        <f t="shared" si="20"/>
        <v>288.18741689490975</v>
      </c>
      <c r="EO13" s="60">
        <f ca="1">AVERAGE(OFFSET($EN$3,0,0,'Données projet'!$E$15+1,1))-AVERAGE(OFFSET($H$3,0,0,'Données projet'!$E$15+1,1))</f>
        <v>290.85271051443431</v>
      </c>
      <c r="EP13" s="60">
        <f t="shared" si="46"/>
        <v>318.66958823451142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0">
        <f t="shared" si="0"/>
        <v>286.94092810276993</v>
      </c>
      <c r="S14" s="60">
        <f ca="1">AVERAGE(OFFSET($R$3,0,0,'Données projet'!$E$9+1,1))-AVERAGE(OFFSET($H$3,0,0,'Données projet'!$E$9+1,1))</f>
        <v>428.8489304403459</v>
      </c>
      <c r="T14" s="60">
        <f t="shared" si="34"/>
        <v>247.01165577562966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7.7987854251012134</v>
      </c>
      <c r="AI14" s="14">
        <f>IF('Données projet'!$A$62&gt;35,AI13+AH14-AQ13,IF(A14&lt;'Données projet'!$A$62,$AF$205^A14,IF(A14='Données projet'!$A$62,'Données projet'!$B$62,AI13+AH14-AQ13)))</f>
        <v>18.062077432272524</v>
      </c>
      <c r="AJ14" s="14">
        <f>AI14*VLOOKUP('Données projet'!$B$10,Paramètres!$A$1:$I$89,3,0)*VLOOKUP('Données projet'!$B$10,Paramètres!$A$1:$I$89,5,0)</f>
        <v>10.096701284640341</v>
      </c>
      <c r="AK14" s="14">
        <f t="shared" si="35"/>
        <v>3.5550447986697691</v>
      </c>
      <c r="AL14" s="22">
        <f t="shared" si="4"/>
        <v>23.776791095098442</v>
      </c>
      <c r="AM14" s="60">
        <f t="shared" si="5"/>
        <v>293.88790220620956</v>
      </c>
      <c r="AN14" s="60">
        <f ca="1">AVERAGE(OFFSET($AM$3,0,0,'Données projet'!$E$10+1,1))-AVERAGE(OFFSET($H$3,0,0,'Données projet'!$E$10+1,1))</f>
        <v>323.98185264074681</v>
      </c>
      <c r="AO14" s="60">
        <f t="shared" si="36"/>
        <v>301.22207291854005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2.3805128205128203</v>
      </c>
      <c r="BD14" s="13">
        <f>IF('Données projet'!$A$88&gt;35,BD13+BC14-BL13,IF(A14&lt;'Données projet'!$A$88,$BA$205^A14,IF(A14='Données projet'!$A$88,'Données projet'!$B$88,BD13+BC14-BL13)))</f>
        <v>13.762330235503498</v>
      </c>
      <c r="BE14" s="14">
        <f>BD14*VLOOKUP('Données projet'!$B$11,Paramètres!$A$1:$I$89,3,0)*VLOOKUP('Données projet'!$B$11,Paramètres!$A$1:$I$89,5,0)</f>
        <v>8.2298734808310936</v>
      </c>
      <c r="BF14" s="14">
        <f t="shared" si="37"/>
        <v>2.9675186699572826</v>
      </c>
      <c r="BG14" s="22">
        <f t="shared" si="7"/>
        <v>19.502124662623089</v>
      </c>
      <c r="BH14" s="60">
        <f t="shared" si="8"/>
        <v>289.61323577373423</v>
      </c>
      <c r="BI14" s="60">
        <f ca="1">AVERAGE(OFFSET($BH$3,0,0,'Données projet'!$E$11+1,1))-AVERAGE(OFFSET($H$3,0,0,'Données projet'!$E$11+1,1))</f>
        <v>289.12367833861299</v>
      </c>
      <c r="BJ14" s="60">
        <f t="shared" si="38"/>
        <v>229.06617320689003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2.4666666666666668</v>
      </c>
      <c r="BY14" s="13">
        <f>IF('Données projet'!$A$114&gt;35,BY13+BX14-CG13,IF(A14&lt;'Données projet'!$A$114,$BV$205^A14,IF(A14='Données projet'!$A$114,'Données projet'!$B$114,BY13+BX14-CG13)))</f>
        <v>14.125850240977657</v>
      </c>
      <c r="BZ14" s="14">
        <f>BY14*VLOOKUP('Données projet'!$B$12,Paramètres!$A$1:$I$89,3,0)*VLOOKUP('Données projet'!$B$12,Paramètres!$A$1:$I$89,5,0)</f>
        <v>11.238526451721825</v>
      </c>
      <c r="CA14" s="14">
        <f t="shared" si="39"/>
        <v>3.9080387928425129</v>
      </c>
      <c r="CB14" s="22">
        <f t="shared" si="10"/>
        <v>26.380267800949554</v>
      </c>
      <c r="CC14" s="60">
        <f t="shared" si="11"/>
        <v>296.49137891206067</v>
      </c>
      <c r="CD14" s="60">
        <f ca="1">AVERAGE(OFFSET($CC$3,0,0,'Données projet'!$E$12+1,1))-AVERAGE(OFFSET($H$3,0,0,'Données projet'!$E$12+1,1))</f>
        <v>312.53381881960331</v>
      </c>
      <c r="CE14" s="60">
        <f t="shared" si="40"/>
        <v>342.06887933351783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7.921821725516951</v>
      </c>
      <c r="CV14" s="14">
        <f t="shared" si="41"/>
        <v>2.869154216054651</v>
      </c>
      <c r="CW14" s="22">
        <f t="shared" si="13"/>
        <v>18.794283098237205</v>
      </c>
      <c r="CX14" s="60">
        <f t="shared" si="14"/>
        <v>288.90539420934834</v>
      </c>
      <c r="CY14" s="60">
        <f ca="1">AVERAGE(OFFSET($CX$3,0,0,'Données projet'!$E$13+1,1))-AVERAGE(OFFSET($H$3,0,0,'Données projet'!$E$13+1,1))</f>
        <v>475.47920969424894</v>
      </c>
      <c r="CZ14" s="60">
        <f t="shared" si="42"/>
        <v>271.73544012419364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4.9084615384615384</v>
      </c>
      <c r="DO14" s="13">
        <f>IF('Données projet'!$A$166&gt;35,DO13+DN14-DW13,IF(A14&lt;'Données projet'!$A$166,$DL$205^A14,IF(A14='Données projet'!$A$166,'Données projet'!$B$166,DO13+DN14-DW13)))</f>
        <v>6.2367418843040729</v>
      </c>
      <c r="DP14" s="18">
        <f>DO14*VLOOKUP('Données projet'!$B$14,Paramètres!$A$1:$I$89,3,0)*VLOOKUP('Données projet'!$B$14,Paramètres!$A$1:$I$89,5,0)</f>
        <v>2.9187952018543064</v>
      </c>
      <c r="DQ14" s="14">
        <f t="shared" si="43"/>
        <v>1.1874244488629264</v>
      </c>
      <c r="DR14" s="22">
        <f t="shared" si="16"/>
        <v>7.1516658916658464</v>
      </c>
      <c r="DS14" s="60">
        <f t="shared" si="17"/>
        <v>277.262777002777</v>
      </c>
      <c r="DT14" s="60">
        <f ca="1">AVERAGE(OFFSET($DS$3,0,0,'Données projet'!$E$14+1,1))-AVERAGE(OFFSET($H$3,0,0,'Données projet'!$E$14+1,1))</f>
        <v>284.71577701131588</v>
      </c>
      <c r="DU14" s="60">
        <f t="shared" si="44"/>
        <v>190.4880882944471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2.4666666666666668</v>
      </c>
      <c r="EJ14" s="13">
        <f>IF('Données projet'!$A$192&gt;35,EJ13+EI14-ER13,IF(A14&lt;'Données projet'!$A$192,$EG$205^A14,IF(A14='Données projet'!$A$192,'Données projet'!$B$192,EJ13+EI14-ER13)))</f>
        <v>14.125850240977657</v>
      </c>
      <c r="EK14" s="18">
        <f>EJ14*VLOOKUP('Données projet'!$B$15,Paramètres!$A$1:$I$89,3,0)*VLOOKUP('Données projet'!$B$15,Paramètres!$A$1:$I$89,5,0)</f>
        <v>10.357073396684818</v>
      </c>
      <c r="EL14" s="14">
        <f t="shared" si="45"/>
        <v>3.6359301026893722</v>
      </c>
      <c r="EM14" s="22">
        <f t="shared" si="19"/>
        <v>24.371147761410047</v>
      </c>
      <c r="EN14" s="60">
        <f t="shared" si="20"/>
        <v>294.48225887252119</v>
      </c>
      <c r="EO14" s="60">
        <f ca="1">AVERAGE(OFFSET($EN$3,0,0,'Données projet'!$E$15+1,1))-AVERAGE(OFFSET($H$3,0,0,'Données projet'!$E$15+1,1))</f>
        <v>290.85271051443431</v>
      </c>
      <c r="EP14" s="60">
        <f t="shared" si="46"/>
        <v>318.66958823451142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0">
        <f t="shared" si="0"/>
        <v>291.50424573777804</v>
      </c>
      <c r="S15" s="60">
        <f ca="1">AVERAGE(OFFSET($R$3,0,0,'Données projet'!$E$9+1,1))-AVERAGE(OFFSET($H$3,0,0,'Données projet'!$E$9+1,1))</f>
        <v>428.8489304403459</v>
      </c>
      <c r="T15" s="60">
        <f t="shared" si="34"/>
        <v>247.01165577562966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7.7987854251012134</v>
      </c>
      <c r="AI15" s="14">
        <f>IF('Données projet'!$A$62&gt;35,AI14+AH15-AQ14,IF(A15&lt;'Données projet'!$A$62,$AF$205^A15,IF(A15='Données projet'!$A$62,'Données projet'!$B$62,AI14+AH15-AQ14)))</f>
        <v>23.497372884242115</v>
      </c>
      <c r="AJ15" s="14">
        <f>AI15*VLOOKUP('Données projet'!$B$10,Paramètres!$A$1:$I$89,3,0)*VLOOKUP('Données projet'!$B$10,Paramètres!$A$1:$I$89,5,0)</f>
        <v>13.135031442291343</v>
      </c>
      <c r="AK15" s="14">
        <f t="shared" si="35"/>
        <v>4.4853651006518103</v>
      </c>
      <c r="AL15" s="22">
        <f t="shared" si="4"/>
        <v>30.688857312292658</v>
      </c>
      <c r="AM15" s="60">
        <f t="shared" si="5"/>
        <v>302.02219064562598</v>
      </c>
      <c r="AN15" s="60">
        <f ca="1">AVERAGE(OFFSET($AM$3,0,0,'Données projet'!$E$10+1,1))-AVERAGE(OFFSET($H$3,0,0,'Données projet'!$E$10+1,1))</f>
        <v>323.98185264074681</v>
      </c>
      <c r="AO15" s="60">
        <f t="shared" si="36"/>
        <v>301.22207291854005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2.3805128205128203</v>
      </c>
      <c r="BD15" s="13">
        <f>IF('Données projet'!$A$88&gt;35,BD14+BC15-BL14,IF(A15&lt;'Données projet'!$A$88,$BA$205^A15,IF(A15='Données projet'!$A$88,'Données projet'!$B$88,BD14+BC15-BL14)))</f>
        <v>17.466642325908158</v>
      </c>
      <c r="BE15" s="14">
        <f>BD15*VLOOKUP('Données projet'!$B$11,Paramètres!$A$1:$I$89,3,0)*VLOOKUP('Données projet'!$B$11,Paramètres!$A$1:$I$89,5,0)</f>
        <v>10.44505211089308</v>
      </c>
      <c r="BF15" s="14">
        <f t="shared" si="37"/>
        <v>3.6632071718377808</v>
      </c>
      <c r="BG15" s="22">
        <f t="shared" si="7"/>
        <v>24.571884917422917</v>
      </c>
      <c r="BH15" s="60">
        <f t="shared" si="8"/>
        <v>295.90521825075621</v>
      </c>
      <c r="BI15" s="60">
        <f ca="1">AVERAGE(OFFSET($BH$3,0,0,'Données projet'!$E$11+1,1))-AVERAGE(OFFSET($H$3,0,0,'Données projet'!$E$11+1,1))</f>
        <v>289.12367833861299</v>
      </c>
      <c r="BJ15" s="60">
        <f t="shared" si="38"/>
        <v>229.06617320689003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2.4666666666666668</v>
      </c>
      <c r="BY15" s="13">
        <f>IF('Données projet'!$A$114&gt;35,BY14+BX15-CG14,IF(A15&lt;'Données projet'!$A$114,$BV$205^A15,IF(A15='Données projet'!$A$114,'Données projet'!$B$114,BY14+BX15-CG14)))</f>
        <v>17.970550417308221</v>
      </c>
      <c r="BZ15" s="14">
        <f>BY15*VLOOKUP('Données projet'!$B$12,Paramètres!$A$1:$I$89,3,0)*VLOOKUP('Données projet'!$B$12,Paramètres!$A$1:$I$89,5,0)</f>
        <v>14.297369912010421</v>
      </c>
      <c r="CA15" s="14">
        <f t="shared" si="39"/>
        <v>4.8343312187127445</v>
      </c>
      <c r="CB15" s="22">
        <f t="shared" si="10"/>
        <v>33.321046136009507</v>
      </c>
      <c r="CC15" s="60">
        <f t="shared" si="11"/>
        <v>304.65437946934281</v>
      </c>
      <c r="CD15" s="60">
        <f ca="1">AVERAGE(OFFSET($CC$3,0,0,'Données projet'!$E$12+1,1))-AVERAGE(OFFSET($H$3,0,0,'Données projet'!$E$12+1,1))</f>
        <v>312.53381881960331</v>
      </c>
      <c r="CE15" s="60">
        <f t="shared" si="40"/>
        <v>342.06887933351783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9.5496516380767513</v>
      </c>
      <c r="CV15" s="14">
        <f t="shared" si="41"/>
        <v>3.3843014943027487</v>
      </c>
      <c r="CW15" s="22">
        <f t="shared" si="13"/>
        <v>22.526635038894295</v>
      </c>
      <c r="CX15" s="60">
        <f t="shared" si="14"/>
        <v>293.85996837222763</v>
      </c>
      <c r="CY15" s="60">
        <f ca="1">AVERAGE(OFFSET($CX$3,0,0,'Données projet'!$E$13+1,1))-AVERAGE(OFFSET($H$3,0,0,'Données projet'!$E$13+1,1))</f>
        <v>475.47920969424894</v>
      </c>
      <c r="CZ15" s="60">
        <f t="shared" si="42"/>
        <v>271.73544012419364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4.9084615384615384</v>
      </c>
      <c r="DO15" s="13">
        <f>IF('Données projet'!$A$166&gt;35,DO14+DN15-DW14,IF(A15&lt;'Données projet'!$A$166,$DL$205^A15,IF(A15='Données projet'!$A$166,'Données projet'!$B$166,DO14+DN15-DW14)))</f>
        <v>7.3659142514897171</v>
      </c>
      <c r="DP15" s="18">
        <f>DO15*VLOOKUP('Données projet'!$B$14,Paramètres!$A$1:$I$89,3,0)*VLOOKUP('Données projet'!$B$14,Paramètres!$A$1:$I$89,5,0)</f>
        <v>3.447247869697188</v>
      </c>
      <c r="DQ15" s="14">
        <f t="shared" si="43"/>
        <v>1.3755069097464061</v>
      </c>
      <c r="DR15" s="22">
        <f t="shared" si="16"/>
        <v>8.3996312408642595</v>
      </c>
      <c r="DS15" s="60">
        <f t="shared" si="17"/>
        <v>279.73296457419758</v>
      </c>
      <c r="DT15" s="60">
        <f ca="1">AVERAGE(OFFSET($DS$3,0,0,'Données projet'!$E$14+1,1))-AVERAGE(OFFSET($H$3,0,0,'Données projet'!$E$14+1,1))</f>
        <v>284.71577701131588</v>
      </c>
      <c r="DU15" s="60">
        <f t="shared" si="44"/>
        <v>190.4880882944471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2.4666666666666668</v>
      </c>
      <c r="EJ15" s="13">
        <f>IF('Données projet'!$A$192&gt;35,EJ14+EI15-ER14,IF(A15&lt;'Données projet'!$A$192,$EG$205^A15,IF(A15='Données projet'!$A$192,'Données projet'!$B$192,EJ14+EI15-ER14)))</f>
        <v>17.970550417308221</v>
      </c>
      <c r="EK15" s="18">
        <f>EJ15*VLOOKUP('Données projet'!$B$15,Paramètres!$A$1:$I$89,3,0)*VLOOKUP('Données projet'!$B$15,Paramètres!$A$1:$I$89,5,0)</f>
        <v>13.176007565970389</v>
      </c>
      <c r="EL15" s="14">
        <f t="shared" si="45"/>
        <v>4.4977266952111856</v>
      </c>
      <c r="EM15" s="22">
        <f t="shared" si="19"/>
        <v>30.781753838224574</v>
      </c>
      <c r="EN15" s="60">
        <f t="shared" si="20"/>
        <v>302.11508717155789</v>
      </c>
      <c r="EO15" s="60">
        <f ca="1">AVERAGE(OFFSET($EN$3,0,0,'Données projet'!$E$15+1,1))-AVERAGE(OFFSET($H$3,0,0,'Données projet'!$E$15+1,1))</f>
        <v>290.85271051443431</v>
      </c>
      <c r="EP15" s="60">
        <f t="shared" si="46"/>
        <v>318.66958823451142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0">
        <f t="shared" si="0"/>
        <v>296.73306974060051</v>
      </c>
      <c r="S16" s="60">
        <f ca="1">AVERAGE(OFFSET($R$3,0,0,'Données projet'!$E$9+1,1))-AVERAGE(OFFSET($H$3,0,0,'Données projet'!$E$9+1,1))</f>
        <v>428.8489304403459</v>
      </c>
      <c r="T16" s="60">
        <f t="shared" si="34"/>
        <v>247.01165577562966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7.7987854251012134</v>
      </c>
      <c r="AI16" s="14">
        <f>IF('Données projet'!$A$62&gt;35,AI15+AH16-AQ15,IF(A16&lt;'Données projet'!$A$62,$AF$205^A16,IF(A16='Données projet'!$A$62,'Données projet'!$B$62,AI15+AH16-AQ15)))</f>
        <v>30.56827402780376</v>
      </c>
      <c r="AJ16" s="14">
        <f>AI16*VLOOKUP('Données projet'!$B$10,Paramètres!$A$1:$I$89,3,0)*VLOOKUP('Données projet'!$B$10,Paramètres!$A$1:$I$89,5,0)</f>
        <v>17.087665181542302</v>
      </c>
      <c r="AK16" s="14">
        <f t="shared" si="35"/>
        <v>5.6591410869627277</v>
      </c>
      <c r="AL16" s="22">
        <f t="shared" si="4"/>
        <v>39.617354250979595</v>
      </c>
      <c r="AM16" s="60">
        <f t="shared" si="5"/>
        <v>312.17290980653513</v>
      </c>
      <c r="AN16" s="60">
        <f ca="1">AVERAGE(OFFSET($AM$3,0,0,'Données projet'!$E$10+1,1))-AVERAGE(OFFSET($H$3,0,0,'Données projet'!$E$10+1,1))</f>
        <v>323.98185264074681</v>
      </c>
      <c r="AO16" s="60">
        <f t="shared" si="36"/>
        <v>301.22207291854005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2.3805128205128203</v>
      </c>
      <c r="BD16" s="13">
        <f>IF('Données projet'!$A$88&gt;35,BD15+BC16-BL15,IF(A16&lt;'Données projet'!$A$88,$BA$205^A16,IF(A16='Données projet'!$A$88,'Données projet'!$B$88,BD15+BC16-BL15)))</f>
        <v>22.168018709081991</v>
      </c>
      <c r="BE16" s="14">
        <f>BD16*VLOOKUP('Données projet'!$B$11,Paramètres!$A$1:$I$89,3,0)*VLOOKUP('Données projet'!$B$11,Paramètres!$A$1:$I$89,5,0)</f>
        <v>13.256475188031033</v>
      </c>
      <c r="BF16" s="14">
        <f t="shared" si="37"/>
        <v>4.5219890003242735</v>
      </c>
      <c r="BG16" s="22">
        <f t="shared" si="7"/>
        <v>30.964158461385495</v>
      </c>
      <c r="BH16" s="60">
        <f t="shared" si="8"/>
        <v>303.51971401694107</v>
      </c>
      <c r="BI16" s="60">
        <f ca="1">AVERAGE(OFFSET($BH$3,0,0,'Données projet'!$E$11+1,1))-AVERAGE(OFFSET($H$3,0,0,'Données projet'!$E$11+1,1))</f>
        <v>289.12367833861299</v>
      </c>
      <c r="BJ16" s="60">
        <f t="shared" si="38"/>
        <v>229.06617320689003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2.4666666666666668</v>
      </c>
      <c r="BY16" s="13">
        <f>IF('Données projet'!$A$114&gt;35,BY15+BX16-CG15,IF(A16&lt;'Données projet'!$A$114,$BV$205^A16,IF(A16='Données projet'!$A$114,'Données projet'!$B$114,BY15+BX16-CG15)))</f>
        <v>22.86168101684942</v>
      </c>
      <c r="BZ16" s="14">
        <f>BY16*VLOOKUP('Données projet'!$B$12,Paramètres!$A$1:$I$89,3,0)*VLOOKUP('Données projet'!$B$12,Paramètres!$A$1:$I$89,5,0)</f>
        <v>18.188753417005401</v>
      </c>
      <c r="CA16" s="14">
        <f t="shared" si="39"/>
        <v>5.9801756254374139</v>
      </c>
      <c r="CB16" s="22">
        <f t="shared" si="10"/>
        <v>42.094218082254564</v>
      </c>
      <c r="CC16" s="60">
        <f t="shared" si="11"/>
        <v>314.64977363781009</v>
      </c>
      <c r="CD16" s="60">
        <f ca="1">AVERAGE(OFFSET($CC$3,0,0,'Données projet'!$E$12+1,1))-AVERAGE(OFFSET($H$3,0,0,'Données projet'!$E$12+1,1))</f>
        <v>312.53381881960331</v>
      </c>
      <c r="CE16" s="60">
        <f t="shared" si="40"/>
        <v>342.06887933351783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11.511979134151852</v>
      </c>
      <c r="CV16" s="14">
        <f t="shared" si="41"/>
        <v>3.9919417855793822</v>
      </c>
      <c r="CW16" s="22">
        <f t="shared" si="13"/>
        <v>27.002662268531896</v>
      </c>
      <c r="CX16" s="60">
        <f t="shared" si="14"/>
        <v>299.55821782408742</v>
      </c>
      <c r="CY16" s="60">
        <f ca="1">AVERAGE(OFFSET($CX$3,0,0,'Données projet'!$E$13+1,1))-AVERAGE(OFFSET($H$3,0,0,'Données projet'!$E$13+1,1))</f>
        <v>475.47920969424894</v>
      </c>
      <c r="CZ16" s="60">
        <f t="shared" si="42"/>
        <v>271.73544012419364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4.9084615384615384</v>
      </c>
      <c r="DO16" s="13">
        <f>IF('Données projet'!$A$166&gt;35,DO15+DN16-DW15,IF(A16&lt;'Données projet'!$A$166,$DL$205^A16,IF(A16='Données projet'!$A$166,'Données projet'!$B$166,DO15+DN16-DW15)))</f>
        <v>8.6995251313584792</v>
      </c>
      <c r="DP16" s="18">
        <f>DO16*VLOOKUP('Données projet'!$B$14,Paramètres!$A$1:$I$89,3,0)*VLOOKUP('Données projet'!$B$14,Paramètres!$A$1:$I$89,5,0)</f>
        <v>4.0713777614757687</v>
      </c>
      <c r="DQ16" s="14">
        <f t="shared" si="43"/>
        <v>1.5933807498842545</v>
      </c>
      <c r="DR16" s="22">
        <f t="shared" si="16"/>
        <v>9.8661210739520406</v>
      </c>
      <c r="DS16" s="60">
        <f t="shared" si="17"/>
        <v>282.4216766295076</v>
      </c>
      <c r="DT16" s="60">
        <f ca="1">AVERAGE(OFFSET($DS$3,0,0,'Données projet'!$E$14+1,1))-AVERAGE(OFFSET($H$3,0,0,'Données projet'!$E$14+1,1))</f>
        <v>284.71577701131588</v>
      </c>
      <c r="DU16" s="60">
        <f t="shared" si="44"/>
        <v>190.4880882944471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2.4666666666666668</v>
      </c>
      <c r="EJ16" s="13">
        <f>IF('Données projet'!$A$192&gt;35,EJ15+EI16-ER15,IF(A16&lt;'Données projet'!$A$192,$EG$205^A16,IF(A16='Données projet'!$A$192,'Données projet'!$B$192,EJ15+EI16-ER15)))</f>
        <v>22.86168101684942</v>
      </c>
      <c r="EK16" s="18">
        <f>EJ16*VLOOKUP('Données projet'!$B$15,Paramètres!$A$1:$I$89,3,0)*VLOOKUP('Données projet'!$B$15,Paramètres!$A$1:$I$89,5,0)</f>
        <v>16.762184521553994</v>
      </c>
      <c r="EL16" s="14">
        <f t="shared" si="45"/>
        <v>5.5637883164619248</v>
      </c>
      <c r="EM16" s="22">
        <f t="shared" si="19"/>
        <v>38.884402692877721</v>
      </c>
      <c r="EN16" s="60">
        <f t="shared" si="20"/>
        <v>311.43995824843324</v>
      </c>
      <c r="EO16" s="60">
        <f ca="1">AVERAGE(OFFSET($EN$3,0,0,'Données projet'!$E$15+1,1))-AVERAGE(OFFSET($H$3,0,0,'Données projet'!$E$15+1,1))</f>
        <v>290.85271051443431</v>
      </c>
      <c r="EP16" s="60">
        <f t="shared" si="46"/>
        <v>318.66958823451142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0">
        <f t="shared" si="0"/>
        <v>302.76037439017989</v>
      </c>
      <c r="S17" s="60">
        <f ca="1">AVERAGE(OFFSET($R$3,0,0,'Données projet'!$E$9+1,1))-AVERAGE(OFFSET($H$3,0,0,'Données projet'!$E$9+1,1))</f>
        <v>428.8489304403459</v>
      </c>
      <c r="T17" s="60">
        <f t="shared" si="34"/>
        <v>247.01165577562966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7.7987854251012134</v>
      </c>
      <c r="AI17" s="14">
        <f>IF('Données projet'!$A$62&gt;35,AI16+AH17-AQ16,IF(A17&lt;'Données projet'!$A$62,$AF$205^A17,IF(A17='Données projet'!$A$62,'Données projet'!$B$62,AI16+AH17-AQ16)))</f>
        <v>39.766972318234998</v>
      </c>
      <c r="AJ17" s="14">
        <f>AI17*VLOOKUP('Données projet'!$B$10,Paramètres!$A$1:$I$89,3,0)*VLOOKUP('Données projet'!$B$10,Paramètres!$A$1:$I$89,5,0)</f>
        <v>22.229737525893363</v>
      </c>
      <c r="AK17" s="14">
        <f t="shared" si="35"/>
        <v>7.1400827186834128</v>
      </c>
      <c r="AL17" s="22">
        <f t="shared" si="4"/>
        <v>51.152436925971216</v>
      </c>
      <c r="AM17" s="60">
        <f t="shared" si="5"/>
        <v>324.93021470374902</v>
      </c>
      <c r="AN17" s="60">
        <f ca="1">AVERAGE(OFFSET($AM$3,0,0,'Données projet'!$E$10+1,1))-AVERAGE(OFFSET($H$3,0,0,'Données projet'!$E$10+1,1))</f>
        <v>323.98185264074681</v>
      </c>
      <c r="AO17" s="60">
        <f t="shared" si="36"/>
        <v>301.22207291854005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2.3805128205128203</v>
      </c>
      <c r="BD17" s="13">
        <f>IF('Données projet'!$A$88&gt;35,BD16+BC17-BL16,IF(A17&lt;'Données projet'!$A$88,$BA$205^A17,IF(A17='Données projet'!$A$88,'Données projet'!$B$88,BD16+BC17-BL16)))</f>
        <v>28.134832345956244</v>
      </c>
      <c r="BE17" s="14">
        <f>BD17*VLOOKUP('Données projet'!$B$11,Paramètres!$A$1:$I$89,3,0)*VLOOKUP('Données projet'!$B$11,Paramètres!$A$1:$I$89,5,0)</f>
        <v>16.824629742881836</v>
      </c>
      <c r="BF17" s="14">
        <f t="shared" si="37"/>
        <v>5.5820988439469144</v>
      </c>
      <c r="BG17" s="22">
        <f t="shared" si="7"/>
        <v>39.025052288726734</v>
      </c>
      <c r="BH17" s="60">
        <f t="shared" si="8"/>
        <v>312.8028300665045</v>
      </c>
      <c r="BI17" s="60">
        <f ca="1">AVERAGE(OFFSET($BH$3,0,0,'Données projet'!$E$11+1,1))-AVERAGE(OFFSET($H$3,0,0,'Données projet'!$E$11+1,1))</f>
        <v>289.12367833861299</v>
      </c>
      <c r="BJ17" s="60">
        <f t="shared" si="38"/>
        <v>229.06617320689003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2.4666666666666668</v>
      </c>
      <c r="BY17" s="13">
        <f>IF('Données projet'!$A$114&gt;35,BY16+BX17-CG16,IF(A17&lt;'Données projet'!$A$114,$BV$205^A17,IF(A17='Données projet'!$A$114,'Données projet'!$B$114,BY16+BX17-CG16)))</f>
        <v>29.084054009429774</v>
      </c>
      <c r="BZ17" s="14">
        <f>BY17*VLOOKUP('Données projet'!$B$12,Paramètres!$A$1:$I$89,3,0)*VLOOKUP('Données projet'!$B$12,Paramètres!$A$1:$I$89,5,0)</f>
        <v>23.13927336990233</v>
      </c>
      <c r="CA17" s="14">
        <f t="shared" si="39"/>
        <v>7.3976107331343286</v>
      </c>
      <c r="CB17" s="22">
        <f t="shared" si="10"/>
        <v>53.185073146122171</v>
      </c>
      <c r="CC17" s="60">
        <f t="shared" si="11"/>
        <v>326.96285092389996</v>
      </c>
      <c r="CD17" s="60">
        <f ca="1">AVERAGE(OFFSET($CC$3,0,0,'Données projet'!$E$12+1,1))-AVERAGE(OFFSET($H$3,0,0,'Données projet'!$E$12+1,1))</f>
        <v>312.53381881960331</v>
      </c>
      <c r="CE17" s="60">
        <f t="shared" si="40"/>
        <v>342.06887933351783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13.877539056685173</v>
      </c>
      <c r="CV17" s="14">
        <f t="shared" si="41"/>
        <v>4.7086819085950955</v>
      </c>
      <c r="CW17" s="22">
        <f t="shared" si="13"/>
        <v>32.371001514529802</v>
      </c>
      <c r="CX17" s="60">
        <f t="shared" si="14"/>
        <v>306.14877929230755</v>
      </c>
      <c r="CY17" s="60">
        <f ca="1">AVERAGE(OFFSET($CX$3,0,0,'Données projet'!$E$13+1,1))-AVERAGE(OFFSET($H$3,0,0,'Données projet'!$E$13+1,1))</f>
        <v>475.47920969424894</v>
      </c>
      <c r="CZ17" s="60">
        <f t="shared" si="42"/>
        <v>271.73544012419364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4.9084615384615384</v>
      </c>
      <c r="DO17" s="13">
        <f>IF('Données projet'!$A$166&gt;35,DO16+DN17-DW16,IF(A17&lt;'Données projet'!$A$166,$DL$205^A17,IF(A17='Données projet'!$A$166,'Données projet'!$B$166,DO16+DN17-DW16)))</f>
        <v>10.27458845259182</v>
      </c>
      <c r="DP17" s="18">
        <f>DO17*VLOOKUP('Données projet'!$B$14,Paramètres!$A$1:$I$89,3,0)*VLOOKUP('Données projet'!$B$14,Paramètres!$A$1:$I$89,5,0)</f>
        <v>4.8085073958129714</v>
      </c>
      <c r="DQ17" s="14">
        <f t="shared" si="43"/>
        <v>1.8457647839586531</v>
      </c>
      <c r="DR17" s="22">
        <f t="shared" si="16"/>
        <v>11.589524046435578</v>
      </c>
      <c r="DS17" s="60">
        <f t="shared" si="17"/>
        <v>285.36730182421337</v>
      </c>
      <c r="DT17" s="60">
        <f ca="1">AVERAGE(OFFSET($DS$3,0,0,'Données projet'!$E$14+1,1))-AVERAGE(OFFSET($H$3,0,0,'Données projet'!$E$14+1,1))</f>
        <v>284.71577701131588</v>
      </c>
      <c r="DU17" s="60">
        <f t="shared" si="44"/>
        <v>190.4880882944471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2.4666666666666668</v>
      </c>
      <c r="EJ17" s="13">
        <f>IF('Données projet'!$A$192&gt;35,EJ16+EI17-ER16,IF(A17&lt;'Données projet'!$A$192,$EG$205^A17,IF(A17='Données projet'!$A$192,'Données projet'!$B$192,EJ16+EI17-ER16)))</f>
        <v>29.084054009429774</v>
      </c>
      <c r="EK17" s="18">
        <f>EJ17*VLOOKUP('Données projet'!$B$15,Paramètres!$A$1:$I$89,3,0)*VLOOKUP('Données projet'!$B$15,Paramètres!$A$1:$I$89,5,0)</f>
        <v>21.324428399713909</v>
      </c>
      <c r="EL17" s="14">
        <f t="shared" si="45"/>
        <v>6.8825303376831179</v>
      </c>
      <c r="EM17" s="22">
        <f t="shared" si="19"/>
        <v>49.127119800966483</v>
      </c>
      <c r="EN17" s="60">
        <f t="shared" si="20"/>
        <v>322.90489757874423</v>
      </c>
      <c r="EO17" s="60">
        <f ca="1">AVERAGE(OFFSET($EN$3,0,0,'Données projet'!$E$15+1,1))-AVERAGE(OFFSET($H$3,0,0,'Données projet'!$E$15+1,1))</f>
        <v>290.85271051443431</v>
      </c>
      <c r="EP17" s="60">
        <f t="shared" si="46"/>
        <v>318.66958823451142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0">
        <f t="shared" si="0"/>
        <v>309.74578000827665</v>
      </c>
      <c r="S18" s="60">
        <f ca="1">AVERAGE(OFFSET($R$3,0,0,'Données projet'!$E$9+1,1))-AVERAGE(OFFSET($H$3,0,0,'Données projet'!$E$9+1,1))</f>
        <v>428.8489304403459</v>
      </c>
      <c r="T18" s="60">
        <f t="shared" si="34"/>
        <v>247.01165577562966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7.7987854251012134</v>
      </c>
      <c r="AI18" s="14">
        <f>IF('Données projet'!$A$62&gt;35,AI17+AH18-AQ17,IF(A18&lt;'Données projet'!$A$62,$AF$205^A18,IF(A18='Données projet'!$A$62,'Données projet'!$B$62,AI17+AH18-AQ17)))</f>
        <v>51.73377096531113</v>
      </c>
      <c r="AJ18" s="14">
        <f>AI18*VLOOKUP('Données projet'!$B$10,Paramètres!$A$1:$I$89,3,0)*VLOOKUP('Données projet'!$B$10,Paramètres!$A$1:$I$89,5,0)</f>
        <v>28.919177969608924</v>
      </c>
      <c r="AK18" s="14">
        <f t="shared" si="35"/>
        <v>9.0085722278754812</v>
      </c>
      <c r="AL18" s="22">
        <f t="shared" si="4"/>
        <v>66.057498260618672</v>
      </c>
      <c r="AM18" s="60">
        <f t="shared" si="5"/>
        <v>341.05749826061867</v>
      </c>
      <c r="AN18" s="60">
        <f ca="1">AVERAGE(OFFSET($AM$3,0,0,'Données projet'!$E$10+1,1))-AVERAGE(OFFSET($H$3,0,0,'Données projet'!$E$10+1,1))</f>
        <v>323.98185264074681</v>
      </c>
      <c r="AO18" s="60">
        <f t="shared" si="36"/>
        <v>301.22207291854005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35.707692307692305</v>
      </c>
      <c r="BB18" s="13">
        <f>VLOOKUP(A18,'Données projet'!$A$87:$I$107,9,0)</f>
        <v>2.3805128205128203</v>
      </c>
      <c r="BC18" s="13">
        <f t="array" ref="BC18">INDEX(BB:BB,MIN(IF(ISNUMBER(BB18:BB214),ROW(BB18:BB214),"")))</f>
        <v>2.3805128205128203</v>
      </c>
      <c r="BD18" s="13">
        <f>IF('Données projet'!$A$88&gt;35,BD17+BC18-BL17,IF(A18&lt;'Données projet'!$A$88,$BA$205^A18,IF(A18='Données projet'!$A$88,'Données projet'!$B$88,BD17+BC18-BL17)))</f>
        <v>35.707692307692305</v>
      </c>
      <c r="BE18" s="14">
        <f>BD18*VLOOKUP('Données projet'!$B$11,Paramètres!$A$1:$I$89,3,0)*VLOOKUP('Données projet'!$B$11,Paramètres!$A$1:$I$89,5,0)</f>
        <v>21.353200000000001</v>
      </c>
      <c r="BF18" s="14">
        <f t="shared" si="37"/>
        <v>6.8907349180546449</v>
      </c>
      <c r="BG18" s="22">
        <f t="shared" si="7"/>
        <v>49.1915199822785</v>
      </c>
      <c r="BH18" s="60">
        <f t="shared" si="8"/>
        <v>324.19151998227852</v>
      </c>
      <c r="BI18" s="60">
        <f ca="1">AVERAGE(OFFSET($BH$3,0,0,'Données projet'!$E$11+1,1))-AVERAGE(OFFSET($H$3,0,0,'Données projet'!$E$11+1,1))</f>
        <v>289.12367833861299</v>
      </c>
      <c r="BJ18" s="60">
        <f t="shared" si="38"/>
        <v>229.06617320689003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37</v>
      </c>
      <c r="BW18" s="13">
        <f>VLOOKUP(A18,'Données projet'!$A$113:$I$133,9,0)</f>
        <v>2.4666666666666668</v>
      </c>
      <c r="BX18" s="13">
        <f t="array" ref="BX18">INDEX(BW:BW,MIN(IF(ISNUMBER(BW18:BW214),ROW(BW18:BW214),"")))</f>
        <v>2.4666666666666668</v>
      </c>
      <c r="BY18" s="13">
        <f>IF('Données projet'!$A$114&gt;35,BY17+BX18-CG17,IF(A18&lt;'Données projet'!$A$114,$BV$205^A18,IF(A18='Données projet'!$A$114,'Données projet'!$B$114,BY17+BX18-CG17)))</f>
        <v>37</v>
      </c>
      <c r="BZ18" s="14">
        <f>BY18*VLOOKUP('Données projet'!$B$12,Paramètres!$A$1:$I$89,3,0)*VLOOKUP('Données projet'!$B$12,Paramètres!$A$1:$I$89,5,0)</f>
        <v>29.437200000000004</v>
      </c>
      <c r="CA18" s="14">
        <f t="shared" si="39"/>
        <v>9.1510096001539196</v>
      </c>
      <c r="CB18" s="22">
        <f t="shared" si="10"/>
        <v>67.207798386934755</v>
      </c>
      <c r="CC18" s="60">
        <f t="shared" si="11"/>
        <v>342.20779838693477</v>
      </c>
      <c r="CD18" s="60">
        <f ca="1">AVERAGE(OFFSET($CC$3,0,0,'Données projet'!$E$12+1,1))-AVERAGE(OFFSET($H$3,0,0,'Données projet'!$E$12+1,1))</f>
        <v>312.53381881960331</v>
      </c>
      <c r="CE18" s="60">
        <f t="shared" si="40"/>
        <v>342.06887933351783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16.729190352551068</v>
      </c>
      <c r="CV18" s="14">
        <f t="shared" si="41"/>
        <v>5.5541103821765283</v>
      </c>
      <c r="CW18" s="22">
        <f t="shared" si="13"/>
        <v>38.810082112983899</v>
      </c>
      <c r="CX18" s="60">
        <f t="shared" si="14"/>
        <v>313.81008211298388</v>
      </c>
      <c r="CY18" s="60">
        <f ca="1">AVERAGE(OFFSET($CX$3,0,0,'Données projet'!$E$13+1,1))-AVERAGE(OFFSET($H$3,0,0,'Données projet'!$E$13+1,1))</f>
        <v>475.47920969424894</v>
      </c>
      <c r="CZ18" s="60">
        <f t="shared" si="42"/>
        <v>271.73544012419364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4.9084615384615384</v>
      </c>
      <c r="DO18" s="13">
        <f>IF('Données projet'!$A$166&gt;35,DO17+DN18-DW17,IF(A18&lt;'Données projet'!$A$166,$DL$205^A18,IF(A18='Données projet'!$A$166,'Données projet'!$B$166,DO17+DN18-DW17)))</f>
        <v>12.134819576485119</v>
      </c>
      <c r="DP18" s="18">
        <f>DO18*VLOOKUP('Données projet'!$B$14,Paramètres!$A$1:$I$89,3,0)*VLOOKUP('Données projet'!$B$14,Paramètres!$A$1:$I$89,5,0)</f>
        <v>5.6790955617950356</v>
      </c>
      <c r="DQ18" s="14">
        <f t="shared" si="43"/>
        <v>2.1381252647550886</v>
      </c>
      <c r="DR18" s="22">
        <f t="shared" si="16"/>
        <v>13.614992939574798</v>
      </c>
      <c r="DS18" s="60">
        <f t="shared" si="17"/>
        <v>288.61499293957479</v>
      </c>
      <c r="DT18" s="60">
        <f ca="1">AVERAGE(OFFSET($DS$3,0,0,'Données projet'!$E$14+1,1))-AVERAGE(OFFSET($H$3,0,0,'Données projet'!$E$14+1,1))</f>
        <v>284.71577701131588</v>
      </c>
      <c r="DU18" s="60">
        <f t="shared" si="44"/>
        <v>190.4880882944471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37</v>
      </c>
      <c r="EH18" s="13">
        <f>VLOOKUP(A18,'Données projet'!$A$191:$I$211,9,0)</f>
        <v>2.4666666666666668</v>
      </c>
      <c r="EI18" s="13">
        <f t="array" ref="EI18">INDEX(EH:EH,MIN(IF(ISNUMBER(EH18:EH214),ROW(EH18:EH214),"")))</f>
        <v>2.4666666666666668</v>
      </c>
      <c r="EJ18" s="13">
        <f>IF('Données projet'!$A$192&gt;35,EJ17+EI18-ER17,IF(A18&lt;'Données projet'!$A$192,$EG$205^A18,IF(A18='Données projet'!$A$192,'Données projet'!$B$192,EJ17+EI18-ER17)))</f>
        <v>37</v>
      </c>
      <c r="EK18" s="18">
        <f>EJ18*VLOOKUP('Données projet'!$B$15,Paramètres!$A$1:$I$89,3,0)*VLOOKUP('Données projet'!$B$15,Paramètres!$A$1:$I$89,5,0)</f>
        <v>27.128400000000003</v>
      </c>
      <c r="EL18" s="14">
        <f t="shared" si="45"/>
        <v>8.5138436537878839</v>
      </c>
      <c r="EM18" s="22">
        <f t="shared" si="19"/>
        <v>62.076907697013901</v>
      </c>
      <c r="EN18" s="60">
        <f t="shared" si="20"/>
        <v>337.07690769701389</v>
      </c>
      <c r="EO18" s="60">
        <f ca="1">AVERAGE(OFFSET($EN$3,0,0,'Données projet'!$E$15+1,1))-AVERAGE(OFFSET($H$3,0,0,'Données projet'!$E$15+1,1))</f>
        <v>290.85271051443431</v>
      </c>
      <c r="EP18" s="60">
        <f t="shared" si="46"/>
        <v>318.66958823451142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0">
        <f t="shared" si="0"/>
        <v>317.88090656215792</v>
      </c>
      <c r="S19" s="60">
        <f ca="1">AVERAGE(OFFSET($R$3,0,0,'Données projet'!$E$9+1,1))-AVERAGE(OFFSET($H$3,0,0,'Données projet'!$E$9+1,1))</f>
        <v>428.8489304403459</v>
      </c>
      <c r="T19" s="60">
        <f t="shared" si="34"/>
        <v>247.01165577562966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7.7987854251012134</v>
      </c>
      <c r="AI19" s="14">
        <f>IF('Données projet'!$A$62&gt;35,AI18+AH19-AQ18,IF(A19&lt;'Données projet'!$A$62,$AF$205^A19,IF(A19='Données projet'!$A$62,'Données projet'!$B$62,AI18+AH19-AQ18)))</f>
        <v>67.301655174387619</v>
      </c>
      <c r="AJ19" s="14">
        <f>AI19*VLOOKUP('Données projet'!$B$10,Paramètres!$A$1:$I$89,3,0)*VLOOKUP('Données projet'!$B$10,Paramètres!$A$1:$I$89,5,0)</f>
        <v>37.621625242482679</v>
      </c>
      <c r="AK19" s="14">
        <f t="shared" si="35"/>
        <v>11.366027087122298</v>
      </c>
      <c r="AL19" s="22">
        <f t="shared" si="4"/>
        <v>85.320161140728672</v>
      </c>
      <c r="AM19" s="60">
        <f t="shared" si="5"/>
        <v>361.54238336295089</v>
      </c>
      <c r="AN19" s="60">
        <f ca="1">AVERAGE(OFFSET($AM$3,0,0,'Données projet'!$E$10+1,1))-AVERAGE(OFFSET($H$3,0,0,'Données projet'!$E$10+1,1))</f>
        <v>323.98185264074681</v>
      </c>
      <c r="AO19" s="60">
        <f t="shared" si="36"/>
        <v>301.22207291854005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13.103846153846154</v>
      </c>
      <c r="BD19" s="13">
        <f>IF('Données projet'!$A$88&gt;35,BD18+BC19-BL18,IF(A19&lt;'Données projet'!$A$88,$BA$205^A19,IF(A19='Données projet'!$A$88,'Données projet'!$B$88,BD18+BC19-BL18)))</f>
        <v>48.811538461538461</v>
      </c>
      <c r="BE19" s="14">
        <f>BD19*VLOOKUP('Données projet'!$B$11,Paramètres!$A$1:$I$89,3,0)*VLOOKUP('Données projet'!$B$11,Paramètres!$A$1:$I$89,5,0)</f>
        <v>29.189300000000003</v>
      </c>
      <c r="BF19" s="14">
        <f t="shared" si="37"/>
        <v>9.0828827639780165</v>
      </c>
      <c r="BG19" s="22">
        <f t="shared" si="7"/>
        <v>66.657384980595054</v>
      </c>
      <c r="BH19" s="60">
        <f t="shared" si="8"/>
        <v>342.87960720281728</v>
      </c>
      <c r="BI19" s="60">
        <f ca="1">AVERAGE(OFFSET($BH$3,0,0,'Données projet'!$E$11+1,1))-AVERAGE(OFFSET($H$3,0,0,'Données projet'!$E$11+1,1))</f>
        <v>289.12367833861299</v>
      </c>
      <c r="BJ19" s="60">
        <f t="shared" si="38"/>
        <v>229.06617320689003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11.6</v>
      </c>
      <c r="BY19" s="13">
        <f>IF('Données projet'!$A$114&gt;35,BY18+BX19-CG18,IF(A19&lt;'Données projet'!$A$114,$BV$205^A19,IF(A19='Données projet'!$A$114,'Données projet'!$B$114,BY18+BX19-CG18)))</f>
        <v>48.6</v>
      </c>
      <c r="BZ19" s="14">
        <f>BY19*VLOOKUP('Données projet'!$B$12,Paramètres!$A$1:$I$89,3,0)*VLOOKUP('Données projet'!$B$12,Paramètres!$A$1:$I$89,5,0)</f>
        <v>38.666160000000005</v>
      </c>
      <c r="CA19" s="14">
        <f t="shared" si="39"/>
        <v>11.644417682758437</v>
      </c>
      <c r="CB19" s="22">
        <f t="shared" si="10"/>
        <v>87.624256130804284</v>
      </c>
      <c r="CC19" s="60">
        <f t="shared" si="11"/>
        <v>363.8464783530265</v>
      </c>
      <c r="CD19" s="60">
        <f ca="1">AVERAGE(OFFSET($CC$3,0,0,'Données projet'!$E$12+1,1))-AVERAGE(OFFSET($H$3,0,0,'Données projet'!$E$12+1,1))</f>
        <v>312.53381881960331</v>
      </c>
      <c r="CE19" s="60">
        <f t="shared" si="40"/>
        <v>342.06887933351783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20.166818389681932</v>
      </c>
      <c r="CV19" s="14">
        <f t="shared" si="41"/>
        <v>6.5513327797938032</v>
      </c>
      <c r="CW19" s="22">
        <f t="shared" si="13"/>
        <v>46.534113286836906</v>
      </c>
      <c r="CX19" s="60">
        <f t="shared" si="14"/>
        <v>322.75633550905911</v>
      </c>
      <c r="CY19" s="60">
        <f ca="1">AVERAGE(OFFSET($CX$3,0,0,'Données projet'!$E$13+1,1))-AVERAGE(OFFSET($H$3,0,0,'Données projet'!$E$13+1,1))</f>
        <v>475.47920969424894</v>
      </c>
      <c r="CZ19" s="60">
        <f t="shared" si="42"/>
        <v>271.73544012419364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4.9084615384615384</v>
      </c>
      <c r="DO19" s="13">
        <f>IF('Données projet'!$A$166&gt;35,DO18+DN19-DW18,IF(A19&lt;'Données projet'!$A$166,$DL$205^A19,IF(A19='Données projet'!$A$166,'Données projet'!$B$166,DO18+DN19-DW18)))</f>
        <v>14.331848602335111</v>
      </c>
      <c r="DP19" s="18">
        <f>DO19*VLOOKUP('Données projet'!$B$14,Paramètres!$A$1:$I$89,3,0)*VLOOKUP('Données projet'!$B$14,Paramètres!$A$1:$I$89,5,0)</f>
        <v>6.7073051458928319</v>
      </c>
      <c r="DQ19" s="14">
        <f t="shared" si="43"/>
        <v>2.4767942738506736</v>
      </c>
      <c r="DR19" s="22">
        <f t="shared" si="16"/>
        <v>15.995639822719939</v>
      </c>
      <c r="DS19" s="60">
        <f t="shared" si="17"/>
        <v>292.21786204494219</v>
      </c>
      <c r="DT19" s="60">
        <f ca="1">AVERAGE(OFFSET($DS$3,0,0,'Données projet'!$E$14+1,1))-AVERAGE(OFFSET($H$3,0,0,'Données projet'!$E$14+1,1))</f>
        <v>284.71577701131588</v>
      </c>
      <c r="DU19" s="60">
        <f t="shared" si="44"/>
        <v>190.4880882944471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11.6</v>
      </c>
      <c r="EJ19" s="13">
        <f>IF('Données projet'!$A$192&gt;35,EJ18+EI19-ER18,IF(A19&lt;'Données projet'!$A$192,$EG$205^A19,IF(A19='Données projet'!$A$192,'Données projet'!$B$192,EJ18+EI19-ER18)))</f>
        <v>48.6</v>
      </c>
      <c r="EK19" s="18">
        <f>EJ19*VLOOKUP('Données projet'!$B$15,Paramètres!$A$1:$I$89,3,0)*VLOOKUP('Données projet'!$B$15,Paramètres!$A$1:$I$89,5,0)</f>
        <v>35.633519999999997</v>
      </c>
      <c r="EL19" s="14">
        <f t="shared" si="45"/>
        <v>10.833640868297282</v>
      </c>
      <c r="EM19" s="22">
        <f t="shared" si="19"/>
        <v>80.930305178951087</v>
      </c>
      <c r="EN19" s="60">
        <f t="shared" si="20"/>
        <v>357.1525274011733</v>
      </c>
      <c r="EO19" s="60">
        <f ca="1">AVERAGE(OFFSET($EN$3,0,0,'Données projet'!$E$15+1,1))-AVERAGE(OFFSET($H$3,0,0,'Données projet'!$E$15+1,1))</f>
        <v>290.85271051443431</v>
      </c>
      <c r="EP19" s="60">
        <f t="shared" si="46"/>
        <v>318.66958823451142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0">
        <f t="shared" si="0"/>
        <v>327.39580549186149</v>
      </c>
      <c r="S20" s="60">
        <f ca="1">AVERAGE(OFFSET($R$3,0,0,'Données projet'!$E$9+1,1))-AVERAGE(OFFSET($H$3,0,0,'Données projet'!$E$9+1,1))</f>
        <v>428.8489304403459</v>
      </c>
      <c r="T20" s="60">
        <f t="shared" si="34"/>
        <v>247.01165577562966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7.7987854251012134</v>
      </c>
      <c r="AI20" s="14">
        <f>IF('Données projet'!$A$62&gt;35,AI19+AH20-AQ19,IF(A20&lt;'Données projet'!$A$62,$AF$205^A20,IF(A20='Données projet'!$A$62,'Données projet'!$B$62,AI19+AH20-AQ19)))</f>
        <v>87.554274600421721</v>
      </c>
      <c r="AJ20" s="14">
        <f>AI20*VLOOKUP('Données projet'!$B$10,Paramètres!$A$1:$I$89,3,0)*VLOOKUP('Données projet'!$B$10,Paramètres!$A$1:$I$89,5,0)</f>
        <v>48.942839501635746</v>
      </c>
      <c r="AK20" s="14">
        <f t="shared" si="35"/>
        <v>14.340404725340607</v>
      </c>
      <c r="AL20" s="22">
        <f t="shared" si="4"/>
        <v>110.21831702865047</v>
      </c>
      <c r="AM20" s="60">
        <f t="shared" si="5"/>
        <v>387.66276147309492</v>
      </c>
      <c r="AN20" s="60">
        <f ca="1">AVERAGE(OFFSET($AM$3,0,0,'Données projet'!$E$10+1,1))-AVERAGE(OFFSET($H$3,0,0,'Données projet'!$E$10+1,1))</f>
        <v>323.98185264074681</v>
      </c>
      <c r="AO20" s="60">
        <f t="shared" si="36"/>
        <v>301.22207291854005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13.103846153846154</v>
      </c>
      <c r="BD20" s="13">
        <f>IF('Données projet'!$A$88&gt;35,BD19+BC20-BL19,IF(A20&lt;'Données projet'!$A$88,$BA$205^A20,IF(A20='Données projet'!$A$88,'Données projet'!$B$88,BD19+BC20-BL19)))</f>
        <v>61.915384615384617</v>
      </c>
      <c r="BE20" s="14">
        <f>BD20*VLOOKUP('Données projet'!$B$11,Paramètres!$A$1:$I$89,3,0)*VLOOKUP('Données projet'!$B$11,Paramètres!$A$1:$I$89,5,0)</f>
        <v>37.025400000000005</v>
      </c>
      <c r="BF20" s="14">
        <f t="shared" si="37"/>
        <v>11.206718213534849</v>
      </c>
      <c r="BG20" s="22">
        <f t="shared" si="7"/>
        <v>84.004272555239865</v>
      </c>
      <c r="BH20" s="60">
        <f t="shared" si="8"/>
        <v>361.44871699968434</v>
      </c>
      <c r="BI20" s="60">
        <f ca="1">AVERAGE(OFFSET($BH$3,0,0,'Données projet'!$E$11+1,1))-AVERAGE(OFFSET($H$3,0,0,'Données projet'!$E$11+1,1))</f>
        <v>289.12367833861299</v>
      </c>
      <c r="BJ20" s="60">
        <f t="shared" si="38"/>
        <v>229.06617320689003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11.6</v>
      </c>
      <c r="BY20" s="13">
        <f>IF('Données projet'!$A$114&gt;35,BY19+BX20-CG19,IF(A20&lt;'Données projet'!$A$114,$BV$205^A20,IF(A20='Données projet'!$A$114,'Données projet'!$B$114,BY19+BX20-CG19)))</f>
        <v>60.2</v>
      </c>
      <c r="BZ20" s="14">
        <f>BY20*VLOOKUP('Données projet'!$B$12,Paramètres!$A$1:$I$89,3,0)*VLOOKUP('Données projet'!$B$12,Paramètres!$A$1:$I$89,5,0)</f>
        <v>47.895120000000006</v>
      </c>
      <c r="CA20" s="14">
        <f t="shared" si="39"/>
        <v>14.068812032564205</v>
      </c>
      <c r="CB20" s="22">
        <f t="shared" si="10"/>
        <v>107.92051495671599</v>
      </c>
      <c r="CC20" s="60">
        <f t="shared" si="11"/>
        <v>385.36495940116043</v>
      </c>
      <c r="CD20" s="60">
        <f ca="1">AVERAGE(OFFSET($CC$3,0,0,'Données projet'!$E$12+1,1))-AVERAGE(OFFSET($H$3,0,0,'Données projet'!$E$12+1,1))</f>
        <v>312.53381881960331</v>
      </c>
      <c r="CE20" s="60">
        <f t="shared" si="40"/>
        <v>342.06887933351783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24.31083366209619</v>
      </c>
      <c r="CV20" s="14">
        <f t="shared" si="41"/>
        <v>7.7276032052466093</v>
      </c>
      <c r="CW20" s="22">
        <f t="shared" si="13"/>
        <v>55.800277543955367</v>
      </c>
      <c r="CX20" s="60">
        <f t="shared" si="14"/>
        <v>333.24472198839982</v>
      </c>
      <c r="CY20" s="60">
        <f ca="1">AVERAGE(OFFSET($CX$3,0,0,'Données projet'!$E$13+1,1))-AVERAGE(OFFSET($H$3,0,0,'Données projet'!$E$13+1,1))</f>
        <v>475.47920969424894</v>
      </c>
      <c r="CZ20" s="60">
        <f t="shared" si="42"/>
        <v>271.73544012419364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4.9084615384615384</v>
      </c>
      <c r="DO20" s="13">
        <f>IF('Données projet'!$A$166&gt;35,DO19+DN20-DW19,IF(A20&lt;'Données projet'!$A$166,$DL$205^A20,IF(A20='Données projet'!$A$166,'Données projet'!$B$166,DO19+DN20-DW19)))</f>
        <v>16.926653343761537</v>
      </c>
      <c r="DP20" s="18">
        <f>DO20*VLOOKUP('Données projet'!$B$14,Paramètres!$A$1:$I$89,3,0)*VLOOKUP('Données projet'!$B$14,Paramètres!$A$1:$I$89,5,0)</f>
        <v>7.9216737648803992</v>
      </c>
      <c r="DQ20" s="14">
        <f t="shared" si="43"/>
        <v>2.8691068648319642</v>
      </c>
      <c r="DR20" s="22">
        <f t="shared" si="16"/>
        <v>18.793942930082366</v>
      </c>
      <c r="DS20" s="60">
        <f t="shared" si="17"/>
        <v>296.23838737452684</v>
      </c>
      <c r="DT20" s="60">
        <f ca="1">AVERAGE(OFFSET($DS$3,0,0,'Données projet'!$E$14+1,1))-AVERAGE(OFFSET($H$3,0,0,'Données projet'!$E$14+1,1))</f>
        <v>284.71577701131588</v>
      </c>
      <c r="DU20" s="60">
        <f t="shared" si="44"/>
        <v>190.4880882944471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11.6</v>
      </c>
      <c r="EJ20" s="13">
        <f>IF('Données projet'!$A$192&gt;35,EJ19+EI20-ER19,IF(A20&lt;'Données projet'!$A$192,$EG$205^A20,IF(A20='Données projet'!$A$192,'Données projet'!$B$192,EJ19+EI20-ER19)))</f>
        <v>60.2</v>
      </c>
      <c r="EK20" s="18">
        <f>EJ20*VLOOKUP('Données projet'!$B$15,Paramètres!$A$1:$I$89,3,0)*VLOOKUP('Données projet'!$B$15,Paramètres!$A$1:$I$89,5,0)</f>
        <v>44.138640000000002</v>
      </c>
      <c r="EL20" s="14">
        <f t="shared" si="45"/>
        <v>13.089229634046784</v>
      </c>
      <c r="EM20" s="22">
        <f t="shared" si="19"/>
        <v>99.671872945964807</v>
      </c>
      <c r="EN20" s="60">
        <f t="shared" si="20"/>
        <v>377.11631739040928</v>
      </c>
      <c r="EO20" s="60">
        <f ca="1">AVERAGE(OFFSET($EN$3,0,0,'Données projet'!$E$15+1,1))-AVERAGE(OFFSET($H$3,0,0,'Données projet'!$E$15+1,1))</f>
        <v>290.85271051443431</v>
      </c>
      <c r="EP20" s="60">
        <f t="shared" si="46"/>
        <v>318.66958823451142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0">
        <f t="shared" si="0"/>
        <v>338.56668739624723</v>
      </c>
      <c r="S21" s="60">
        <f ca="1">AVERAGE(OFFSET($R$3,0,0,'Données projet'!$E$9+1,1))-AVERAGE(OFFSET($H$3,0,0,'Données projet'!$E$9+1,1))</f>
        <v>428.8489304403459</v>
      </c>
      <c r="T21" s="60">
        <f t="shared" si="34"/>
        <v>247.01165577562966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7.7987854251012134</v>
      </c>
      <c r="AI21" s="14">
        <f>IF('Données projet'!$A$62&gt;35,AI20+AH21-AQ20,IF(A21&lt;'Données projet'!$A$62,$AF$205^A21,IF(A21='Données projet'!$A$62,'Données projet'!$B$62,AI20+AH21-AQ20)))</f>
        <v>113.90137405897467</v>
      </c>
      <c r="AJ21" s="14">
        <f>AI21*VLOOKUP('Données projet'!$B$10,Paramètres!$A$1:$I$89,3,0)*VLOOKUP('Données projet'!$B$10,Paramètres!$A$1:$I$89,5,0)</f>
        <v>63.670868098966835</v>
      </c>
      <c r="AK21" s="14">
        <f t="shared" si="35"/>
        <v>18.093147773646375</v>
      </c>
      <c r="AL21" s="22">
        <f t="shared" si="4"/>
        <v>142.40566097813468</v>
      </c>
      <c r="AM21" s="60">
        <f t="shared" si="5"/>
        <v>421.07232764480136</v>
      </c>
      <c r="AN21" s="60">
        <f ca="1">AVERAGE(OFFSET($AM$3,0,0,'Données projet'!$E$10+1,1))-AVERAGE(OFFSET($H$3,0,0,'Données projet'!$E$10+1,1))</f>
        <v>323.98185264074681</v>
      </c>
      <c r="AO21" s="60">
        <f t="shared" si="36"/>
        <v>301.22207291854005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13.103846153846154</v>
      </c>
      <c r="BD21" s="13">
        <f>IF('Données projet'!$A$88&gt;35,BD20+BC21-BL20,IF(A21&lt;'Données projet'!$A$88,$BA$205^A21,IF(A21='Données projet'!$A$88,'Données projet'!$B$88,BD20+BC21-BL20)))</f>
        <v>75.019230769230774</v>
      </c>
      <c r="BE21" s="14">
        <f>BD21*VLOOKUP('Données projet'!$B$11,Paramètres!$A$1:$I$89,3,0)*VLOOKUP('Données projet'!$B$11,Paramètres!$A$1:$I$89,5,0)</f>
        <v>44.861500000000007</v>
      </c>
      <c r="BF21" s="14">
        <f t="shared" si="37"/>
        <v>13.278461120637754</v>
      </c>
      <c r="BG21" s="22">
        <f t="shared" si="7"/>
        <v>101.26043228511077</v>
      </c>
      <c r="BH21" s="60">
        <f t="shared" si="8"/>
        <v>379.92709895177745</v>
      </c>
      <c r="BI21" s="60">
        <f ca="1">AVERAGE(OFFSET($BH$3,0,0,'Données projet'!$E$11+1,1))-AVERAGE(OFFSET($H$3,0,0,'Données projet'!$E$11+1,1))</f>
        <v>289.12367833861299</v>
      </c>
      <c r="BJ21" s="60">
        <f t="shared" si="38"/>
        <v>229.06617320689003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11.6</v>
      </c>
      <c r="BY21" s="13">
        <f>IF('Données projet'!$A$114&gt;35,BY20+BX21-CG20,IF(A21&lt;'Données projet'!$A$114,$BV$205^A21,IF(A21='Données projet'!$A$114,'Données projet'!$B$114,BY20+BX21-CG20)))</f>
        <v>71.8</v>
      </c>
      <c r="BZ21" s="14">
        <f>BY21*VLOOKUP('Données projet'!$B$12,Paramètres!$A$1:$I$89,3,0)*VLOOKUP('Données projet'!$B$12,Paramètres!$A$1:$I$89,5,0)</f>
        <v>57.124080000000006</v>
      </c>
      <c r="CA21" s="14">
        <f t="shared" si="39"/>
        <v>16.439080665003988</v>
      </c>
      <c r="CB21" s="22">
        <f t="shared" si="10"/>
        <v>128.12250482488196</v>
      </c>
      <c r="CC21" s="60">
        <f t="shared" si="11"/>
        <v>406.78917149154864</v>
      </c>
      <c r="CD21" s="60">
        <f ca="1">AVERAGE(OFFSET($CC$3,0,0,'Données projet'!$E$12+1,1))-AVERAGE(OFFSET($H$3,0,0,'Données projet'!$E$12+1,1))</f>
        <v>312.53381881960331</v>
      </c>
      <c r="CE21" s="60">
        <f t="shared" si="40"/>
        <v>342.06887933351783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29.306389432677911</v>
      </c>
      <c r="CV21" s="14">
        <f t="shared" si="41"/>
        <v>9.1150691477493808</v>
      </c>
      <c r="CW21" s="22">
        <f t="shared" si="13"/>
        <v>66.917373694244205</v>
      </c>
      <c r="CX21" s="60">
        <f t="shared" si="14"/>
        <v>345.58404036091088</v>
      </c>
      <c r="CY21" s="60">
        <f ca="1">AVERAGE(OFFSET($CX$3,0,0,'Données projet'!$E$13+1,1))-AVERAGE(OFFSET($H$3,0,0,'Données projet'!$E$13+1,1))</f>
        <v>475.47920969424894</v>
      </c>
      <c r="CZ21" s="60">
        <f t="shared" si="42"/>
        <v>271.73544012419364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4.9084615384615384</v>
      </c>
      <c r="DO21" s="13">
        <f>IF('Données projet'!$A$166&gt;35,DO20+DN21-DW20,IF(A21&lt;'Données projet'!$A$166,$DL$205^A21,IF(A21='Données projet'!$A$166,'Données projet'!$B$166,DO20+DN21-DW20)))</f>
        <v>19.991251747746755</v>
      </c>
      <c r="DP21" s="18">
        <f>DO21*VLOOKUP('Données projet'!$B$14,Paramètres!$A$1:$I$89,3,0)*VLOOKUP('Données projet'!$B$14,Paramètres!$A$1:$I$89,5,0)</f>
        <v>9.3559058179454802</v>
      </c>
      <c r="DQ21" s="14">
        <f t="shared" si="43"/>
        <v>3.3235599293549551</v>
      </c>
      <c r="DR21" s="22">
        <f t="shared" si="16"/>
        <v>22.083402843214927</v>
      </c>
      <c r="DS21" s="60">
        <f t="shared" si="17"/>
        <v>300.7500695098816</v>
      </c>
      <c r="DT21" s="60">
        <f ca="1">AVERAGE(OFFSET($DS$3,0,0,'Données projet'!$E$14+1,1))-AVERAGE(OFFSET($H$3,0,0,'Données projet'!$E$14+1,1))</f>
        <v>284.71577701131588</v>
      </c>
      <c r="DU21" s="60">
        <f t="shared" si="44"/>
        <v>190.4880882944471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11.6</v>
      </c>
      <c r="EJ21" s="13">
        <f>IF('Données projet'!$A$192&gt;35,EJ20+EI21-ER20,IF(A21&lt;'Données projet'!$A$192,$EG$205^A21,IF(A21='Données projet'!$A$192,'Données projet'!$B$192,EJ20+EI21-ER20)))</f>
        <v>71.8</v>
      </c>
      <c r="EK21" s="18">
        <f>EJ21*VLOOKUP('Données projet'!$B$15,Paramètres!$A$1:$I$89,3,0)*VLOOKUP('Données projet'!$B$15,Paramètres!$A$1:$I$89,5,0)</f>
        <v>52.643759999999993</v>
      </c>
      <c r="EL21" s="14">
        <f t="shared" si="45"/>
        <v>15.294461344625528</v>
      </c>
      <c r="EM21" s="22">
        <f t="shared" si="19"/>
        <v>118.32573550855612</v>
      </c>
      <c r="EN21" s="60">
        <f t="shared" si="20"/>
        <v>396.99240217522282</v>
      </c>
      <c r="EO21" s="60">
        <f ca="1">AVERAGE(OFFSET($EN$3,0,0,'Données projet'!$E$15+1,1))-AVERAGE(OFFSET($H$3,0,0,'Données projet'!$E$15+1,1))</f>
        <v>290.85271051443431</v>
      </c>
      <c r="EP21" s="60">
        <f t="shared" si="46"/>
        <v>318.66958823451142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0">
        <f t="shared" si="0"/>
        <v>351.72520722798015</v>
      </c>
      <c r="S22" s="60">
        <f ca="1">AVERAGE(OFFSET($R$3,0,0,'Données projet'!$E$9+1,1))-AVERAGE(OFFSET($H$3,0,0,'Données projet'!$E$9+1,1))</f>
        <v>428.8489304403459</v>
      </c>
      <c r="T22" s="60">
        <f t="shared" si="34"/>
        <v>247.01165577562966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148.17692307692306</v>
      </c>
      <c r="AG22" s="13">
        <f>VLOOKUP(A22,'Données projet'!$A$61:$I$81,9,0)</f>
        <v>7.7987854251012134</v>
      </c>
      <c r="AH22" s="13">
        <f t="array" ref="AH22">INDEX(AG:AG,MIN(IF(ISNUMBER(AG22:AG218),ROW(AG22:AG218),"")))</f>
        <v>7.7987854251012134</v>
      </c>
      <c r="AI22" s="14">
        <f>IF('Données projet'!$A$62&gt;35,AI21+AH22-AQ21,IF(A22&lt;'Données projet'!$A$62,$AF$205^A22,IF(A22='Données projet'!$A$62,'Données projet'!$B$62,AI21+AH22-AQ21)))</f>
        <v>148.17692307692306</v>
      </c>
      <c r="AJ22" s="14">
        <f>AI22*VLOOKUP('Données projet'!$B$10,Paramètres!$A$1:$I$89,3,0)*VLOOKUP('Données projet'!$B$10,Paramètres!$A$1:$I$89,5,0)</f>
        <v>82.830899999999986</v>
      </c>
      <c r="AK22" s="14">
        <f t="shared" si="35"/>
        <v>22.827946813839315</v>
      </c>
      <c r="AL22" s="22">
        <f t="shared" si="4"/>
        <v>184.02249153410344</v>
      </c>
      <c r="AM22" s="60">
        <f t="shared" si="5"/>
        <v>463.91138042299229</v>
      </c>
      <c r="AN22" s="60">
        <f ca="1">AVERAGE(OFFSET($AM$3,0,0,'Données projet'!$E$10+1,1))-AVERAGE(OFFSET($H$3,0,0,'Données projet'!$E$10+1,1))</f>
        <v>323.98185264074681</v>
      </c>
      <c r="AO22" s="60">
        <f t="shared" si="36"/>
        <v>301.22207291854005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13.103846153846154</v>
      </c>
      <c r="BD22" s="13">
        <f>IF('Données projet'!$A$88&gt;35,BD21+BC22-BL21,IF(A22&lt;'Données projet'!$A$88,$BA$205^A22,IF(A22='Données projet'!$A$88,'Données projet'!$B$88,BD21+BC22-BL21)))</f>
        <v>88.123076923076923</v>
      </c>
      <c r="BE22" s="14">
        <f>BD22*VLOOKUP('Données projet'!$B$11,Paramètres!$A$1:$I$89,3,0)*VLOOKUP('Données projet'!$B$11,Paramètres!$A$1:$I$89,5,0)</f>
        <v>52.697600000000008</v>
      </c>
      <c r="BF22" s="14">
        <f t="shared" si="37"/>
        <v>15.30828179522207</v>
      </c>
      <c r="BG22" s="22">
        <f t="shared" si="7"/>
        <v>118.4435774600118</v>
      </c>
      <c r="BH22" s="60">
        <f t="shared" si="8"/>
        <v>398.33246634890065</v>
      </c>
      <c r="BI22" s="60">
        <f ca="1">AVERAGE(OFFSET($BH$3,0,0,'Données projet'!$E$11+1,1))-AVERAGE(OFFSET($H$3,0,0,'Données projet'!$E$11+1,1))</f>
        <v>289.12367833861299</v>
      </c>
      <c r="BJ22" s="60">
        <f t="shared" si="38"/>
        <v>229.06617320689003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11.6</v>
      </c>
      <c r="BY22" s="13">
        <f>IF('Données projet'!$A$114&gt;35,BY21+BX22-CG21,IF(A22&lt;'Données projet'!$A$114,$BV$205^A22,IF(A22='Données projet'!$A$114,'Données projet'!$B$114,BY21+BX22-CG21)))</f>
        <v>83.399999999999991</v>
      </c>
      <c r="BZ22" s="14">
        <f>BY22*VLOOKUP('Données projet'!$B$12,Paramètres!$A$1:$I$89,3,0)*VLOOKUP('Données projet'!$B$12,Paramètres!$A$1:$I$89,5,0)</f>
        <v>66.353040000000007</v>
      </c>
      <c r="CA22" s="14">
        <f t="shared" si="39"/>
        <v>18.76498795231873</v>
      </c>
      <c r="CB22" s="22">
        <f t="shared" si="10"/>
        <v>148.24723201695511</v>
      </c>
      <c r="CC22" s="60">
        <f t="shared" si="11"/>
        <v>428.136120905844</v>
      </c>
      <c r="CD22" s="60">
        <f ca="1">AVERAGE(OFFSET($CC$3,0,0,'Données projet'!$E$12+1,1))-AVERAGE(OFFSET($H$3,0,0,'Données projet'!$E$12+1,1))</f>
        <v>312.53381881960331</v>
      </c>
      <c r="CE22" s="60">
        <f t="shared" si="40"/>
        <v>342.06887933351783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35.328466045936516</v>
      </c>
      <c r="CV22" s="14">
        <f t="shared" si="41"/>
        <v>10.751650073316766</v>
      </c>
      <c r="CW22" s="22">
        <f t="shared" si="13"/>
        <v>80.256202241032796</v>
      </c>
      <c r="CX22" s="60">
        <f t="shared" si="14"/>
        <v>360.14509112992164</v>
      </c>
      <c r="CY22" s="60">
        <f ca="1">AVERAGE(OFFSET($CX$3,0,0,'Données projet'!$E$13+1,1))-AVERAGE(OFFSET($H$3,0,0,'Données projet'!$E$13+1,1))</f>
        <v>475.47920969424894</v>
      </c>
      <c r="CZ22" s="60">
        <f t="shared" si="42"/>
        <v>271.73544012419364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4.9084615384615384</v>
      </c>
      <c r="DO22" s="13">
        <f>IF('Données projet'!$A$166&gt;35,DO21+DN22-DW21,IF(A22&lt;'Données projet'!$A$166,$DL$205^A22,IF(A22='Données projet'!$A$166,'Données projet'!$B$166,DO21+DN22-DW21)))</f>
        <v>23.610700728923604</v>
      </c>
      <c r="DP22" s="18">
        <f>DO22*VLOOKUP('Données projet'!$B$14,Paramètres!$A$1:$I$89,3,0)*VLOOKUP('Données projet'!$B$14,Paramètres!$A$1:$I$89,5,0)</f>
        <v>11.049807941136248</v>
      </c>
      <c r="DQ22" s="14">
        <f t="shared" si="43"/>
        <v>3.8499962268435248</v>
      </c>
      <c r="DR22" s="22">
        <f t="shared" si="16"/>
        <v>25.950492259231435</v>
      </c>
      <c r="DS22" s="60">
        <f t="shared" si="17"/>
        <v>305.83938114812031</v>
      </c>
      <c r="DT22" s="60">
        <f ca="1">AVERAGE(OFFSET($DS$3,0,0,'Données projet'!$E$14+1,1))-AVERAGE(OFFSET($H$3,0,0,'Données projet'!$E$14+1,1))</f>
        <v>284.71577701131588</v>
      </c>
      <c r="DU22" s="60">
        <f t="shared" si="44"/>
        <v>190.4880882944471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11.6</v>
      </c>
      <c r="EJ22" s="13">
        <f>IF('Données projet'!$A$192&gt;35,EJ21+EI22-ER21,IF(A22&lt;'Données projet'!$A$192,$EG$205^A22,IF(A22='Données projet'!$A$192,'Données projet'!$B$192,EJ21+EI22-ER21)))</f>
        <v>83.399999999999991</v>
      </c>
      <c r="EK22" s="18">
        <f>EJ22*VLOOKUP('Données projet'!$B$15,Paramètres!$A$1:$I$89,3,0)*VLOOKUP('Données projet'!$B$15,Paramètres!$A$1:$I$89,5,0)</f>
        <v>61.148879999999991</v>
      </c>
      <c r="EL22" s="14">
        <f t="shared" si="45"/>
        <v>17.458420499151</v>
      </c>
      <c r="EM22" s="22">
        <f t="shared" si="19"/>
        <v>136.9077150360213</v>
      </c>
      <c r="EN22" s="60">
        <f t="shared" si="20"/>
        <v>416.79660392491019</v>
      </c>
      <c r="EO22" s="60">
        <f ca="1">AVERAGE(OFFSET($EN$3,0,0,'Données projet'!$E$15+1,1))-AVERAGE(OFFSET($H$3,0,0,'Données projet'!$E$15+1,1))</f>
        <v>290.85271051443431</v>
      </c>
      <c r="EP22" s="60">
        <f t="shared" si="46"/>
        <v>318.66958823451142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0">
        <f t="shared" si="0"/>
        <v>367.26962158162712</v>
      </c>
      <c r="S23" s="60">
        <f ca="1">AVERAGE(OFFSET($R$3,0,0,'Données projet'!$E$9+1,1))-AVERAGE(OFFSET($H$3,0,0,'Données projet'!$E$9+1,1))</f>
        <v>428.8489304403459</v>
      </c>
      <c r="T23" s="60">
        <f t="shared" si="34"/>
        <v>247.01165577562966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15.942307692307708</v>
      </c>
      <c r="AI23" s="14">
        <f>IF('Données projet'!$A$62&gt;35,AI22+AH23-AQ22,IF(A23&lt;'Données projet'!$A$62,$AF$205^A23,IF(A23='Données projet'!$A$62,'Données projet'!$B$62,AI22+AH23-AQ22)))</f>
        <v>164.11923076923077</v>
      </c>
      <c r="AJ23" s="14">
        <f>AI23*VLOOKUP('Données projet'!$B$10,Paramètres!$A$1:$I$89,3,0)*VLOOKUP('Données projet'!$B$10,Paramètres!$A$1:$I$89,5,0)</f>
        <v>91.742650000000012</v>
      </c>
      <c r="AK23" s="14">
        <f t="shared" si="35"/>
        <v>24.985039964008102</v>
      </c>
      <c r="AL23" s="22">
        <f t="shared" si="4"/>
        <v>203.3007266873141</v>
      </c>
      <c r="AM23" s="60">
        <f t="shared" si="5"/>
        <v>484.41183779842527</v>
      </c>
      <c r="AN23" s="60">
        <f ca="1">AVERAGE(OFFSET($AM$3,0,0,'Données projet'!$E$10+1,1))-AVERAGE(OFFSET($H$3,0,0,'Données projet'!$E$10+1,1))</f>
        <v>323.98185264074681</v>
      </c>
      <c r="AO23" s="60">
        <f t="shared" si="36"/>
        <v>301.22207291854005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13.103846153846154</v>
      </c>
      <c r="BD23" s="13">
        <f>IF('Données projet'!$A$88&gt;35,BD22+BC23-BL22,IF(A23&lt;'Données projet'!$A$88,$BA$205^A23,IF(A23='Données projet'!$A$88,'Données projet'!$B$88,BD22+BC23-BL22)))</f>
        <v>101.22692307692307</v>
      </c>
      <c r="BE23" s="14">
        <f>BD23*VLOOKUP('Données projet'!$B$11,Paramètres!$A$1:$I$89,3,0)*VLOOKUP('Données projet'!$B$11,Paramètres!$A$1:$I$89,5,0)</f>
        <v>60.533700000000003</v>
      </c>
      <c r="BF23" s="14">
        <f t="shared" si="37"/>
        <v>17.303135492539088</v>
      </c>
      <c r="BG23" s="22">
        <f t="shared" si="7"/>
        <v>135.56582181617225</v>
      </c>
      <c r="BH23" s="60">
        <f t="shared" si="8"/>
        <v>416.67693292728336</v>
      </c>
      <c r="BI23" s="60">
        <f ca="1">AVERAGE(OFFSET($BH$3,0,0,'Données projet'!$E$11+1,1))-AVERAGE(OFFSET($H$3,0,0,'Données projet'!$E$11+1,1))</f>
        <v>289.12367833861299</v>
      </c>
      <c r="BJ23" s="60">
        <f t="shared" si="38"/>
        <v>229.06617320689003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95</v>
      </c>
      <c r="BW23" s="13">
        <f>VLOOKUP(A23,'Données projet'!$A$113:$I$133,9,0)</f>
        <v>11.6</v>
      </c>
      <c r="BX23" s="13">
        <f t="array" ref="BX23">INDEX(BW:BW,MIN(IF(ISNUMBER(BW23:BW219),ROW(BW23:BW219),"")))</f>
        <v>11.6</v>
      </c>
      <c r="BY23" s="13">
        <f>IF('Données projet'!$A$114&gt;35,BY22+BX23-CG22,IF(A23&lt;'Données projet'!$A$114,$BV$205^A23,IF(A23='Données projet'!$A$114,'Données projet'!$B$114,BY22+BX23-CG22)))</f>
        <v>94.999999999999986</v>
      </c>
      <c r="BZ23" s="14">
        <f>BY23*VLOOKUP('Données projet'!$B$12,Paramètres!$A$1:$I$89,3,0)*VLOOKUP('Données projet'!$B$12,Paramètres!$A$1:$I$89,5,0)</f>
        <v>75.581999999999994</v>
      </c>
      <c r="CA23" s="14">
        <f t="shared" si="39"/>
        <v>21.053414706764119</v>
      </c>
      <c r="CB23" s="22">
        <f t="shared" si="10"/>
        <v>168.30668061428082</v>
      </c>
      <c r="CC23" s="60">
        <f t="shared" si="11"/>
        <v>449.41779172539196</v>
      </c>
      <c r="CD23" s="60">
        <f ca="1">AVERAGE(OFFSET($CC$3,0,0,'Données projet'!$E$12+1,1))-AVERAGE(OFFSET($H$3,0,0,'Données projet'!$E$12+1,1))</f>
        <v>312.53381881960331</v>
      </c>
      <c r="CE23" s="60">
        <f t="shared" si="40"/>
        <v>342.06887933351783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42.588000000000001</v>
      </c>
      <c r="CV23" s="14">
        <f t="shared" si="41"/>
        <v>12.682073764365764</v>
      </c>
      <c r="CW23" s="22">
        <f t="shared" si="13"/>
        <v>96.262045139603686</v>
      </c>
      <c r="CX23" s="60">
        <f t="shared" si="14"/>
        <v>377.37315625071483</v>
      </c>
      <c r="CY23" s="60">
        <f ca="1">AVERAGE(OFFSET($CX$3,0,0,'Données projet'!$E$13+1,1))-AVERAGE(OFFSET($H$3,0,0,'Données projet'!$E$13+1,1))</f>
        <v>475.47920969424894</v>
      </c>
      <c r="CZ23" s="60">
        <f t="shared" si="42"/>
        <v>271.73544012419364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4.9084615384615384</v>
      </c>
      <c r="DO23" s="13">
        <f>IF('Données projet'!$A$166&gt;35,DO22+DN23-DW22,IF(A23&lt;'Données projet'!$A$166,$DL$205^A23,IF(A23='Données projet'!$A$166,'Données projet'!$B$166,DO22+DN23-DW22)))</f>
        <v>27.885456896095882</v>
      </c>
      <c r="DP23" s="18">
        <f>DO23*VLOOKUP('Données projet'!$B$14,Paramètres!$A$1:$I$89,3,0)*VLOOKUP('Données projet'!$B$14,Paramètres!$A$1:$I$89,5,0)</f>
        <v>13.050393827372874</v>
      </c>
      <c r="DQ23" s="14">
        <f t="shared" si="43"/>
        <v>4.459817563628576</v>
      </c>
      <c r="DR23" s="22">
        <f t="shared" si="16"/>
        <v>30.49695150599419</v>
      </c>
      <c r="DS23" s="60">
        <f t="shared" si="17"/>
        <v>311.60806261710536</v>
      </c>
      <c r="DT23" s="60">
        <f ca="1">AVERAGE(OFFSET($DS$3,0,0,'Données projet'!$E$14+1,1))-AVERAGE(OFFSET($H$3,0,0,'Données projet'!$E$14+1,1))</f>
        <v>284.71577701131588</v>
      </c>
      <c r="DU23" s="60">
        <f t="shared" si="44"/>
        <v>190.4880882944471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95</v>
      </c>
      <c r="EH23" s="13">
        <f>VLOOKUP(A23,'Données projet'!$A$191:$I$211,9,0)</f>
        <v>11.6</v>
      </c>
      <c r="EI23" s="13">
        <f t="array" ref="EI23">INDEX(EH:EH,MIN(IF(ISNUMBER(EH23:EH219),ROW(EH23:EH219),"")))</f>
        <v>11.6</v>
      </c>
      <c r="EJ23" s="13">
        <f>IF('Données projet'!$A$192&gt;35,EJ22+EI23-ER22,IF(A23&lt;'Données projet'!$A$192,$EG$205^A23,IF(A23='Données projet'!$A$192,'Données projet'!$B$192,EJ22+EI23-ER22)))</f>
        <v>94.999999999999986</v>
      </c>
      <c r="EK23" s="18">
        <f>EJ23*VLOOKUP('Données projet'!$B$15,Paramètres!$A$1:$I$89,3,0)*VLOOKUP('Données projet'!$B$15,Paramètres!$A$1:$I$89,5,0)</f>
        <v>69.653999999999982</v>
      </c>
      <c r="EL23" s="14">
        <f t="shared" si="45"/>
        <v>19.587508813096782</v>
      </c>
      <c r="EM23" s="22">
        <f t="shared" si="19"/>
        <v>155.42896118281021</v>
      </c>
      <c r="EN23" s="60">
        <f t="shared" si="20"/>
        <v>436.54007229392136</v>
      </c>
      <c r="EO23" s="60">
        <f ca="1">AVERAGE(OFFSET($EN$3,0,0,'Données projet'!$E$15+1,1))-AVERAGE(OFFSET($H$3,0,0,'Données projet'!$E$15+1,1))</f>
        <v>290.85271051443431</v>
      </c>
      <c r="EP23" s="60">
        <f t="shared" si="46"/>
        <v>318.66958823451142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43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0">
        <f t="shared" si="0"/>
        <v>379.65226125630295</v>
      </c>
      <c r="S24" s="60">
        <f ca="1">AVERAGE(OFFSET($R$3,0,0,'Données projet'!$E$9+1,1))-AVERAGE(OFFSET($H$3,0,0,'Données projet'!$E$9+1,1))</f>
        <v>428.8489304403459</v>
      </c>
      <c r="T24" s="60">
        <f t="shared" si="34"/>
        <v>247.01165577562966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180.06153846153848</v>
      </c>
      <c r="AG24" s="13">
        <f>VLOOKUP(A24,'Données projet'!$A$61:$I$81,9,0)</f>
        <v>15.942307692307708</v>
      </c>
      <c r="AH24" s="13">
        <f t="array" ref="AH24">INDEX(AG:AG,MIN(IF(ISNUMBER(AG24:AG220),ROW(AG24:AG220),"")))</f>
        <v>15.942307692307708</v>
      </c>
      <c r="AI24" s="14">
        <f>IF('Données projet'!$A$62&gt;35,AI23+AH24-AQ23,IF(A24&lt;'Données projet'!$A$62,$AF$205^A24,IF(A24='Données projet'!$A$62,'Données projet'!$B$62,AI23+AH24-AQ23)))</f>
        <v>180.06153846153848</v>
      </c>
      <c r="AJ24" s="14">
        <f>AI24*VLOOKUP('Données projet'!$B$10,Paramètres!$A$1:$I$89,3,0)*VLOOKUP('Données projet'!$B$10,Paramètres!$A$1:$I$89,5,0)</f>
        <v>100.65440000000001</v>
      </c>
      <c r="AK24" s="14">
        <f t="shared" si="35"/>
        <v>27.117840091618859</v>
      </c>
      <c r="AL24" s="22">
        <f t="shared" si="4"/>
        <v>222.53665149290285</v>
      </c>
      <c r="AM24" s="60">
        <f t="shared" si="5"/>
        <v>504.86998482623619</v>
      </c>
      <c r="AN24" s="60">
        <f ca="1">AVERAGE(OFFSET($AM$3,0,0,'Données projet'!$E$10+1,1))-AVERAGE(OFFSET($H$3,0,0,'Données projet'!$E$10+1,1))</f>
        <v>323.98185264074681</v>
      </c>
      <c r="AO24" s="60">
        <f t="shared" si="36"/>
        <v>301.22207291854005</v>
      </c>
      <c r="AP24" s="16">
        <f>IF(ISNA(VLOOKUP(A24,'Données projet'!$A$61:$I$81,3,0)),0,VLOOKUP(A24,'Données projet'!$A$61:$I$81,3,0))</f>
        <v>1</v>
      </c>
      <c r="AQ24" s="16">
        <f>IF(ISNA(VLOOKUP(A24,'Données projet'!$A$61:$I$81,4,0)),0,VLOOKUP(A24,'Données projet'!$A$61:$I$81,4,0))</f>
        <v>61.169230769230765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0.11000000000000001</v>
      </c>
      <c r="AT24" s="17">
        <f>IF(ISNA(VLOOKUP(A24,'Données projet'!$A$61:$I$81,7,0)),0%,VLOOKUP(A24,'Données projet'!$A$61:$I$81,7,0))</f>
        <v>0.4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4.9699556173792603</v>
      </c>
      <c r="AW24" s="23">
        <f>EXP(-LN(2)/2)*AW23+(1-EXP(-LN(2)/2))/(LN(2)/2)*AQ24*AT24*VLOOKUP('Données projet'!$B$10,Paramètres!$A$1:$I$89,3,0)*0.475*44/12</f>
        <v>15.486039315480385</v>
      </c>
      <c r="AX24" s="23">
        <f t="shared" si="6"/>
        <v>20.455994932859646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114.33076923076922</v>
      </c>
      <c r="BB24" s="13">
        <f>VLOOKUP(A24,'Données projet'!$A$87:$I$107,9,0)</f>
        <v>13.103846153846154</v>
      </c>
      <c r="BC24" s="13">
        <f t="array" ref="BC24">INDEX(BB:BB,MIN(IF(ISNUMBER(BB24:BB220),ROW(BB24:BB220),"")))</f>
        <v>13.103846153846154</v>
      </c>
      <c r="BD24" s="13">
        <f>IF('Données projet'!$A$88&gt;35,BD23+BC24-BL23,IF(A24&lt;'Données projet'!$A$88,$BA$205^A24,IF(A24='Données projet'!$A$88,'Données projet'!$B$88,BD23+BC24-BL23)))</f>
        <v>114.33076923076922</v>
      </c>
      <c r="BE24" s="14">
        <f>BD24*VLOOKUP('Données projet'!$B$11,Paramètres!$A$1:$I$89,3,0)*VLOOKUP('Données projet'!$B$11,Paramètres!$A$1:$I$89,5,0)</f>
        <v>68.369799999999998</v>
      </c>
      <c r="BF24" s="14">
        <f t="shared" si="37"/>
        <v>19.268067928266802</v>
      </c>
      <c r="BG24" s="22">
        <f t="shared" si="7"/>
        <v>152.635953308398</v>
      </c>
      <c r="BH24" s="60">
        <f t="shared" si="8"/>
        <v>434.96928664173129</v>
      </c>
      <c r="BI24" s="60">
        <f ca="1">AVERAGE(OFFSET($BH$3,0,0,'Données projet'!$E$11+1,1))-AVERAGE(OFFSET($H$3,0,0,'Données projet'!$E$11+1,1))</f>
        <v>289.12367833861299</v>
      </c>
      <c r="BJ24" s="60">
        <f t="shared" si="38"/>
        <v>229.06617320689003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12.6</v>
      </c>
      <c r="BY24" s="13">
        <f>IF('Données projet'!$A$114&gt;35,BY23+BX24-CG23,IF(A24&lt;'Données projet'!$A$114,$BV$205^A24,IF(A24='Données projet'!$A$114,'Données projet'!$B$114,BY23+BX24-CG23)))</f>
        <v>64.59999999999998</v>
      </c>
      <c r="BZ24" s="14">
        <f>BY24*VLOOKUP('Données projet'!$B$12,Paramètres!$A$1:$I$89,3,0)*VLOOKUP('Données projet'!$B$12,Paramètres!$A$1:$I$89,5,0)</f>
        <v>51.395759999999989</v>
      </c>
      <c r="CA24" s="14">
        <f t="shared" si="39"/>
        <v>14.973641136922506</v>
      </c>
      <c r="CB24" s="22">
        <f t="shared" si="10"/>
        <v>115.59337364680665</v>
      </c>
      <c r="CC24" s="60">
        <f t="shared" si="11"/>
        <v>397.92670698013995</v>
      </c>
      <c r="CD24" s="60">
        <f ca="1">AVERAGE(OFFSET($CC$3,0,0,'Données projet'!$E$12+1,1))-AVERAGE(OFFSET($H$3,0,0,'Données projet'!$E$12+1,1))</f>
        <v>312.53381881960331</v>
      </c>
      <c r="CE24" s="60">
        <f t="shared" si="40"/>
        <v>342.06887933351783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48.266400000000004</v>
      </c>
      <c r="CV24" s="14">
        <f t="shared" si="41"/>
        <v>14.165134590154434</v>
      </c>
      <c r="CW24" s="22">
        <f t="shared" si="13"/>
        <v>108.73492274451898</v>
      </c>
      <c r="CX24" s="60">
        <f t="shared" si="14"/>
        <v>391.06825607785231</v>
      </c>
      <c r="CY24" s="60">
        <f ca="1">AVERAGE(OFFSET($CX$3,0,0,'Données projet'!$E$13+1,1))-AVERAGE(OFFSET($H$3,0,0,'Données projet'!$E$13+1,1))</f>
        <v>475.47920969424894</v>
      </c>
      <c r="CZ24" s="60">
        <f t="shared" si="42"/>
        <v>271.73544012419364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4.9084615384615384</v>
      </c>
      <c r="DO24" s="13">
        <f>IF('Données projet'!$A$166&gt;35,DO23+DN24-DW23,IF(A24&lt;'Données projet'!$A$166,$DL$205^A24,IF(A24='Données projet'!$A$166,'Données projet'!$B$166,DO23+DN24-DW23)))</f>
        <v>32.934164692174789</v>
      </c>
      <c r="DP24" s="18">
        <f>DO24*VLOOKUP('Données projet'!$B$14,Paramètres!$A$1:$I$89,3,0)*VLOOKUP('Données projet'!$B$14,Paramètres!$A$1:$I$89,5,0)</f>
        <v>15.413189075937803</v>
      </c>
      <c r="DQ24" s="14">
        <f t="shared" si="43"/>
        <v>5.166231738662507</v>
      </c>
      <c r="DR24" s="22">
        <f t="shared" si="16"/>
        <v>35.842491252095542</v>
      </c>
      <c r="DS24" s="60">
        <f t="shared" si="17"/>
        <v>318.17582458542887</v>
      </c>
      <c r="DT24" s="60">
        <f ca="1">AVERAGE(OFFSET($DS$3,0,0,'Données projet'!$E$14+1,1))-AVERAGE(OFFSET($H$3,0,0,'Données projet'!$E$14+1,1))</f>
        <v>284.71577701131588</v>
      </c>
      <c r="DU24" s="60">
        <f t="shared" si="44"/>
        <v>190.4880882944471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12.6</v>
      </c>
      <c r="EJ24" s="13">
        <f>IF('Données projet'!$A$192&gt;35,EJ23+EI24-ER23,IF(A24&lt;'Données projet'!$A$192,$EG$205^A24,IF(A24='Données projet'!$A$192,'Données projet'!$B$192,EJ23+EI24-ER23)))</f>
        <v>64.59999999999998</v>
      </c>
      <c r="EK24" s="18">
        <f>EJ24*VLOOKUP('Données projet'!$B$15,Paramètres!$A$1:$I$89,3,0)*VLOOKUP('Données projet'!$B$15,Paramètres!$A$1:$I$89,5,0)</f>
        <v>47.364719999999984</v>
      </c>
      <c r="EL24" s="14">
        <f t="shared" si="45"/>
        <v>13.931057351916726</v>
      </c>
      <c r="EM24" s="22">
        <f t="shared" si="19"/>
        <v>106.75681222125495</v>
      </c>
      <c r="EN24" s="60">
        <f t="shared" si="20"/>
        <v>389.09014555458828</v>
      </c>
      <c r="EO24" s="60">
        <f ca="1">AVERAGE(OFFSET($EN$3,0,0,'Données projet'!$E$15+1,1))-AVERAGE(OFFSET($H$3,0,0,'Données projet'!$E$15+1,1))</f>
        <v>290.85271051443431</v>
      </c>
      <c r="EP24" s="60">
        <f t="shared" si="46"/>
        <v>318.66958823451142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0">
        <f t="shared" si="0"/>
        <v>392.00305746847613</v>
      </c>
      <c r="S25" s="60">
        <f ca="1">AVERAGE(OFFSET($R$3,0,0,'Données projet'!$E$9+1,1))-AVERAGE(OFFSET($H$3,0,0,'Données projet'!$E$9+1,1))</f>
        <v>428.8489304403459</v>
      </c>
      <c r="T25" s="60">
        <f t="shared" si="34"/>
        <v>247.01165577562966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16.687912087912085</v>
      </c>
      <c r="AI25" s="14">
        <f>IF('Données projet'!$A$62&gt;35,AI24+AH25-AQ24,IF(A25&lt;'Données projet'!$A$62,$AF$205^A25,IF(A25='Données projet'!$A$62,'Données projet'!$B$62,AI24+AH25-AQ24)))</f>
        <v>135.58021978021981</v>
      </c>
      <c r="AJ25" s="14">
        <f>AI25*VLOOKUP('Données projet'!$B$10,Paramètres!$A$1:$I$89,3,0)*VLOOKUP('Données projet'!$B$10,Paramètres!$A$1:$I$89,5,0)</f>
        <v>75.78934285714287</v>
      </c>
      <c r="AK25" s="14">
        <f t="shared" si="35"/>
        <v>21.104439314832948</v>
      </c>
      <c r="AL25" s="22">
        <f t="shared" si="4"/>
        <v>168.7566706161912</v>
      </c>
      <c r="AM25" s="60">
        <f t="shared" si="5"/>
        <v>452.31222617174672</v>
      </c>
      <c r="AN25" s="60">
        <f ca="1">AVERAGE(OFFSET($AM$3,0,0,'Données projet'!$E$10+1,1))-AVERAGE(OFFSET($H$3,0,0,'Données projet'!$E$10+1,1))</f>
        <v>323.98185264074681</v>
      </c>
      <c r="AO25" s="60">
        <f t="shared" si="36"/>
        <v>301.22207291854005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4.8340519196634171</v>
      </c>
      <c r="AW25" s="23">
        <f>EXP(-LN(2)/2)*AW24+(1-EXP(-LN(2)/2))/(LN(2)/2)*AQ25*AT25*VLOOKUP('Données projet'!$B$10,Paramètres!$A$1:$I$89,3,0)*0.475*44/12</f>
        <v>10.950283413697662</v>
      </c>
      <c r="AX25" s="23">
        <f t="shared" si="6"/>
        <v>15.784335333361078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129.98461538461538</v>
      </c>
      <c r="BB25" s="13">
        <f>VLOOKUP(A25,'Données projet'!$A$87:$I$107,9,0)</f>
        <v>15.65384615384616</v>
      </c>
      <c r="BC25" s="13">
        <f t="array" ref="BC25">INDEX(BB:BB,MIN(IF(ISNUMBER(BB25:BB221),ROW(BB25:BB221),"")))</f>
        <v>15.65384615384616</v>
      </c>
      <c r="BD25" s="13">
        <f>IF('Données projet'!$A$88&gt;35,BD24+BC25-BL24,IF(A25&lt;'Données projet'!$A$88,$BA$205^A25,IF(A25='Données projet'!$A$88,'Données projet'!$B$88,BD24+BC25-BL24)))</f>
        <v>129.98461538461538</v>
      </c>
      <c r="BE25" s="14">
        <f>BD25*VLOOKUP('Données projet'!$B$11,Paramètres!$A$1:$I$89,3,0)*VLOOKUP('Données projet'!$B$11,Paramètres!$A$1:$I$89,5,0)</f>
        <v>77.730800000000002</v>
      </c>
      <c r="BF25" s="14">
        <f t="shared" si="37"/>
        <v>21.581427176601697</v>
      </c>
      <c r="BG25" s="22">
        <f t="shared" si="7"/>
        <v>172.96879566591463</v>
      </c>
      <c r="BH25" s="60">
        <f t="shared" si="8"/>
        <v>456.52435122147017</v>
      </c>
      <c r="BI25" s="60">
        <f ca="1">AVERAGE(OFFSET($BH$3,0,0,'Données projet'!$E$11+1,1))-AVERAGE(OFFSET($H$3,0,0,'Données projet'!$E$11+1,1))</f>
        <v>289.12367833861299</v>
      </c>
      <c r="BJ25" s="60">
        <f t="shared" si="38"/>
        <v>229.06617320689003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52.746153846153838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12.6</v>
      </c>
      <c r="BY25" s="13">
        <f>IF('Données projet'!$A$114&gt;35,BY24+BX25-CG24,IF(A25&lt;'Données projet'!$A$114,$BV$205^A25,IF(A25='Données projet'!$A$114,'Données projet'!$B$114,BY24+BX25-CG24)))</f>
        <v>77.199999999999974</v>
      </c>
      <c r="BZ25" s="14">
        <f>BY25*VLOOKUP('Données projet'!$B$12,Paramètres!$A$1:$I$89,3,0)*VLOOKUP('Données projet'!$B$12,Paramètres!$A$1:$I$89,5,0)</f>
        <v>61.420319999999982</v>
      </c>
      <c r="CA25" s="14">
        <f t="shared" si="39"/>
        <v>17.526880037631354</v>
      </c>
      <c r="CB25" s="22">
        <f t="shared" si="10"/>
        <v>137.4997067322079</v>
      </c>
      <c r="CC25" s="60">
        <f t="shared" si="11"/>
        <v>421.05526228776341</v>
      </c>
      <c r="CD25" s="60">
        <f ca="1">AVERAGE(OFFSET($CC$3,0,0,'Données projet'!$E$12+1,1))-AVERAGE(OFFSET($H$3,0,0,'Données projet'!$E$12+1,1))</f>
        <v>312.53381881960331</v>
      </c>
      <c r="CE25" s="60">
        <f t="shared" si="40"/>
        <v>342.06887933351783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53.944800000000008</v>
      </c>
      <c r="CV25" s="14">
        <f t="shared" si="41"/>
        <v>15.627975445731321</v>
      </c>
      <c r="CW25" s="22">
        <f t="shared" si="13"/>
        <v>121.17258390131538</v>
      </c>
      <c r="CX25" s="60">
        <f t="shared" si="14"/>
        <v>404.72813945687091</v>
      </c>
      <c r="CY25" s="60">
        <f ca="1">AVERAGE(OFFSET($CX$3,0,0,'Données projet'!$E$13+1,1))-AVERAGE(OFFSET($H$3,0,0,'Données projet'!$E$13+1,1))</f>
        <v>475.47920969424894</v>
      </c>
      <c r="CZ25" s="60">
        <f t="shared" si="42"/>
        <v>271.73544012419364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4.9084615384615384</v>
      </c>
      <c r="DO25" s="13">
        <f>IF('Données projet'!$A$166&gt;35,DO24+DN25-DW24,IF(A25&lt;'Données projet'!$A$166,$DL$205^A25,IF(A25='Données projet'!$A$166,'Données projet'!$B$166,DO24+DN25-DW24)))</f>
        <v>38.896949331432715</v>
      </c>
      <c r="DP25" s="18">
        <f>DO25*VLOOKUP('Données projet'!$B$14,Paramètres!$A$1:$I$89,3,0)*VLOOKUP('Données projet'!$B$14,Paramètres!$A$1:$I$89,5,0)</f>
        <v>18.20377228711051</v>
      </c>
      <c r="DQ25" s="14">
        <f t="shared" si="43"/>
        <v>5.9845386042761088</v>
      </c>
      <c r="DR25" s="22">
        <f t="shared" si="16"/>
        <v>42.127974802498365</v>
      </c>
      <c r="DS25" s="60">
        <f t="shared" si="17"/>
        <v>325.68353035805393</v>
      </c>
      <c r="DT25" s="60">
        <f ca="1">AVERAGE(OFFSET($DS$3,0,0,'Données projet'!$E$14+1,1))-AVERAGE(OFFSET($H$3,0,0,'Données projet'!$E$14+1,1))</f>
        <v>284.71577701131588</v>
      </c>
      <c r="DU25" s="60">
        <f t="shared" si="44"/>
        <v>190.4880882944471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12.6</v>
      </c>
      <c r="EJ25" s="13">
        <f>IF('Données projet'!$A$192&gt;35,EJ24+EI25-ER24,IF(A25&lt;'Données projet'!$A$192,$EG$205^A25,IF(A25='Données projet'!$A$192,'Données projet'!$B$192,EJ24+EI25-ER24)))</f>
        <v>77.199999999999974</v>
      </c>
      <c r="EK25" s="18">
        <f>EJ25*VLOOKUP('Données projet'!$B$15,Paramètres!$A$1:$I$89,3,0)*VLOOKUP('Données projet'!$B$15,Paramètres!$A$1:$I$89,5,0)</f>
        <v>56.603039999999979</v>
      </c>
      <c r="EL25" s="14">
        <f t="shared" si="45"/>
        <v>16.306519487923971</v>
      </c>
      <c r="EM25" s="22">
        <f t="shared" si="19"/>
        <v>126.98414944146755</v>
      </c>
      <c r="EN25" s="60">
        <f t="shared" si="20"/>
        <v>410.53970499702308</v>
      </c>
      <c r="EO25" s="60">
        <f ca="1">AVERAGE(OFFSET($EN$3,0,0,'Données projet'!$E$15+1,1))-AVERAGE(OFFSET($H$3,0,0,'Données projet'!$E$15+1,1))</f>
        <v>290.85271051443431</v>
      </c>
      <c r="EP25" s="60">
        <f t="shared" si="46"/>
        <v>318.66958823451142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0">
        <f t="shared" si="0"/>
        <v>404.32574406333623</v>
      </c>
      <c r="S26" s="60">
        <f ca="1">AVERAGE(OFFSET($R$3,0,0,'Données projet'!$E$9+1,1))-AVERAGE(OFFSET($H$3,0,0,'Données projet'!$E$9+1,1))</f>
        <v>428.8489304403459</v>
      </c>
      <c r="T26" s="60">
        <f t="shared" si="34"/>
        <v>247.01165577562966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16.687912087912085</v>
      </c>
      <c r="AI26" s="14">
        <f>IF('Données projet'!$A$62&gt;35,AI25+AH26-AQ25,IF(A26&lt;'Données projet'!$A$62,$AF$205^A26,IF(A26='Données projet'!$A$62,'Données projet'!$B$62,AI25+AH26-AQ25)))</f>
        <v>152.26813186813189</v>
      </c>
      <c r="AJ26" s="14">
        <f>AI26*VLOOKUP('Données projet'!$B$10,Paramètres!$A$1:$I$89,3,0)*VLOOKUP('Données projet'!$B$10,Paramètres!$A$1:$I$89,5,0)</f>
        <v>85.11788571428572</v>
      </c>
      <c r="AK26" s="14">
        <f t="shared" si="35"/>
        <v>23.383981996566973</v>
      </c>
      <c r="AL26" s="22">
        <f t="shared" si="4"/>
        <v>188.97408626306844</v>
      </c>
      <c r="AM26" s="60">
        <f t="shared" si="5"/>
        <v>473.75186404084621</v>
      </c>
      <c r="AN26" s="60">
        <f ca="1">AVERAGE(OFFSET($AM$3,0,0,'Données projet'!$E$10+1,1))-AVERAGE(OFFSET($H$3,0,0,'Données projet'!$E$10+1,1))</f>
        <v>323.98185264074681</v>
      </c>
      <c r="AO26" s="60">
        <f t="shared" si="36"/>
        <v>301.22207291854005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4.7018645157084791</v>
      </c>
      <c r="AW26" s="23">
        <f>EXP(-LN(2)/2)*AW25+(1-EXP(-LN(2)/2))/(LN(2)/2)*AQ26*AT26*VLOOKUP('Données projet'!$B$10,Paramètres!$A$1:$I$89,3,0)*0.475*44/12</f>
        <v>7.7430196577401933</v>
      </c>
      <c r="AX26" s="23">
        <f t="shared" si="6"/>
        <v>12.444884173448672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11.242307692307683</v>
      </c>
      <c r="BD26" s="13">
        <f>IF('Données projet'!$A$88&gt;35,BD25+BC26-BL25,IF(A26&lt;'Données projet'!$A$88,$BA$205^A26,IF(A26='Données projet'!$A$88,'Données projet'!$B$88,BD25+BC26-BL25)))</f>
        <v>88.480769230769226</v>
      </c>
      <c r="BE26" s="14">
        <f>BD26*VLOOKUP('Données projet'!$B$11,Paramètres!$A$1:$I$89,3,0)*VLOOKUP('Données projet'!$B$11,Paramètres!$A$1:$I$89,5,0)</f>
        <v>52.911499999999997</v>
      </c>
      <c r="BF26" s="14">
        <f t="shared" si="37"/>
        <v>15.363172606616901</v>
      </c>
      <c r="BG26" s="22">
        <f t="shared" si="7"/>
        <v>118.91172145652443</v>
      </c>
      <c r="BH26" s="60">
        <f t="shared" si="8"/>
        <v>403.68949923430222</v>
      </c>
      <c r="BI26" s="60">
        <f ca="1">AVERAGE(OFFSET($BH$3,0,0,'Données projet'!$E$11+1,1))-AVERAGE(OFFSET($H$3,0,0,'Données projet'!$E$11+1,1))</f>
        <v>289.12367833861299</v>
      </c>
      <c r="BJ26" s="60">
        <f t="shared" si="38"/>
        <v>229.06617320689003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12.6</v>
      </c>
      <c r="BY26" s="13">
        <f>IF('Données projet'!$A$114&gt;35,BY25+BX26-CG25,IF(A26&lt;'Données projet'!$A$114,$BV$205^A26,IF(A26='Données projet'!$A$114,'Données projet'!$B$114,BY25+BX26-CG25)))</f>
        <v>89.799999999999969</v>
      </c>
      <c r="BZ26" s="14">
        <f>BY26*VLOOKUP('Données projet'!$B$12,Paramètres!$A$1:$I$89,3,0)*VLOOKUP('Données projet'!$B$12,Paramètres!$A$1:$I$89,5,0)</f>
        <v>71.444879999999984</v>
      </c>
      <c r="CA26" s="14">
        <f t="shared" si="39"/>
        <v>20.03184442542841</v>
      </c>
      <c r="CB26" s="22">
        <f t="shared" si="10"/>
        <v>159.32196170762111</v>
      </c>
      <c r="CC26" s="60">
        <f t="shared" si="11"/>
        <v>444.09973948539891</v>
      </c>
      <c r="CD26" s="60">
        <f ca="1">AVERAGE(OFFSET($CC$3,0,0,'Données projet'!$E$12+1,1))-AVERAGE(OFFSET($H$3,0,0,'Données projet'!$E$12+1,1))</f>
        <v>312.53381881960331</v>
      </c>
      <c r="CE26" s="60">
        <f t="shared" si="40"/>
        <v>342.06887933351783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59.623200000000011</v>
      </c>
      <c r="CV26" s="14">
        <f t="shared" si="41"/>
        <v>17.072967249098898</v>
      </c>
      <c r="CW26" s="22">
        <f t="shared" si="13"/>
        <v>133.57915795884725</v>
      </c>
      <c r="CX26" s="60">
        <f t="shared" si="14"/>
        <v>418.35693573662502</v>
      </c>
      <c r="CY26" s="60">
        <f ca="1">AVERAGE(OFFSET($CX$3,0,0,'Données projet'!$E$13+1,1))-AVERAGE(OFFSET($H$3,0,0,'Données projet'!$E$13+1,1))</f>
        <v>475.47920969424894</v>
      </c>
      <c r="CZ26" s="60">
        <f t="shared" si="42"/>
        <v>271.73544012419364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4.9084615384615384</v>
      </c>
      <c r="DO26" s="13">
        <f>IF('Données projet'!$A$166&gt;35,DO25+DN26-DW25,IF(A26&lt;'Données projet'!$A$166,$DL$205^A26,IF(A26='Données projet'!$A$166,'Données projet'!$B$166,DO25+DN26-DW25)))</f>
        <v>45.939305928458197</v>
      </c>
      <c r="DP26" s="18">
        <f>DO26*VLOOKUP('Données projet'!$B$14,Paramètres!$A$1:$I$89,3,0)*VLOOKUP('Données projet'!$B$14,Paramètres!$A$1:$I$89,5,0)</f>
        <v>21.499595174518436</v>
      </c>
      <c r="DQ26" s="14">
        <f t="shared" si="43"/>
        <v>6.9324614376170377</v>
      </c>
      <c r="DR26" s="22">
        <f t="shared" si="16"/>
        <v>49.51916526613595</v>
      </c>
      <c r="DS26" s="60">
        <f t="shared" si="17"/>
        <v>334.2969430439137</v>
      </c>
      <c r="DT26" s="60">
        <f ca="1">AVERAGE(OFFSET($DS$3,0,0,'Données projet'!$E$14+1,1))-AVERAGE(OFFSET($H$3,0,0,'Données projet'!$E$14+1,1))</f>
        <v>284.71577701131588</v>
      </c>
      <c r="DU26" s="60">
        <f t="shared" si="44"/>
        <v>190.4880882944471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12.6</v>
      </c>
      <c r="EJ26" s="13">
        <f>IF('Données projet'!$A$192&gt;35,EJ25+EI26-ER25,IF(A26&lt;'Données projet'!$A$192,$EG$205^A26,IF(A26='Données projet'!$A$192,'Données projet'!$B$192,EJ25+EI26-ER25)))</f>
        <v>89.799999999999969</v>
      </c>
      <c r="EK26" s="18">
        <f>EJ26*VLOOKUP('Données projet'!$B$15,Paramètres!$A$1:$I$89,3,0)*VLOOKUP('Données projet'!$B$15,Paramètres!$A$1:$I$89,5,0)</f>
        <v>65.84135999999998</v>
      </c>
      <c r="EL26" s="14">
        <f t="shared" si="45"/>
        <v>18.637068365902625</v>
      </c>
      <c r="EM26" s="22">
        <f t="shared" si="19"/>
        <v>147.13326273728035</v>
      </c>
      <c r="EN26" s="60">
        <f t="shared" si="20"/>
        <v>431.91104051505812</v>
      </c>
      <c r="EO26" s="60">
        <f ca="1">AVERAGE(OFFSET($EN$3,0,0,'Données projet'!$E$15+1,1))-AVERAGE(OFFSET($H$3,0,0,'Données projet'!$E$15+1,1))</f>
        <v>290.85271051443431</v>
      </c>
      <c r="EP26" s="60">
        <f t="shared" si="46"/>
        <v>318.66958823451142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0">
        <f t="shared" si="0"/>
        <v>416.62330272297186</v>
      </c>
      <c r="S27" s="60">
        <f ca="1">AVERAGE(OFFSET($R$3,0,0,'Données projet'!$E$9+1,1))-AVERAGE(OFFSET($H$3,0,0,'Données projet'!$E$9+1,1))</f>
        <v>428.8489304403459</v>
      </c>
      <c r="T27" s="60">
        <f t="shared" si="34"/>
        <v>247.01165577562966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16.687912087912085</v>
      </c>
      <c r="AI27" s="14">
        <f>IF('Données projet'!$A$62&gt;35,AI26+AH27-AQ26,IF(A27&lt;'Données projet'!$A$62,$AF$205^A27,IF(A27='Données projet'!$A$62,'Données projet'!$B$62,AI26+AH27-AQ26)))</f>
        <v>168.95604395604397</v>
      </c>
      <c r="AJ27" s="14">
        <f>AI27*VLOOKUP('Données projet'!$B$10,Paramètres!$A$1:$I$89,3,0)*VLOOKUP('Données projet'!$B$10,Paramètres!$A$1:$I$89,5,0)</f>
        <v>94.446428571428584</v>
      </c>
      <c r="AK27" s="14">
        <f t="shared" si="35"/>
        <v>25.634568296511581</v>
      </c>
      <c r="AL27" s="22">
        <f t="shared" si="4"/>
        <v>209.14106954499582</v>
      </c>
      <c r="AM27" s="60">
        <f t="shared" si="5"/>
        <v>495.14106954499584</v>
      </c>
      <c r="AN27" s="60">
        <f ca="1">AVERAGE(OFFSET($AM$3,0,0,'Données projet'!$E$10+1,1))-AVERAGE(OFFSET($H$3,0,0,'Données projet'!$E$10+1,1))</f>
        <v>323.98185264074681</v>
      </c>
      <c r="AO27" s="60">
        <f t="shared" si="36"/>
        <v>301.22207291854005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4.5732917832661224</v>
      </c>
      <c r="AW27" s="23">
        <f>EXP(-LN(2)/2)*AW26+(1-EXP(-LN(2)/2))/(LN(2)/2)*AQ27*AT27*VLOOKUP('Données projet'!$B$10,Paramètres!$A$1:$I$89,3,0)*0.475*44/12</f>
        <v>5.4751417068488317</v>
      </c>
      <c r="AX27" s="23">
        <f t="shared" si="6"/>
        <v>10.048433490114954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99.723076923076903</v>
      </c>
      <c r="BB27" s="13">
        <f>VLOOKUP(A27,'Données projet'!$A$87:$I$107,9,0)</f>
        <v>11.242307692307683</v>
      </c>
      <c r="BC27" s="13">
        <f t="array" ref="BC27">INDEX(BB:BB,MIN(IF(ISNUMBER(BB27:BB223),ROW(BB27:BB223),"")))</f>
        <v>11.242307692307683</v>
      </c>
      <c r="BD27" s="13">
        <f>IF('Données projet'!$A$88&gt;35,BD26+BC27-BL26,IF(A27&lt;'Données projet'!$A$88,$BA$205^A27,IF(A27='Données projet'!$A$88,'Données projet'!$B$88,BD26+BC27-BL26)))</f>
        <v>99.723076923076917</v>
      </c>
      <c r="BE27" s="14">
        <f>BD27*VLOOKUP('Données projet'!$B$11,Paramètres!$A$1:$I$89,3,0)*VLOOKUP('Données projet'!$B$11,Paramètres!$A$1:$I$89,5,0)</f>
        <v>59.634400000000007</v>
      </c>
      <c r="BF27" s="14">
        <f t="shared" si="37"/>
        <v>17.075801006767037</v>
      </c>
      <c r="BG27" s="22">
        <f t="shared" si="7"/>
        <v>133.60360008678595</v>
      </c>
      <c r="BH27" s="60">
        <f t="shared" si="8"/>
        <v>419.60360008678595</v>
      </c>
      <c r="BI27" s="60">
        <f ca="1">AVERAGE(OFFSET($BH$3,0,0,'Données projet'!$E$11+1,1))-AVERAGE(OFFSET($H$3,0,0,'Données projet'!$E$11+1,1))</f>
        <v>289.12367833861299</v>
      </c>
      <c r="BJ27" s="60">
        <f t="shared" si="38"/>
        <v>229.06617320689003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projet'!$B$12,Paramètres!$A$1:$I$89,3,0)*VLOOKUP('Données projet'!$B$12,Paramètres!$A$1:$I$89,5,0)</f>
        <v>81.469439999999977</v>
      </c>
      <c r="CA27" s="14">
        <f t="shared" si="39"/>
        <v>22.496088365195671</v>
      </c>
      <c r="CB27" s="22">
        <f t="shared" si="10"/>
        <v>181.07329523604912</v>
      </c>
      <c r="CC27" s="60">
        <f t="shared" si="11"/>
        <v>467.07329523604915</v>
      </c>
      <c r="CD27" s="60">
        <f ca="1">AVERAGE(OFFSET($CC$3,0,0,'Données projet'!$E$12+1,1))-AVERAGE(OFFSET($H$3,0,0,'Données projet'!$E$12+1,1))</f>
        <v>312.53381881960331</v>
      </c>
      <c r="CE27" s="60">
        <f t="shared" si="40"/>
        <v>342.06887933351783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65.301600000000008</v>
      </c>
      <c r="CV27" s="14">
        <f t="shared" si="41"/>
        <v>18.502003309535596</v>
      </c>
      <c r="CW27" s="22">
        <f t="shared" si="13"/>
        <v>145.95794243077449</v>
      </c>
      <c r="CX27" s="60">
        <f t="shared" si="14"/>
        <v>431.95794243077449</v>
      </c>
      <c r="CY27" s="60">
        <f ca="1">AVERAGE(OFFSET($CX$3,0,0,'Données projet'!$E$13+1,1))-AVERAGE(OFFSET($H$3,0,0,'Données projet'!$E$13+1,1))</f>
        <v>475.47920969424894</v>
      </c>
      <c r="CZ27" s="60">
        <f t="shared" si="42"/>
        <v>271.73544012419364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4.9084615384615384</v>
      </c>
      <c r="DO27" s="13">
        <f>IF('Données projet'!$A$166&gt;35,DO26+DN27-DW26,IF(A27&lt;'Données projet'!$A$166,$DL$205^A27,IF(A27='Données projet'!$A$166,'Données projet'!$B$166,DO26+DN27-DW26)))</f>
        <v>54.256692760299323</v>
      </c>
      <c r="DP27" s="18">
        <f>DO27*VLOOKUP('Données projet'!$B$14,Paramètres!$A$1:$I$89,3,0)*VLOOKUP('Données projet'!$B$14,Paramètres!$A$1:$I$89,5,0)</f>
        <v>25.392132211820083</v>
      </c>
      <c r="DQ27" s="14">
        <f t="shared" si="43"/>
        <v>8.0305307997692346</v>
      </c>
      <c r="DR27" s="22">
        <f t="shared" si="16"/>
        <v>58.211138078518069</v>
      </c>
      <c r="DS27" s="60">
        <f t="shared" si="17"/>
        <v>344.21113807851805</v>
      </c>
      <c r="DT27" s="60">
        <f ca="1">AVERAGE(OFFSET($DS$3,0,0,'Données projet'!$E$14+1,1))-AVERAGE(OFFSET($H$3,0,0,'Données projet'!$E$14+1,1))</f>
        <v>284.71577701131588</v>
      </c>
      <c r="DU27" s="60">
        <f t="shared" si="44"/>
        <v>190.4880882944471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12.6</v>
      </c>
      <c r="EJ27" s="13">
        <f>IF('Données projet'!$A$192&gt;35,EJ26+EI27-ER26,IF(A27&lt;'Données projet'!$A$192,$EG$205^A27,IF(A27='Données projet'!$A$192,'Données projet'!$B$192,EJ26+EI27-ER26)))</f>
        <v>102.39999999999996</v>
      </c>
      <c r="EK27" s="18">
        <f>EJ27*VLOOKUP('Données projet'!$B$15,Paramètres!$A$1:$I$89,3,0)*VLOOKUP('Données projet'!$B$15,Paramètres!$A$1:$I$89,5,0)</f>
        <v>75.079679999999968</v>
      </c>
      <c r="EL27" s="14">
        <f t="shared" si="45"/>
        <v>20.929732076759169</v>
      </c>
      <c r="EM27" s="22">
        <f t="shared" si="19"/>
        <v>167.21639270035547</v>
      </c>
      <c r="EN27" s="60">
        <f t="shared" si="20"/>
        <v>453.21639270035547</v>
      </c>
      <c r="EO27" s="60">
        <f ca="1">AVERAGE(OFFSET($EN$3,0,0,'Données projet'!$E$15+1,1))-AVERAGE(OFFSET($H$3,0,0,'Données projet'!$E$15+1,1))</f>
        <v>290.85271051443431</v>
      </c>
      <c r="EP27" s="60">
        <f t="shared" si="46"/>
        <v>318.66958823451142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0">
        <f t="shared" si="0"/>
        <v>428.89816692885358</v>
      </c>
      <c r="S28" s="60">
        <f ca="1">AVERAGE(OFFSET($R$3,0,0,'Données projet'!$E$9+1,1))-AVERAGE(OFFSET($H$3,0,0,'Données projet'!$E$9+1,1))</f>
        <v>428.8489304403459</v>
      </c>
      <c r="T28" s="60">
        <f t="shared" si="34"/>
        <v>247.01165577562966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16.687912087912085</v>
      </c>
      <c r="AI28" s="14">
        <f>IF('Données projet'!$A$62&gt;35,AI27+AH28-AQ27,IF(A28&lt;'Données projet'!$A$62,$AF$205^A28,IF(A28='Données projet'!$A$62,'Données projet'!$B$62,AI27+AH28-AQ27)))</f>
        <v>185.64395604395605</v>
      </c>
      <c r="AJ28" s="14">
        <f>AI28*VLOOKUP('Données projet'!$B$10,Paramètres!$A$1:$I$89,3,0)*VLOOKUP('Données projet'!$B$10,Paramètres!$A$1:$I$89,5,0)</f>
        <v>103.77497142857143</v>
      </c>
      <c r="AK28" s="14">
        <f t="shared" si="35"/>
        <v>27.859383782043167</v>
      </c>
      <c r="AL28" s="22">
        <f t="shared" si="4"/>
        <v>229.2631686584871</v>
      </c>
      <c r="AM28" s="60">
        <f t="shared" si="5"/>
        <v>516.48539088070936</v>
      </c>
      <c r="AN28" s="60">
        <f ca="1">AVERAGE(OFFSET($AM$3,0,0,'Données projet'!$E$10+1,1))-AVERAGE(OFFSET($H$3,0,0,'Données projet'!$E$10+1,1))</f>
        <v>323.98185264074681</v>
      </c>
      <c r="AO28" s="60">
        <f t="shared" si="36"/>
        <v>301.22207291854005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4.4482348789537474</v>
      </c>
      <c r="AW28" s="23">
        <f>EXP(-LN(2)/2)*AW27+(1-EXP(-LN(2)/2))/(LN(2)/2)*AQ28*AT28*VLOOKUP('Données projet'!$B$10,Paramètres!$A$1:$I$89,3,0)*0.475*44/12</f>
        <v>3.8715098288700975</v>
      </c>
      <c r="AX28" s="23">
        <f t="shared" si="6"/>
        <v>8.319744707823844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13.664102564102569</v>
      </c>
      <c r="BD28" s="13">
        <f>IF('Données projet'!$A$88&gt;35,BD27+BC28-BL27,IF(A28&lt;'Données projet'!$A$88,$BA$205^A28,IF(A28='Données projet'!$A$88,'Données projet'!$B$88,BD27+BC28-BL27)))</f>
        <v>113.38717948717948</v>
      </c>
      <c r="BE28" s="14">
        <f>BD28*VLOOKUP('Données projet'!$B$11,Paramètres!$A$1:$I$89,3,0)*VLOOKUP('Données projet'!$B$11,Paramètres!$A$1:$I$89,5,0)</f>
        <v>67.805533333333329</v>
      </c>
      <c r="BF28" s="14">
        <f t="shared" si="37"/>
        <v>19.12748805046628</v>
      </c>
      <c r="BG28" s="22">
        <f t="shared" si="7"/>
        <v>151.40834557678431</v>
      </c>
      <c r="BH28" s="60">
        <f t="shared" si="8"/>
        <v>438.63056779900654</v>
      </c>
      <c r="BI28" s="60">
        <f ca="1">AVERAGE(OFFSET($BH$3,0,0,'Données projet'!$E$11+1,1))-AVERAGE(OFFSET($H$3,0,0,'Données projet'!$E$11+1,1))</f>
        <v>289.12367833861299</v>
      </c>
      <c r="BJ28" s="60">
        <f t="shared" si="38"/>
        <v>229.06617320689003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115</v>
      </c>
      <c r="BW28" s="13">
        <f>VLOOKUP(A28,'Données projet'!$A$113:$I$133,9,0)</f>
        <v>12.6</v>
      </c>
      <c r="BX28" s="13">
        <f t="array" ref="BX28">INDEX(BW:BW,MIN(IF(ISNUMBER(BW28:BW224),ROW(BW28:BW224),"")))</f>
        <v>12.6</v>
      </c>
      <c r="BY28" s="13">
        <f>IF('Données projet'!$A$114&gt;35,BY27+BX28-CG27,IF(A28&lt;'Données projet'!$A$114,$BV$205^A28,IF(A28='Données projet'!$A$114,'Données projet'!$B$114,BY27+BX28-CG27)))</f>
        <v>114.99999999999996</v>
      </c>
      <c r="BZ28" s="14">
        <f>BY28*VLOOKUP('Données projet'!$B$12,Paramètres!$A$1:$I$89,3,0)*VLOOKUP('Données projet'!$B$12,Paramètres!$A$1:$I$89,5,0)</f>
        <v>91.493999999999971</v>
      </c>
      <c r="CA28" s="14">
        <f t="shared" si="39"/>
        <v>24.925195840896517</v>
      </c>
      <c r="CB28" s="22">
        <f t="shared" si="10"/>
        <v>202.76343275622807</v>
      </c>
      <c r="CC28" s="60">
        <f t="shared" si="11"/>
        <v>489.98565497845027</v>
      </c>
      <c r="CD28" s="60">
        <f ca="1">AVERAGE(OFFSET($CC$3,0,0,'Données projet'!$E$12+1,1))-AVERAGE(OFFSET($H$3,0,0,'Données projet'!$E$12+1,1))</f>
        <v>312.53381881960331</v>
      </c>
      <c r="CE28" s="60">
        <f t="shared" si="40"/>
        <v>342.06887933351783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70.98</v>
      </c>
      <c r="CV28" s="14">
        <f t="shared" si="41"/>
        <v>19.916628839746853</v>
      </c>
      <c r="CW28" s="22">
        <f t="shared" si="13"/>
        <v>158.31162856255909</v>
      </c>
      <c r="CX28" s="60">
        <f t="shared" si="14"/>
        <v>445.53385078478129</v>
      </c>
      <c r="CY28" s="60">
        <f ca="1">AVERAGE(OFFSET($CX$3,0,0,'Données projet'!$E$13+1,1))-AVERAGE(OFFSET($H$3,0,0,'Données projet'!$E$13+1,1))</f>
        <v>475.47920969424894</v>
      </c>
      <c r="CZ28" s="60">
        <f t="shared" si="42"/>
        <v>271.73544012419364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4.9084615384615384</v>
      </c>
      <c r="DO28" s="13">
        <f>IF('Données projet'!$A$166&gt;35,DO27+DN28-DW27,IF(A28&lt;'Données projet'!$A$166,$DL$205^A28,IF(A28='Données projet'!$A$166,'Données projet'!$B$166,DO27+DN28-DW27)))</f>
        <v>64.079956146266369</v>
      </c>
      <c r="DP28" s="18">
        <f>DO28*VLOOKUP('Données projet'!$B$14,Paramètres!$A$1:$I$89,3,0)*VLOOKUP('Données projet'!$B$14,Paramètres!$A$1:$I$89,5,0)</f>
        <v>29.98941947645266</v>
      </c>
      <c r="DQ28" s="14">
        <f t="shared" si="43"/>
        <v>9.3025291963556676</v>
      </c>
      <c r="DR28" s="22">
        <f t="shared" si="16"/>
        <v>68.433477271807831</v>
      </c>
      <c r="DS28" s="60">
        <f t="shared" si="17"/>
        <v>355.65569949403005</v>
      </c>
      <c r="DT28" s="60">
        <f ca="1">AVERAGE(OFFSET($DS$3,0,0,'Données projet'!$E$14+1,1))-AVERAGE(OFFSET($H$3,0,0,'Données projet'!$E$14+1,1))</f>
        <v>284.71577701131588</v>
      </c>
      <c r="DU28" s="60">
        <f t="shared" si="44"/>
        <v>190.4880882944471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115</v>
      </c>
      <c r="EH28" s="13">
        <f>VLOOKUP(A28,'Données projet'!$A$191:$I$211,9,0)</f>
        <v>12.6</v>
      </c>
      <c r="EI28" s="13">
        <f t="array" ref="EI28">INDEX(EH:EH,MIN(IF(ISNUMBER(EH28:EH224),ROW(EH28:EH224),"")))</f>
        <v>12.6</v>
      </c>
      <c r="EJ28" s="13">
        <f>IF('Données projet'!$A$192&gt;35,EJ27+EI28-ER27,IF(A28&lt;'Données projet'!$A$192,$EG$205^A28,IF(A28='Données projet'!$A$192,'Données projet'!$B$192,EJ27+EI28-ER27)))</f>
        <v>114.99999999999996</v>
      </c>
      <c r="EK28" s="18">
        <f>EJ28*VLOOKUP('Données projet'!$B$15,Paramètres!$A$1:$I$89,3,0)*VLOOKUP('Données projet'!$B$15,Paramètres!$A$1:$I$89,5,0)</f>
        <v>84.317999999999969</v>
      </c>
      <c r="EL28" s="14">
        <f t="shared" si="45"/>
        <v>23.189705803157239</v>
      </c>
      <c r="EM28" s="22">
        <f t="shared" si="19"/>
        <v>187.24258760716546</v>
      </c>
      <c r="EN28" s="60">
        <f t="shared" si="20"/>
        <v>474.46480982938772</v>
      </c>
      <c r="EO28" s="60">
        <f ca="1">AVERAGE(OFFSET($EN$3,0,0,'Données projet'!$E$15+1,1))-AVERAGE(OFFSET($H$3,0,0,'Données projet'!$E$15+1,1))</f>
        <v>290.85271051443431</v>
      </c>
      <c r="EP28" s="60">
        <f t="shared" si="46"/>
        <v>318.66958823451142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0">
        <f t="shared" si="0"/>
        <v>443.90732670063346</v>
      </c>
      <c r="S29" s="60">
        <f ca="1">AVERAGE(OFFSET($R$3,0,0,'Données projet'!$E$9+1,1))-AVERAGE(OFFSET($H$3,0,0,'Données projet'!$E$9+1,1))</f>
        <v>428.8489304403459</v>
      </c>
      <c r="T29" s="60">
        <f t="shared" si="34"/>
        <v>247.01165577562966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16.687912087912085</v>
      </c>
      <c r="AI29" s="14">
        <f>IF('Données projet'!$A$62&gt;35,AI28+AH29-AQ28,IF(A29&lt;'Données projet'!$A$62,$AF$205^A29,IF(A29='Données projet'!$A$62,'Données projet'!$B$62,AI28+AH29-AQ28)))</f>
        <v>202.33186813186813</v>
      </c>
      <c r="AJ29" s="14">
        <f>AI29*VLOOKUP('Données projet'!$B$10,Paramètres!$A$1:$I$89,3,0)*VLOOKUP('Données projet'!$B$10,Paramètres!$A$1:$I$89,5,0)</f>
        <v>113.1035142857143</v>
      </c>
      <c r="AK29" s="14">
        <f t="shared" si="35"/>
        <v>30.061008485627202</v>
      </c>
      <c r="AL29" s="22">
        <f t="shared" si="4"/>
        <v>249.34487716008644</v>
      </c>
      <c r="AM29" s="60">
        <f t="shared" si="5"/>
        <v>537.78932160453087</v>
      </c>
      <c r="AN29" s="60">
        <f ca="1">AVERAGE(OFFSET($AM$3,0,0,'Données projet'!$E$10+1,1))-AVERAGE(OFFSET($H$3,0,0,'Données projet'!$E$10+1,1))</f>
        <v>323.98185264074681</v>
      </c>
      <c r="AO29" s="60">
        <f t="shared" si="36"/>
        <v>301.22207291854005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4.3265976622662512</v>
      </c>
      <c r="AW29" s="23">
        <f>EXP(-LN(2)/2)*AW28+(1-EXP(-LN(2)/2))/(LN(2)/2)*AQ29*AT29*VLOOKUP('Données projet'!$B$10,Paramètres!$A$1:$I$89,3,0)*0.475*44/12</f>
        <v>2.7375708534244163</v>
      </c>
      <c r="AX29" s="23">
        <f t="shared" si="6"/>
        <v>7.0641685156906675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13.664102564102569</v>
      </c>
      <c r="BD29" s="13">
        <f>IF('Données projet'!$A$88&gt;35,BD28+BC29-BL28,IF(A29&lt;'Données projet'!$A$88,$BA$205^A29,IF(A29='Données projet'!$A$88,'Données projet'!$B$88,BD28+BC29-BL28)))</f>
        <v>127.05128205128204</v>
      </c>
      <c r="BE29" s="14">
        <f>BD29*VLOOKUP('Données projet'!$B$11,Paramètres!$A$1:$I$89,3,0)*VLOOKUP('Données projet'!$B$11,Paramètres!$A$1:$I$89,5,0)</f>
        <v>75.976666666666659</v>
      </c>
      <c r="BF29" s="14">
        <f t="shared" si="37"/>
        <v>21.150523503463145</v>
      </c>
      <c r="BG29" s="22">
        <f t="shared" si="7"/>
        <v>169.16318954630938</v>
      </c>
      <c r="BH29" s="60">
        <f t="shared" si="8"/>
        <v>457.60763399075381</v>
      </c>
      <c r="BI29" s="60">
        <f ca="1">AVERAGE(OFFSET($BH$3,0,0,'Données projet'!$E$11+1,1))-AVERAGE(OFFSET($H$3,0,0,'Données projet'!$E$11+1,1))</f>
        <v>289.12367833861299</v>
      </c>
      <c r="BJ29" s="60">
        <f t="shared" si="38"/>
        <v>229.06617320689003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126.99999999999996</v>
      </c>
      <c r="BZ29" s="14">
        <f>BY29*VLOOKUP('Données projet'!$B$12,Paramètres!$A$1:$I$89,3,0)*VLOOKUP('Données projet'!$B$12,Paramètres!$A$1:$I$89,5,0)</f>
        <v>101.04119999999998</v>
      </c>
      <c r="CA29" s="14">
        <f t="shared" si="39"/>
        <v>27.209899355903595</v>
      </c>
      <c r="CB29" s="22">
        <f t="shared" si="10"/>
        <v>223.37066471153204</v>
      </c>
      <c r="CC29" s="60">
        <f t="shared" si="11"/>
        <v>511.81510915597653</v>
      </c>
      <c r="CD29" s="60">
        <f ca="1">AVERAGE(OFFSET($CC$3,0,0,'Données projet'!$E$12+1,1))-AVERAGE(OFFSET($H$3,0,0,'Données projet'!$E$12+1,1))</f>
        <v>312.53381881960331</v>
      </c>
      <c r="CE29" s="60">
        <f t="shared" si="40"/>
        <v>342.06887933351783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78.078000000000003</v>
      </c>
      <c r="CV29" s="14">
        <f t="shared" si="41"/>
        <v>21.666582091642084</v>
      </c>
      <c r="CW29" s="22">
        <f t="shared" si="13"/>
        <v>173.72181380960993</v>
      </c>
      <c r="CX29" s="60">
        <f t="shared" si="14"/>
        <v>462.16625825405436</v>
      </c>
      <c r="CY29" s="60">
        <f ca="1">AVERAGE(OFFSET($CX$3,0,0,'Données projet'!$E$13+1,1))-AVERAGE(OFFSET($H$3,0,0,'Données projet'!$E$13+1,1))</f>
        <v>475.47920969424894</v>
      </c>
      <c r="CZ29" s="60">
        <f t="shared" si="42"/>
        <v>271.73544012419364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4.9084615384615384</v>
      </c>
      <c r="DO29" s="13">
        <f>IF('Données projet'!$A$166&gt;35,DO28+DN29-DW28,IF(A29&lt;'Données projet'!$A$166,$DL$205^A29,IF(A29='Données projet'!$A$166,'Données projet'!$B$166,DO28+DN29-DW28)))</f>
        <v>75.681737511137769</v>
      </c>
      <c r="DP29" s="18">
        <f>DO29*VLOOKUP('Données projet'!$B$14,Paramètres!$A$1:$I$89,3,0)*VLOOKUP('Données projet'!$B$14,Paramètres!$A$1:$I$89,5,0)</f>
        <v>35.419053155212474</v>
      </c>
      <c r="DQ29" s="14">
        <f t="shared" si="43"/>
        <v>10.776006170294048</v>
      </c>
      <c r="DR29" s="22">
        <f t="shared" si="16"/>
        <v>80.456394991923858</v>
      </c>
      <c r="DS29" s="60">
        <f t="shared" si="17"/>
        <v>368.9008394363683</v>
      </c>
      <c r="DT29" s="60">
        <f ca="1">AVERAGE(OFFSET($DS$3,0,0,'Données projet'!$E$14+1,1))-AVERAGE(OFFSET($H$3,0,0,'Données projet'!$E$14+1,1))</f>
        <v>284.71577701131588</v>
      </c>
      <c r="DU29" s="60">
        <f t="shared" si="44"/>
        <v>190.4880882944471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12</v>
      </c>
      <c r="EJ29" s="13">
        <f>IF('Données projet'!$A$192&gt;35,EJ28+EI29-ER28,IF(A29&lt;'Données projet'!$A$192,$EG$205^A29,IF(A29='Données projet'!$A$192,'Données projet'!$B$192,EJ28+EI29-ER28)))</f>
        <v>126.99999999999996</v>
      </c>
      <c r="EK29" s="18">
        <f>EJ29*VLOOKUP('Données projet'!$B$15,Paramètres!$A$1:$I$89,3,0)*VLOOKUP('Données projet'!$B$15,Paramètres!$A$1:$I$89,5,0)</f>
        <v>93.11639999999997</v>
      </c>
      <c r="EL29" s="14">
        <f t="shared" si="45"/>
        <v>25.315330119156503</v>
      </c>
      <c r="EM29" s="22">
        <f t="shared" si="19"/>
        <v>206.2685966241975</v>
      </c>
      <c r="EN29" s="60">
        <f t="shared" si="20"/>
        <v>494.71304106864193</v>
      </c>
      <c r="EO29" s="60">
        <f ca="1">AVERAGE(OFFSET($EN$3,0,0,'Données projet'!$E$15+1,1))-AVERAGE(OFFSET($H$3,0,0,'Données projet'!$E$15+1,1))</f>
        <v>290.85271051443431</v>
      </c>
      <c r="EP29" s="60">
        <f t="shared" si="46"/>
        <v>318.66958823451142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0">
        <f t="shared" si="0"/>
        <v>458.88743540273413</v>
      </c>
      <c r="S30" s="60">
        <f ca="1">AVERAGE(OFFSET($R$3,0,0,'Données projet'!$E$9+1,1))-AVERAGE(OFFSET($H$3,0,0,'Données projet'!$E$9+1,1))</f>
        <v>428.8489304403459</v>
      </c>
      <c r="T30" s="60">
        <f t="shared" si="34"/>
        <v>247.01165577562966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16.687912087912085</v>
      </c>
      <c r="AI30" s="14">
        <f>IF('Données projet'!$A$62&gt;35,AI29+AH30-AQ29,IF(A30&lt;'Données projet'!$A$62,$AF$205^A30,IF(A30='Données projet'!$A$62,'Données projet'!$B$62,AI29+AH30-AQ29)))</f>
        <v>219.01978021978022</v>
      </c>
      <c r="AJ30" s="14">
        <f>AI30*VLOOKUP('Données projet'!$B$10,Paramètres!$A$1:$I$89,3,0)*VLOOKUP('Données projet'!$B$10,Paramètres!$A$1:$I$89,5,0)</f>
        <v>122.43205714285713</v>
      </c>
      <c r="AK30" s="14">
        <f t="shared" si="35"/>
        <v>32.241572593058322</v>
      </c>
      <c r="AL30" s="22">
        <f t="shared" si="4"/>
        <v>269.38990512338609</v>
      </c>
      <c r="AM30" s="60">
        <f t="shared" si="5"/>
        <v>559.05657179005277</v>
      </c>
      <c r="AN30" s="60">
        <f ca="1">AVERAGE(OFFSET($AM$3,0,0,'Données projet'!$E$10+1,1))-AVERAGE(OFFSET($H$3,0,0,'Données projet'!$E$10+1,1))</f>
        <v>323.98185264074681</v>
      </c>
      <c r="AO30" s="60">
        <f t="shared" si="36"/>
        <v>301.22207291854005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4.2082866216656978</v>
      </c>
      <c r="AW30" s="23">
        <f>EXP(-LN(2)/2)*AW29+(1-EXP(-LN(2)/2))/(LN(2)/2)*AQ30*AT30*VLOOKUP('Données projet'!$B$10,Paramètres!$A$1:$I$89,3,0)*0.475*44/12</f>
        <v>1.935754914435049</v>
      </c>
      <c r="AX30" s="23">
        <f t="shared" si="6"/>
        <v>6.1440415361007465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140.71538461538461</v>
      </c>
      <c r="BB30" s="13">
        <f>VLOOKUP(A30,'Données projet'!$A$87:$I$107,9,0)</f>
        <v>13.664102564102569</v>
      </c>
      <c r="BC30" s="13">
        <f t="array" ref="BC30">INDEX(BB:BB,MIN(IF(ISNUMBER(BB30:BB226),ROW(BB30:BB226),"")))</f>
        <v>13.664102564102569</v>
      </c>
      <c r="BD30" s="13">
        <f>IF('Données projet'!$A$88&gt;35,BD29+BC30-BL29,IF(A30&lt;'Données projet'!$A$88,$BA$205^A30,IF(A30='Données projet'!$A$88,'Données projet'!$B$88,BD29+BC30-BL29)))</f>
        <v>140.71538461538461</v>
      </c>
      <c r="BE30" s="14">
        <f>BD30*VLOOKUP('Données projet'!$B$11,Paramètres!$A$1:$I$89,3,0)*VLOOKUP('Données projet'!$B$11,Paramètres!$A$1:$I$89,5,0)</f>
        <v>84.147799999999989</v>
      </c>
      <c r="BF30" s="14">
        <f t="shared" si="37"/>
        <v>23.148340019013887</v>
      </c>
      <c r="BG30" s="22">
        <f t="shared" si="7"/>
        <v>186.87411053311584</v>
      </c>
      <c r="BH30" s="60">
        <f t="shared" si="8"/>
        <v>476.5407771997825</v>
      </c>
      <c r="BI30" s="60">
        <f ca="1">AVERAGE(OFFSET($BH$3,0,0,'Données projet'!$E$11+1,1))-AVERAGE(OFFSET($H$3,0,0,'Données projet'!$E$11+1,1))</f>
        <v>289.12367833861299</v>
      </c>
      <c r="BJ30" s="60">
        <f t="shared" si="38"/>
        <v>229.06617320689003</v>
      </c>
      <c r="BK30" s="16">
        <f>IF(ISNA(VLOOKUP(A30,'Données projet'!$A$87:$I$107,3,0)),0,VLOOKUP(A30,'Données projet'!$A$87:$I$107,3,0))</f>
        <v>2</v>
      </c>
      <c r="BL30" s="16">
        <f>IF(ISNA(VLOOKUP(A30,'Données projet'!$A$87:$I$107,4,0)),0,VLOOKUP(A30,'Données projet'!$A$87:$I$107,4,0))</f>
        <v>34.646153846153844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0.5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11.729020816536163</v>
      </c>
      <c r="BS30" s="24">
        <f t="shared" si="9"/>
        <v>11.729020816536163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138.99999999999994</v>
      </c>
      <c r="BZ30" s="14">
        <f>BY30*VLOOKUP('Données projet'!$B$12,Paramètres!$A$1:$I$89,3,0)*VLOOKUP('Données projet'!$B$12,Paramètres!$A$1:$I$89,5,0)</f>
        <v>110.58839999999996</v>
      </c>
      <c r="CA30" s="14">
        <f t="shared" si="39"/>
        <v>29.469573129181644</v>
      </c>
      <c r="CB30" s="22">
        <f t="shared" si="10"/>
        <v>243.93430319999132</v>
      </c>
      <c r="CC30" s="60">
        <f t="shared" si="11"/>
        <v>533.60096986665803</v>
      </c>
      <c r="CD30" s="60">
        <f ca="1">AVERAGE(OFFSET($CC$3,0,0,'Données projet'!$E$12+1,1))-AVERAGE(OFFSET($H$3,0,0,'Données projet'!$E$12+1,1))</f>
        <v>312.53381881960331</v>
      </c>
      <c r="CE30" s="60">
        <f t="shared" si="40"/>
        <v>342.06887933351783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85.176000000000002</v>
      </c>
      <c r="CV30" s="14">
        <f t="shared" si="41"/>
        <v>23.398088487656441</v>
      </c>
      <c r="CW30" s="22">
        <f t="shared" si="13"/>
        <v>189.09987078266829</v>
      </c>
      <c r="CX30" s="60">
        <f t="shared" si="14"/>
        <v>478.76653744933498</v>
      </c>
      <c r="CY30" s="60">
        <f ca="1">AVERAGE(OFFSET($CX$3,0,0,'Données projet'!$E$13+1,1))-AVERAGE(OFFSET($H$3,0,0,'Données projet'!$E$13+1,1))</f>
        <v>475.47920969424894</v>
      </c>
      <c r="CZ30" s="60">
        <f t="shared" si="42"/>
        <v>271.73544012419364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4.9084615384615384</v>
      </c>
      <c r="DO30" s="13">
        <f>IF('Données projet'!$A$166&gt;35,DO29+DN30-DW29,IF(A30&lt;'Données projet'!$A$166,$DL$205^A30,IF(A30='Données projet'!$A$166,'Données projet'!$B$166,DO29+DN30-DW29)))</f>
        <v>89.384040457688172</v>
      </c>
      <c r="DP30" s="18">
        <f>DO30*VLOOKUP('Données projet'!$B$14,Paramètres!$A$1:$I$89,3,0)*VLOOKUP('Données projet'!$B$14,Paramètres!$A$1:$I$89,5,0)</f>
        <v>41.831730934198063</v>
      </c>
      <c r="DQ30" s="14">
        <f t="shared" si="43"/>
        <v>12.482874982828019</v>
      </c>
      <c r="DR30" s="22">
        <f t="shared" si="16"/>
        <v>94.597938638820423</v>
      </c>
      <c r="DS30" s="60">
        <f t="shared" si="17"/>
        <v>384.26460530548712</v>
      </c>
      <c r="DT30" s="60">
        <f ca="1">AVERAGE(OFFSET($DS$3,0,0,'Données projet'!$E$14+1,1))-AVERAGE(OFFSET($H$3,0,0,'Données projet'!$E$14+1,1))</f>
        <v>284.71577701131588</v>
      </c>
      <c r="DU30" s="60">
        <f t="shared" si="44"/>
        <v>190.4880882944471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12</v>
      </c>
      <c r="EJ30" s="13">
        <f>IF('Données projet'!$A$192&gt;35,EJ29+EI30-ER29,IF(A30&lt;'Données projet'!$A$192,$EG$205^A30,IF(A30='Données projet'!$A$192,'Données projet'!$B$192,EJ29+EI30-ER29)))</f>
        <v>138.99999999999994</v>
      </c>
      <c r="EK30" s="18">
        <f>EJ30*VLOOKUP('Données projet'!$B$15,Paramètres!$A$1:$I$89,3,0)*VLOOKUP('Données projet'!$B$15,Paramètres!$A$1:$I$89,5,0)</f>
        <v>101.91479999999996</v>
      </c>
      <c r="EL30" s="14">
        <f t="shared" si="45"/>
        <v>27.417667462779292</v>
      </c>
      <c r="EM30" s="22">
        <f t="shared" si="19"/>
        <v>225.25404749767384</v>
      </c>
      <c r="EN30" s="60">
        <f t="shared" si="20"/>
        <v>514.92071416434055</v>
      </c>
      <c r="EO30" s="60">
        <f ca="1">AVERAGE(OFFSET($EN$3,0,0,'Données projet'!$E$15+1,1))-AVERAGE(OFFSET($H$3,0,0,'Données projet'!$E$15+1,1))</f>
        <v>290.85271051443431</v>
      </c>
      <c r="EP30" s="60">
        <f t="shared" si="46"/>
        <v>318.66958823451142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0">
        <f t="shared" si="0"/>
        <v>473.84118919501418</v>
      </c>
      <c r="S31" s="60">
        <f ca="1">AVERAGE(OFFSET($R$3,0,0,'Données projet'!$E$9+1,1))-AVERAGE(OFFSET($H$3,0,0,'Données projet'!$E$9+1,1))</f>
        <v>428.8489304403459</v>
      </c>
      <c r="T31" s="60">
        <f t="shared" si="34"/>
        <v>247.01165577562966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>
        <f>VLOOKUP(A31,'Données projet'!$A$61:$I$81,2,0)</f>
        <v>235.7076923076923</v>
      </c>
      <c r="AG31" s="13">
        <f>VLOOKUP(A31,'Données projet'!$A$61:$I$81,9,0)</f>
        <v>16.687912087912085</v>
      </c>
      <c r="AH31" s="13">
        <f t="array" ref="AH31">INDEX(AG:AG,MIN(IF(ISNUMBER(AG31:AG227),ROW(AG31:AG227),"")))</f>
        <v>16.687912087912085</v>
      </c>
      <c r="AI31" s="14">
        <f>IF('Données projet'!$A$62&gt;35,AI30+AH31-AQ30,IF(A31&lt;'Données projet'!$A$62,$AF$205^A31,IF(A31='Données projet'!$A$62,'Données projet'!$B$62,AI30+AH31-AQ30)))</f>
        <v>235.7076923076923</v>
      </c>
      <c r="AJ31" s="14">
        <f>AI31*VLOOKUP('Données projet'!$B$10,Paramètres!$A$1:$I$89,3,0)*VLOOKUP('Données projet'!$B$10,Paramètres!$A$1:$I$89,5,0)</f>
        <v>131.76059999999998</v>
      </c>
      <c r="AK31" s="14">
        <f t="shared" si="35"/>
        <v>34.402863243711892</v>
      </c>
      <c r="AL31" s="22">
        <f t="shared" si="4"/>
        <v>289.40136514946488</v>
      </c>
      <c r="AM31" s="60">
        <f t="shared" si="5"/>
        <v>580.29025403835374</v>
      </c>
      <c r="AN31" s="60">
        <f ca="1">AVERAGE(OFFSET($AM$3,0,0,'Données projet'!$E$10+1,1))-AVERAGE(OFFSET($H$3,0,0,'Données projet'!$E$10+1,1))</f>
        <v>323.98185264074681</v>
      </c>
      <c r="AO31" s="60">
        <f t="shared" si="36"/>
        <v>301.22207291854005</v>
      </c>
      <c r="AP31" s="16">
        <f>IF(ISNA(VLOOKUP(A31,'Données projet'!$A$61:$I$81,3,0)),0,VLOOKUP(A31,'Données projet'!$A$61:$I$81,3,0))</f>
        <v>2</v>
      </c>
      <c r="AQ31" s="16">
        <f>IF(ISNA(VLOOKUP(A31,'Données projet'!$A$61:$I$81,4,0)),0,VLOOKUP(A31,'Données projet'!$A$61:$I$81,4,0))</f>
        <v>56.91538461538461</v>
      </c>
      <c r="AR31" s="17">
        <f>IF(ISNA(VLOOKUP(A31,'Données projet'!$A$61:$I$81,5,0)),0%,VLOOKUP(A31,'Données projet'!$A$61:$I$81,5,0)*VLOOKUP('Données projet'!$B$10,Paramètres!$A$1:$I$89,7,0))</f>
        <v>0.11000000000000001</v>
      </c>
      <c r="AS31" s="17">
        <f>IF(ISNA(VLOOKUP(A31,'Données projet'!$A$61:$I$81,6,0)),0%,VLOOKUP(A31,'Données projet'!$A$61:$I$81,6,0)*VLOOKUP('Données projet'!$B$10,Paramètres!$A$1:$I$89,7,0))</f>
        <v>0.11000000000000001</v>
      </c>
      <c r="AT31" s="17">
        <f>IF(ISNA(VLOOKUP(A31,'Données projet'!$A$61:$I$81,7,0)),0%,VLOOKUP(A31,'Données projet'!$A$61:$I$81,7,0))</f>
        <v>0.3</v>
      </c>
      <c r="AU31" s="23">
        <f>EXP(-LN(2)/35)*AU30+(1-EXP(-LN(2)/35))/(LN(2)/35)*AQ31*AR31*VLOOKUP('Données projet'!$B$10,Paramètres!$A$1:$I$89,3,0)*0.475*44/12</f>
        <v>4.6426134419420562</v>
      </c>
      <c r="AV31" s="23">
        <f>EXP(-LN(2)/25)*AV30+(1-EXP(-LN(2)/25))/(LN(2)/25)*Calculateur!AQ31*Calculateur!AS31*VLOOKUP('Données projet'!$B$10,Paramètres!$A$1:$I$89,3,0)*0.475*44/12</f>
        <v>8.7175445065387969</v>
      </c>
      <c r="AW31" s="23">
        <f>EXP(-LN(2)/2)*AW30+(1-EXP(-LN(2)/2))/(LN(2)/2)*AQ31*AT31*VLOOKUP('Données projet'!$B$10,Paramètres!$A$1:$I$89,3,0)*0.475*44/12</f>
        <v>12.175614359236038</v>
      </c>
      <c r="AX31" s="23">
        <f t="shared" si="6"/>
        <v>25.53577230771689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12.971794871794875</v>
      </c>
      <c r="BD31" s="13">
        <f>IF('Données projet'!$A$88&gt;35,BD30+BC31-BL30,IF(A31&lt;'Données projet'!$A$88,$BA$205^A31,IF(A31='Données projet'!$A$88,'Données projet'!$B$88,BD30+BC31-BL30)))</f>
        <v>119.04102564102564</v>
      </c>
      <c r="BE31" s="14">
        <f>BD31*VLOOKUP('Données projet'!$B$11,Paramètres!$A$1:$I$89,3,0)*VLOOKUP('Données projet'!$B$11,Paramètres!$A$1:$I$89,5,0)</f>
        <v>71.18653333333333</v>
      </c>
      <c r="BF31" s="14">
        <f t="shared" si="37"/>
        <v>19.967826748678</v>
      </c>
      <c r="BG31" s="22">
        <f t="shared" si="7"/>
        <v>158.76051047616974</v>
      </c>
      <c r="BH31" s="60">
        <f t="shared" si="8"/>
        <v>449.64939936505857</v>
      </c>
      <c r="BI31" s="60">
        <f ca="1">AVERAGE(OFFSET($BH$3,0,0,'Données projet'!$E$11+1,1))-AVERAGE(OFFSET($H$3,0,0,'Données projet'!$E$11+1,1))</f>
        <v>289.12367833861299</v>
      </c>
      <c r="BJ31" s="60">
        <f t="shared" si="38"/>
        <v>229.06617320689003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8.293670156050899</v>
      </c>
      <c r="BS31" s="24">
        <f t="shared" si="9"/>
        <v>8.293670156050899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150.99999999999994</v>
      </c>
      <c r="BZ31" s="14">
        <f>BY31*VLOOKUP('Données projet'!$B$12,Paramètres!$A$1:$I$89,3,0)*VLOOKUP('Données projet'!$B$12,Paramètres!$A$1:$I$89,5,0)</f>
        <v>120.13559999999997</v>
      </c>
      <c r="CA31" s="14">
        <f t="shared" si="39"/>
        <v>31.70662368824571</v>
      </c>
      <c r="CB31" s="22">
        <f t="shared" si="10"/>
        <v>264.45853959036123</v>
      </c>
      <c r="CC31" s="60">
        <f t="shared" si="11"/>
        <v>555.34742847925008</v>
      </c>
      <c r="CD31" s="60">
        <f ca="1">AVERAGE(OFFSET($CC$3,0,0,'Données projet'!$E$12+1,1))-AVERAGE(OFFSET($H$3,0,0,'Données projet'!$E$12+1,1))</f>
        <v>312.53381881960331</v>
      </c>
      <c r="CE31" s="60">
        <f t="shared" si="40"/>
        <v>342.06887933351783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92.274000000000001</v>
      </c>
      <c r="CV31" s="14">
        <f t="shared" si="41"/>
        <v>25.112860036087575</v>
      </c>
      <c r="CW31" s="22">
        <f t="shared" si="13"/>
        <v>204.4487812295192</v>
      </c>
      <c r="CX31" s="60">
        <f t="shared" si="14"/>
        <v>495.33767011840803</v>
      </c>
      <c r="CY31" s="60">
        <f ca="1">AVERAGE(OFFSET($CX$3,0,0,'Données projet'!$E$13+1,1))-AVERAGE(OFFSET($H$3,0,0,'Données projet'!$E$13+1,1))</f>
        <v>475.47920969424894</v>
      </c>
      <c r="CZ31" s="60">
        <f t="shared" si="42"/>
        <v>271.73544012419364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4.9084615384615384</v>
      </c>
      <c r="DO31" s="13">
        <f>IF('Données projet'!$A$166&gt;35,DO30+DN31-DW30,IF(A31&lt;'Données projet'!$A$166,$DL$205^A31,IF(A31='Données projet'!$A$166,'Données projet'!$B$166,DO30+DN31-DW30)))</f>
        <v>105.56716787013318</v>
      </c>
      <c r="DP31" s="18">
        <f>DO31*VLOOKUP('Données projet'!$B$14,Paramètres!$A$1:$I$89,3,0)*VLOOKUP('Données projet'!$B$14,Paramètres!$A$1:$I$89,5,0)</f>
        <v>49.405434563222322</v>
      </c>
      <c r="DQ31" s="14">
        <f t="shared" si="43"/>
        <v>14.46010380603388</v>
      </c>
      <c r="DR31" s="22">
        <f t="shared" si="16"/>
        <v>111.23247932645454</v>
      </c>
      <c r="DS31" s="60">
        <f t="shared" si="17"/>
        <v>402.12136821534341</v>
      </c>
      <c r="DT31" s="60">
        <f ca="1">AVERAGE(OFFSET($DS$3,0,0,'Données projet'!$E$14+1,1))-AVERAGE(OFFSET($H$3,0,0,'Données projet'!$E$14+1,1))</f>
        <v>284.71577701131588</v>
      </c>
      <c r="DU31" s="60">
        <f t="shared" si="44"/>
        <v>190.4880882944471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12</v>
      </c>
      <c r="EJ31" s="13">
        <f>IF('Données projet'!$A$192&gt;35,EJ30+EI31-ER30,IF(A31&lt;'Données projet'!$A$192,$EG$205^A31,IF(A31='Données projet'!$A$192,'Données projet'!$B$192,EJ30+EI31-ER30)))</f>
        <v>150.99999999999994</v>
      </c>
      <c r="EK31" s="18">
        <f>EJ31*VLOOKUP('Données projet'!$B$15,Paramètres!$A$1:$I$89,3,0)*VLOOKUP('Données projet'!$B$15,Paramètres!$A$1:$I$89,5,0)</f>
        <v>110.71319999999996</v>
      </c>
      <c r="EL31" s="14">
        <f t="shared" si="45"/>
        <v>29.498956799987518</v>
      </c>
      <c r="EM31" s="22">
        <f t="shared" si="19"/>
        <v>244.20283975997816</v>
      </c>
      <c r="EN31" s="60">
        <f t="shared" si="20"/>
        <v>535.09172864886705</v>
      </c>
      <c r="EO31" s="60">
        <f ca="1">AVERAGE(OFFSET($EN$3,0,0,'Données projet'!$E$15+1,1))-AVERAGE(OFFSET($H$3,0,0,'Données projet'!$E$15+1,1))</f>
        <v>290.85271051443431</v>
      </c>
      <c r="EP31" s="60">
        <f t="shared" si="46"/>
        <v>318.66958823451142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0">
        <f t="shared" si="0"/>
        <v>488.77084588054998</v>
      </c>
      <c r="S32" s="60">
        <f ca="1">AVERAGE(OFFSET($R$3,0,0,'Données projet'!$E$9+1,1))-AVERAGE(OFFSET($H$3,0,0,'Données projet'!$E$9+1,1))</f>
        <v>428.8489304403459</v>
      </c>
      <c r="T32" s="60">
        <f t="shared" si="34"/>
        <v>247.01165577562966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18.099999999999994</v>
      </c>
      <c r="AI32" s="14">
        <f>IF('Données projet'!$A$62&gt;35,AI31+AH32-AQ31,IF(A32&lt;'Données projet'!$A$62,$AF$205^A32,IF(A32='Données projet'!$A$62,'Données projet'!$B$62,AI31+AH32-AQ31)))</f>
        <v>196.89230769230767</v>
      </c>
      <c r="AJ32" s="14">
        <f>AI32*VLOOKUP('Données projet'!$B$10,Paramètres!$A$1:$I$89,3,0)*VLOOKUP('Données projet'!$B$10,Paramètres!$A$1:$I$89,5,0)</f>
        <v>110.0628</v>
      </c>
      <c r="AK32" s="14">
        <f t="shared" si="35"/>
        <v>29.345780250854382</v>
      </c>
      <c r="AL32" s="22">
        <f t="shared" si="4"/>
        <v>242.80327727023806</v>
      </c>
      <c r="AM32" s="60">
        <f t="shared" si="5"/>
        <v>534.91438838134923</v>
      </c>
      <c r="AN32" s="60">
        <f ca="1">AVERAGE(OFFSET($AM$3,0,0,'Données projet'!$E$10+1,1))-AVERAGE(OFFSET($H$3,0,0,'Données projet'!$E$10+1,1))</f>
        <v>323.98185264074681</v>
      </c>
      <c r="AO32" s="60">
        <f t="shared" si="36"/>
        <v>301.22207291854005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4.5515746240601631</v>
      </c>
      <c r="AV32" s="23">
        <f>EXP(-LN(2)/25)*AV31+(1-EXP(-LN(2)/25))/(LN(2)/25)*Calculateur!AQ32*Calculateur!AS32*VLOOKUP('Données projet'!$B$10,Paramètres!$A$1:$I$89,3,0)*0.475*44/12</f>
        <v>8.4791627935717528</v>
      </c>
      <c r="AW32" s="23">
        <f>EXP(-LN(2)/2)*AW31+(1-EXP(-LN(2)/2))/(LN(2)/2)*AQ32*AT32*VLOOKUP('Données projet'!$B$10,Paramètres!$A$1:$I$89,3,0)*0.475*44/12</f>
        <v>8.6094594785281036</v>
      </c>
      <c r="AX32" s="23">
        <f t="shared" si="6"/>
        <v>21.64019689616002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12.971794871794875</v>
      </c>
      <c r="BD32" s="13">
        <f>IF('Données projet'!$A$88&gt;35,BD31+BC32-BL31,IF(A32&lt;'Données projet'!$A$88,$BA$205^A32,IF(A32='Données projet'!$A$88,'Données projet'!$B$88,BD31+BC32-BL31)))</f>
        <v>132.01282051282053</v>
      </c>
      <c r="BE32" s="14">
        <f>BD32*VLOOKUP('Données projet'!$B$11,Paramètres!$A$1:$I$89,3,0)*VLOOKUP('Données projet'!$B$11,Paramètres!$A$1:$I$89,5,0)</f>
        <v>78.943666666666687</v>
      </c>
      <c r="BF32" s="14">
        <f t="shared" si="37"/>
        <v>21.878705672057283</v>
      </c>
      <c r="BG32" s="22">
        <f t="shared" si="7"/>
        <v>175.59896515661092</v>
      </c>
      <c r="BH32" s="60">
        <f t="shared" si="8"/>
        <v>467.71007626772206</v>
      </c>
      <c r="BI32" s="60">
        <f ca="1">AVERAGE(OFFSET($BH$3,0,0,'Données projet'!$E$11+1,1))-AVERAGE(OFFSET($H$3,0,0,'Données projet'!$E$11+1,1))</f>
        <v>289.12367833861299</v>
      </c>
      <c r="BJ32" s="60">
        <f t="shared" si="38"/>
        <v>229.06617320689003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5.8645104082680826</v>
      </c>
      <c r="BS32" s="24">
        <f t="shared" si="9"/>
        <v>5.8645104082680826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162.99999999999994</v>
      </c>
      <c r="BZ32" s="14">
        <f>BY32*VLOOKUP('Données projet'!$B$12,Paramètres!$A$1:$I$89,3,0)*VLOOKUP('Données projet'!$B$12,Paramètres!$A$1:$I$89,5,0)</f>
        <v>129.68279999999996</v>
      </c>
      <c r="CA32" s="14">
        <f t="shared" si="39"/>
        <v>33.923053307545167</v>
      </c>
      <c r="CB32" s="22">
        <f t="shared" si="10"/>
        <v>284.94686117730771</v>
      </c>
      <c r="CC32" s="60">
        <f t="shared" si="11"/>
        <v>577.0579722884188</v>
      </c>
      <c r="CD32" s="60">
        <f ca="1">AVERAGE(OFFSET($CC$3,0,0,'Données projet'!$E$12+1,1))-AVERAGE(OFFSET($H$3,0,0,'Données projet'!$E$12+1,1))</f>
        <v>312.53381881960331</v>
      </c>
      <c r="CE32" s="60">
        <f t="shared" si="40"/>
        <v>342.06887933351783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99.372000000000014</v>
      </c>
      <c r="CV32" s="14">
        <f t="shared" si="41"/>
        <v>26.812330397327713</v>
      </c>
      <c r="CW32" s="22">
        <f t="shared" si="13"/>
        <v>219.7710421086791</v>
      </c>
      <c r="CX32" s="60">
        <f t="shared" si="14"/>
        <v>511.88215321979021</v>
      </c>
      <c r="CY32" s="60">
        <f ca="1">AVERAGE(OFFSET($CX$3,0,0,'Données projet'!$E$13+1,1))-AVERAGE(OFFSET($H$3,0,0,'Données projet'!$E$13+1,1))</f>
        <v>475.47920969424894</v>
      </c>
      <c r="CZ32" s="60">
        <f t="shared" si="42"/>
        <v>271.73544012419364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4.9084615384615384</v>
      </c>
      <c r="DO32" s="13">
        <f>IF('Données projet'!$A$166&gt;35,DO31+DN32-DW31,IF(A32&lt;'Données projet'!$A$166,$DL$205^A32,IF(A32='Données projet'!$A$166,'Données projet'!$B$166,DO31+DN32-DW31)))</f>
        <v>124.68027709483918</v>
      </c>
      <c r="DP32" s="18">
        <f>DO32*VLOOKUP('Données projet'!$B$14,Paramètres!$A$1:$I$89,3,0)*VLOOKUP('Données projet'!$B$14,Paramètres!$A$1:$I$89,5,0)</f>
        <v>58.350369680384738</v>
      </c>
      <c r="DQ32" s="14">
        <f t="shared" si="43"/>
        <v>16.750516396977062</v>
      </c>
      <c r="DR32" s="22">
        <f t="shared" si="16"/>
        <v>130.80070991807179</v>
      </c>
      <c r="DS32" s="60">
        <f t="shared" si="17"/>
        <v>422.91182102918293</v>
      </c>
      <c r="DT32" s="60">
        <f ca="1">AVERAGE(OFFSET($DS$3,0,0,'Données projet'!$E$14+1,1))-AVERAGE(OFFSET($H$3,0,0,'Données projet'!$E$14+1,1))</f>
        <v>284.71577701131588</v>
      </c>
      <c r="DU32" s="60">
        <f t="shared" si="44"/>
        <v>190.4880882944471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12</v>
      </c>
      <c r="EJ32" s="13">
        <f>IF('Données projet'!$A$192&gt;35,EJ31+EI32-ER31,IF(A32&lt;'Données projet'!$A$192,$EG$205^A32,IF(A32='Données projet'!$A$192,'Données projet'!$B$192,EJ31+EI32-ER31)))</f>
        <v>162.99999999999994</v>
      </c>
      <c r="EK32" s="18">
        <f>EJ32*VLOOKUP('Données projet'!$B$15,Paramètres!$A$1:$I$89,3,0)*VLOOKUP('Données projet'!$B$15,Paramètres!$A$1:$I$89,5,0)</f>
        <v>119.51159999999996</v>
      </c>
      <c r="EL32" s="14">
        <f t="shared" si="45"/>
        <v>31.561060990985474</v>
      </c>
      <c r="EM32" s="22">
        <f t="shared" si="19"/>
        <v>263.11821789263291</v>
      </c>
      <c r="EN32" s="60">
        <f t="shared" si="20"/>
        <v>555.22932900374406</v>
      </c>
      <c r="EO32" s="60">
        <f ca="1">AVERAGE(OFFSET($EN$3,0,0,'Données projet'!$E$15+1,1))-AVERAGE(OFFSET($H$3,0,0,'Données projet'!$E$15+1,1))</f>
        <v>290.85271051443431</v>
      </c>
      <c r="EP32" s="60">
        <f t="shared" si="46"/>
        <v>318.66958823451142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0">
        <f t="shared" si="0"/>
        <v>503.67832244229635</v>
      </c>
      <c r="S33" s="60">
        <f ca="1">AVERAGE(OFFSET($R$3,0,0,'Données projet'!$E$9+1,1))-AVERAGE(OFFSET($H$3,0,0,'Données projet'!$E$9+1,1))</f>
        <v>428.8489304403459</v>
      </c>
      <c r="T33" s="60">
        <f t="shared" si="34"/>
        <v>247.01165577562966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214.99230769230769</v>
      </c>
      <c r="AG33" s="13">
        <f>VLOOKUP(A33,'Données projet'!$A$61:$I$81,9,0)</f>
        <v>18.099999999999994</v>
      </c>
      <c r="AH33" s="13">
        <f t="array" ref="AH33">INDEX(AG:AG,MIN(IF(ISNUMBER(AG33:AG229),ROW(AG33:AG229),"")))</f>
        <v>18.099999999999994</v>
      </c>
      <c r="AI33" s="14">
        <f>IF('Données projet'!$A$62&gt;35,AI32+AH33-AQ32,IF(A33&lt;'Données projet'!$A$62,$AF$205^A33,IF(A33='Données projet'!$A$62,'Données projet'!$B$62,AI32+AH33-AQ32)))</f>
        <v>214.99230769230766</v>
      </c>
      <c r="AJ33" s="14">
        <f>AI33*VLOOKUP('Données projet'!$B$10,Paramètres!$A$1:$I$89,3,0)*VLOOKUP('Données projet'!$B$10,Paramètres!$A$1:$I$89,5,0)</f>
        <v>120.18069999999997</v>
      </c>
      <c r="AK33" s="14">
        <f t="shared" si="35"/>
        <v>31.717140910166616</v>
      </c>
      <c r="AL33" s="22">
        <f t="shared" si="4"/>
        <v>264.55540625187342</v>
      </c>
      <c r="AM33" s="60">
        <f t="shared" si="5"/>
        <v>557.88873958520674</v>
      </c>
      <c r="AN33" s="60">
        <f ca="1">AVERAGE(OFFSET($AM$3,0,0,'Données projet'!$E$10+1,1))-AVERAGE(OFFSET($H$3,0,0,'Données projet'!$E$10+1,1))</f>
        <v>323.98185264074681</v>
      </c>
      <c r="AO33" s="60">
        <f t="shared" si="36"/>
        <v>301.22207291854005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4.4623210218687381</v>
      </c>
      <c r="AV33" s="23">
        <f>EXP(-LN(2)/25)*AV32+(1-EXP(-LN(2)/25))/(LN(2)/25)*Calculateur!AQ33*Calculateur!AS33*VLOOKUP('Données projet'!$B$10,Paramètres!$A$1:$I$89,3,0)*0.475*44/12</f>
        <v>8.2472996410817405</v>
      </c>
      <c r="AW33" s="23">
        <f>EXP(-LN(2)/2)*AW32+(1-EXP(-LN(2)/2))/(LN(2)/2)*AQ33*AT33*VLOOKUP('Données projet'!$B$10,Paramètres!$A$1:$I$89,3,0)*0.475*44/12</f>
        <v>6.0878071796180198</v>
      </c>
      <c r="AX33" s="23">
        <f t="shared" si="6"/>
        <v>18.797427842568496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144.98461538461538</v>
      </c>
      <c r="BB33" s="13">
        <f>VLOOKUP(A33,'Données projet'!$A$87:$I$107,9,0)</f>
        <v>12.971794871794875</v>
      </c>
      <c r="BC33" s="13">
        <f t="array" ref="BC33">INDEX(BB:BB,MIN(IF(ISNUMBER(BB33:BB229),ROW(BB33:BB229),"")))</f>
        <v>12.971794871794875</v>
      </c>
      <c r="BD33" s="13">
        <f>IF('Données projet'!$A$88&gt;35,BD32+BC33-BL32,IF(A33&lt;'Données projet'!$A$88,$BA$205^A33,IF(A33='Données projet'!$A$88,'Données projet'!$B$88,BD32+BC33-BL32)))</f>
        <v>144.98461538461541</v>
      </c>
      <c r="BE33" s="14">
        <f>BD33*VLOOKUP('Données projet'!$B$11,Paramètres!$A$1:$I$89,3,0)*VLOOKUP('Données projet'!$B$11,Paramètres!$A$1:$I$89,5,0)</f>
        <v>86.700800000000029</v>
      </c>
      <c r="BF33" s="14">
        <f t="shared" si="37"/>
        <v>23.767816195343574</v>
      </c>
      <c r="BG33" s="22">
        <f t="shared" si="7"/>
        <v>192.39950654022343</v>
      </c>
      <c r="BH33" s="60">
        <f t="shared" si="8"/>
        <v>485.73283987355671</v>
      </c>
      <c r="BI33" s="60">
        <f ca="1">AVERAGE(OFFSET($BH$3,0,0,'Données projet'!$E$11+1,1))-AVERAGE(OFFSET($H$3,0,0,'Données projet'!$E$11+1,1))</f>
        <v>289.12367833861299</v>
      </c>
      <c r="BJ33" s="60">
        <f t="shared" si="38"/>
        <v>229.06617320689003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4.1468350780254495</v>
      </c>
      <c r="BS33" s="24">
        <f t="shared" si="9"/>
        <v>4.1468350780254495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175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174.99999999999994</v>
      </c>
      <c r="BZ33" s="14">
        <f>BY33*VLOOKUP('Données projet'!$B$12,Paramètres!$A$1:$I$89,3,0)*VLOOKUP('Données projet'!$B$12,Paramètres!$A$1:$I$89,5,0)</f>
        <v>139.22999999999996</v>
      </c>
      <c r="CA33" s="14">
        <f t="shared" si="39"/>
        <v>36.120552727378737</v>
      </c>
      <c r="CB33" s="22">
        <f t="shared" si="10"/>
        <v>305.4022126668512</v>
      </c>
      <c r="CC33" s="60">
        <f t="shared" si="11"/>
        <v>598.73554600018451</v>
      </c>
      <c r="CD33" s="60">
        <f ca="1">AVERAGE(OFFSET($CC$3,0,0,'Données projet'!$E$12+1,1))-AVERAGE(OFFSET($H$3,0,0,'Données projet'!$E$12+1,1))</f>
        <v>312.53381881960331</v>
      </c>
      <c r="CE33" s="60">
        <f t="shared" si="40"/>
        <v>342.06887933351783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56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106.47</v>
      </c>
      <c r="CV33" s="14">
        <f t="shared" si="41"/>
        <v>28.49771681771891</v>
      </c>
      <c r="CW33" s="22">
        <f t="shared" si="13"/>
        <v>235.06877345752704</v>
      </c>
      <c r="CX33" s="60">
        <f t="shared" si="14"/>
        <v>528.40210679086033</v>
      </c>
      <c r="CY33" s="60">
        <f ca="1">AVERAGE(OFFSET($CX$3,0,0,'Données projet'!$E$13+1,1))-AVERAGE(OFFSET($H$3,0,0,'Données projet'!$E$13+1,1))</f>
        <v>475.47920969424894</v>
      </c>
      <c r="CZ33" s="60">
        <f t="shared" si="42"/>
        <v>271.73544012419364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147.25384615384615</v>
      </c>
      <c r="DM33" s="13">
        <f>VLOOKUP(A33,'Données projet'!$A$165:$I$185,9,0)</f>
        <v>4.9084615384615384</v>
      </c>
      <c r="DN33" s="13">
        <f t="array" ref="DN33">INDEX(DM:DM,MIN(IF(ISNUMBER(DM33:DM229),ROW(DM33:DM229),"")))</f>
        <v>4.9084615384615384</v>
      </c>
      <c r="DO33" s="13">
        <f>IF('Données projet'!$A$166&gt;35,DO32+DN33-DW32,IF(A33&lt;'Données projet'!$A$166,$DL$205^A33,IF(A33='Données projet'!$A$166,'Données projet'!$B$166,DO32+DN33-DW32)))</f>
        <v>147.25384615384615</v>
      </c>
      <c r="DP33" s="18">
        <f>DO33*VLOOKUP('Données projet'!$B$14,Paramètres!$A$1:$I$89,3,0)*VLOOKUP('Données projet'!$B$14,Paramètres!$A$1:$I$89,5,0)</f>
        <v>68.9148</v>
      </c>
      <c r="DQ33" s="14">
        <f t="shared" si="43"/>
        <v>19.403719594897876</v>
      </c>
      <c r="DR33" s="22">
        <f t="shared" si="16"/>
        <v>153.82142162778047</v>
      </c>
      <c r="DS33" s="60">
        <f t="shared" si="17"/>
        <v>447.15475496111378</v>
      </c>
      <c r="DT33" s="60">
        <f ca="1">AVERAGE(OFFSET($DS$3,0,0,'Données projet'!$E$14+1,1))-AVERAGE(OFFSET($H$3,0,0,'Données projet'!$E$14+1,1))</f>
        <v>284.71577701131588</v>
      </c>
      <c r="DU33" s="60">
        <f t="shared" si="44"/>
        <v>190.4880882944471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175</v>
      </c>
      <c r="EH33" s="13">
        <f>VLOOKUP(A33,'Données projet'!$A$191:$I$211,9,0)</f>
        <v>12</v>
      </c>
      <c r="EI33" s="13">
        <f t="array" ref="EI33">INDEX(EH:EH,MIN(IF(ISNUMBER(EH33:EH229),ROW(EH33:EH229),"")))</f>
        <v>12</v>
      </c>
      <c r="EJ33" s="13">
        <f>IF('Données projet'!$A$192&gt;35,EJ32+EI33-ER32,IF(A33&lt;'Données projet'!$A$192,$EG$205^A33,IF(A33='Données projet'!$A$192,'Données projet'!$B$192,EJ32+EI33-ER32)))</f>
        <v>174.99999999999994</v>
      </c>
      <c r="EK33" s="18">
        <f>EJ33*VLOOKUP('Données projet'!$B$15,Paramètres!$A$1:$I$89,3,0)*VLOOKUP('Données projet'!$B$15,Paramètres!$A$1:$I$89,5,0)</f>
        <v>128.30999999999997</v>
      </c>
      <c r="EL33" s="14">
        <f t="shared" si="45"/>
        <v>33.605553053308043</v>
      </c>
      <c r="EM33" s="22">
        <f t="shared" si="19"/>
        <v>282.00292156784479</v>
      </c>
      <c r="EN33" s="60">
        <f t="shared" si="20"/>
        <v>575.33625490117811</v>
      </c>
      <c r="EO33" s="60">
        <f ca="1">AVERAGE(OFFSET($EN$3,0,0,'Données projet'!$E$15+1,1))-AVERAGE(OFFSET($H$3,0,0,'Données projet'!$E$15+1,1))</f>
        <v>290.85271051443431</v>
      </c>
      <c r="EP33" s="60">
        <f t="shared" si="46"/>
        <v>318.66958823451142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56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0">
        <f t="shared" si="0"/>
        <v>462.55410206940076</v>
      </c>
      <c r="S34" s="60">
        <f ca="1">AVERAGE(OFFSET($R$3,0,0,'Données projet'!$E$9+1,1))-AVERAGE(OFFSET($H$3,0,0,'Données projet'!$E$9+1,1))</f>
        <v>428.8489304403459</v>
      </c>
      <c r="T34" s="60">
        <f t="shared" si="34"/>
        <v>247.01165577562966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18.100000000000001</v>
      </c>
      <c r="AI34" s="14">
        <f>IF('Données projet'!$A$62&gt;35,AI33+AH34-AQ33,IF(A34&lt;'Données projet'!$A$62,$AF$205^A34,IF(A34='Données projet'!$A$62,'Données projet'!$B$62,AI33+AH34-AQ33)))</f>
        <v>233.09230769230766</v>
      </c>
      <c r="AJ34" s="14">
        <f>AI34*VLOOKUP('Données projet'!$B$10,Paramètres!$A$1:$I$89,3,0)*VLOOKUP('Données projet'!$B$10,Paramètres!$A$1:$I$89,5,0)</f>
        <v>130.29859999999999</v>
      </c>
      <c r="AK34" s="14">
        <f t="shared" si="35"/>
        <v>34.065347809437199</v>
      </c>
      <c r="AL34" s="22">
        <f t="shared" si="4"/>
        <v>286.26720910143649</v>
      </c>
      <c r="AM34" s="60">
        <f t="shared" si="5"/>
        <v>579.60054243476975</v>
      </c>
      <c r="AN34" s="60">
        <f ca="1">AVERAGE(OFFSET($AM$3,0,0,'Données projet'!$E$10+1,1))-AVERAGE(OFFSET($H$3,0,0,'Données projet'!$E$10+1,1))</f>
        <v>323.98185264074681</v>
      </c>
      <c r="AO34" s="60">
        <f t="shared" si="36"/>
        <v>301.22207291854005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4.3748176283769658</v>
      </c>
      <c r="AV34" s="23">
        <f>EXP(-LN(2)/25)*AV33+(1-EXP(-LN(2)/25))/(LN(2)/25)*Calculateur!AQ34*Calculateur!AS34*VLOOKUP('Données projet'!$B$10,Paramètres!$A$1:$I$89,3,0)*0.475*44/12</f>
        <v>8.0217767986897215</v>
      </c>
      <c r="AW34" s="23">
        <f>EXP(-LN(2)/2)*AW33+(1-EXP(-LN(2)/2))/(LN(2)/2)*AQ34*AT34*VLOOKUP('Données projet'!$B$10,Paramètres!$A$1:$I$89,3,0)*0.475*44/12</f>
        <v>4.3047297392640527</v>
      </c>
      <c r="AX34" s="23">
        <f t="shared" si="6"/>
        <v>16.701324166330743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12.971794871794865</v>
      </c>
      <c r="BD34" s="13">
        <f>IF('Données projet'!$A$88&gt;35,BD33+BC34-BL33,IF(A34&lt;'Données projet'!$A$88,$BA$205^A34,IF(A34='Données projet'!$A$88,'Données projet'!$B$88,BD33+BC34-BL33)))</f>
        <v>157.95641025641027</v>
      </c>
      <c r="BE34" s="14">
        <f>BD34*VLOOKUP('Données projet'!$B$11,Paramètres!$A$1:$I$89,3,0)*VLOOKUP('Données projet'!$B$11,Paramètres!$A$1:$I$89,5,0)</f>
        <v>94.457933333333344</v>
      </c>
      <c r="BF34" s="14">
        <f t="shared" si="37"/>
        <v>25.637327417415943</v>
      </c>
      <c r="BG34" s="22">
        <f t="shared" si="7"/>
        <v>209.16591247422164</v>
      </c>
      <c r="BH34" s="60">
        <f t="shared" si="8"/>
        <v>502.49924580755498</v>
      </c>
      <c r="BI34" s="60">
        <f ca="1">AVERAGE(OFFSET($BH$3,0,0,'Données projet'!$E$11+1,1))-AVERAGE(OFFSET($H$3,0,0,'Données projet'!$E$11+1,1))</f>
        <v>289.12367833861299</v>
      </c>
      <c r="BJ34" s="60">
        <f t="shared" si="38"/>
        <v>229.06617320689003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2.9322552041340413</v>
      </c>
      <c r="BS34" s="24">
        <f t="shared" si="9"/>
        <v>2.9322552041340413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10.6</v>
      </c>
      <c r="BY34" s="13">
        <f>IF('Données projet'!$A$114&gt;35,BY33+BX34-CG33,IF(A34&lt;'Données projet'!$A$114,$BV$205^A34,IF(A34='Données projet'!$A$114,'Données projet'!$B$114,BY33+BX34-CG33)))</f>
        <v>129.59999999999994</v>
      </c>
      <c r="BZ34" s="14">
        <f>BY34*VLOOKUP('Données projet'!$B$12,Paramètres!$A$1:$I$89,3,0)*VLOOKUP('Données projet'!$B$12,Paramètres!$A$1:$I$89,5,0)</f>
        <v>103.10975999999997</v>
      </c>
      <c r="CA34" s="14">
        <f t="shared" si="39"/>
        <v>27.701529389122925</v>
      </c>
      <c r="CB34" s="22">
        <f t="shared" si="10"/>
        <v>227.82966235272235</v>
      </c>
      <c r="CC34" s="60">
        <f t="shared" si="11"/>
        <v>521.16299568605564</v>
      </c>
      <c r="CD34" s="60">
        <f ca="1">AVERAGE(OFFSET($CC$3,0,0,'Données projet'!$E$12+1,1))-AVERAGE(OFFSET($H$3,0,0,'Données projet'!$E$12+1,1))</f>
        <v>312.53381881960331</v>
      </c>
      <c r="CE34" s="60">
        <f t="shared" si="40"/>
        <v>342.06887933351783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85.176000000000002</v>
      </c>
      <c r="CV34" s="14">
        <f t="shared" si="41"/>
        <v>23.398088487656441</v>
      </c>
      <c r="CW34" s="22">
        <f t="shared" si="13"/>
        <v>189.09987078266829</v>
      </c>
      <c r="CX34" s="60">
        <f t="shared" si="14"/>
        <v>482.4332041160016</v>
      </c>
      <c r="CY34" s="60">
        <f ca="1">AVERAGE(OFFSET($CX$3,0,0,'Données projet'!$E$13+1,1))-AVERAGE(OFFSET($H$3,0,0,'Données projet'!$E$13+1,1))</f>
        <v>475.47920969424894</v>
      </c>
      <c r="CZ34" s="60">
        <f t="shared" si="42"/>
        <v>271.73544012419364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10.081538461538457</v>
      </c>
      <c r="DO34" s="13">
        <f>IF('Données projet'!$A$166&gt;35,DO33+DN34-DW33,IF(A34&lt;'Données projet'!$A$166,$DL$205^A34,IF(A34='Données projet'!$A$166,'Données projet'!$B$166,DO33+DN34-DW33)))</f>
        <v>157.33538461538461</v>
      </c>
      <c r="DP34" s="18">
        <f>DO34*VLOOKUP('Données projet'!$B$14,Paramètres!$A$1:$I$89,3,0)*VLOOKUP('Données projet'!$B$14,Paramètres!$A$1:$I$89,5,0)</f>
        <v>73.632959999999997</v>
      </c>
      <c r="DQ34" s="14">
        <f t="shared" si="43"/>
        <v>20.572975699225516</v>
      </c>
      <c r="DR34" s="22">
        <f t="shared" si="16"/>
        <v>164.07533800948443</v>
      </c>
      <c r="DS34" s="60">
        <f t="shared" si="17"/>
        <v>457.40867134281774</v>
      </c>
      <c r="DT34" s="60">
        <f ca="1">AVERAGE(OFFSET($DS$3,0,0,'Données projet'!$E$14+1,1))-AVERAGE(OFFSET($H$3,0,0,'Données projet'!$E$14+1,1))</f>
        <v>284.71577701131588</v>
      </c>
      <c r="DU34" s="60">
        <f t="shared" si="44"/>
        <v>190.4880882944471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10.6</v>
      </c>
      <c r="EJ34" s="13">
        <f>IF('Données projet'!$A$192&gt;35,EJ33+EI34-ER33,IF(A34&lt;'Données projet'!$A$192,$EG$205^A34,IF(A34='Données projet'!$A$192,'Données projet'!$B$192,EJ33+EI34-ER33)))</f>
        <v>129.59999999999994</v>
      </c>
      <c r="EK34" s="18">
        <f>EJ34*VLOOKUP('Données projet'!$B$15,Paramètres!$A$1:$I$89,3,0)*VLOOKUP('Données projet'!$B$15,Paramètres!$A$1:$I$89,5,0)</f>
        <v>95.022719999999964</v>
      </c>
      <c r="EL34" s="14">
        <f t="shared" si="45"/>
        <v>25.772728965975034</v>
      </c>
      <c r="EM34" s="22">
        <f t="shared" si="19"/>
        <v>210.38540694907314</v>
      </c>
      <c r="EN34" s="60">
        <f t="shared" si="20"/>
        <v>503.71874028240643</v>
      </c>
      <c r="EO34" s="60">
        <f ca="1">AVERAGE(OFFSET($EN$3,0,0,'Données projet'!$E$15+1,1))-AVERAGE(OFFSET($H$3,0,0,'Données projet'!$E$15+1,1))</f>
        <v>290.85271051443431</v>
      </c>
      <c r="EP34" s="60">
        <f t="shared" si="46"/>
        <v>318.66958823451142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0">
        <f t="shared" si="0"/>
        <v>478.24526587136597</v>
      </c>
      <c r="S35" s="60">
        <f ca="1">AVERAGE(OFFSET($R$3,0,0,'Données projet'!$E$9+1,1))-AVERAGE(OFFSET($H$3,0,0,'Données projet'!$E$9+1,1))</f>
        <v>428.8489304403459</v>
      </c>
      <c r="T35" s="60">
        <f t="shared" si="34"/>
        <v>247.01165577562966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18.100000000000001</v>
      </c>
      <c r="AI35" s="14">
        <f>IF('Données projet'!$A$62&gt;35,AI34+AH35-AQ34,IF(A35&lt;'Données projet'!$A$62,$AF$205^A35,IF(A35='Données projet'!$A$62,'Données projet'!$B$62,AI34+AH35-AQ34)))</f>
        <v>251.19230769230765</v>
      </c>
      <c r="AJ35" s="14">
        <f>AI35*VLOOKUP('Données projet'!$B$10,Paramètres!$A$1:$I$89,3,0)*VLOOKUP('Données projet'!$B$10,Paramètres!$A$1:$I$89,5,0)</f>
        <v>140.41649999999998</v>
      </c>
      <c r="AK35" s="14">
        <f t="shared" si="35"/>
        <v>36.392403294074647</v>
      </c>
      <c r="AL35" s="22">
        <f t="shared" si="4"/>
        <v>307.94217323717999</v>
      </c>
      <c r="AM35" s="60">
        <f t="shared" si="5"/>
        <v>601.27550657051324</v>
      </c>
      <c r="AN35" s="60">
        <f ca="1">AVERAGE(OFFSET($AM$3,0,0,'Données projet'!$E$10+1,1))-AVERAGE(OFFSET($H$3,0,0,'Données projet'!$E$10+1,1))</f>
        <v>323.98185264074681</v>
      </c>
      <c r="AO35" s="60">
        <f t="shared" si="36"/>
        <v>301.22207291854005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4.2890301230597663</v>
      </c>
      <c r="AV35" s="23">
        <f>EXP(-LN(2)/25)*AV34+(1-EXP(-LN(2)/25))/(LN(2)/25)*Calculateur!AQ35*Calculateur!AS35*VLOOKUP('Données projet'!$B$10,Paramètres!$A$1:$I$89,3,0)*0.475*44/12</f>
        <v>7.8024208902826429</v>
      </c>
      <c r="AW35" s="23">
        <f>EXP(-LN(2)/2)*AW34+(1-EXP(-LN(2)/2))/(LN(2)/2)*AQ35*AT35*VLOOKUP('Données projet'!$B$10,Paramètres!$A$1:$I$89,3,0)*0.475*44/12</f>
        <v>3.0439035898090103</v>
      </c>
      <c r="AX35" s="23">
        <f t="shared" si="6"/>
        <v>15.13535460315142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12.971794871794865</v>
      </c>
      <c r="BD35" s="13">
        <f>IF('Données projet'!$A$88&gt;35,BD34+BC35-BL34,IF(A35&lt;'Données projet'!$A$88,$BA$205^A35,IF(A35='Données projet'!$A$88,'Données projet'!$B$88,BD34+BC35-BL34)))</f>
        <v>170.92820512820512</v>
      </c>
      <c r="BE35" s="14">
        <f>BD35*VLOOKUP('Données projet'!$B$11,Paramètres!$A$1:$I$89,3,0)*VLOOKUP('Données projet'!$B$11,Paramètres!$A$1:$I$89,5,0)</f>
        <v>102.21506666666667</v>
      </c>
      <c r="BF35" s="14">
        <f t="shared" si="37"/>
        <v>27.489031873505194</v>
      </c>
      <c r="BG35" s="22">
        <f t="shared" si="7"/>
        <v>225.90130495746598</v>
      </c>
      <c r="BH35" s="60">
        <f t="shared" si="8"/>
        <v>519.23463829079924</v>
      </c>
      <c r="BI35" s="60">
        <f ca="1">AVERAGE(OFFSET($BH$3,0,0,'Données projet'!$E$11+1,1))-AVERAGE(OFFSET($H$3,0,0,'Données projet'!$E$11+1,1))</f>
        <v>289.12367833861299</v>
      </c>
      <c r="BJ35" s="60">
        <f t="shared" si="38"/>
        <v>229.06617320689003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2.0734175390127247</v>
      </c>
      <c r="BS35" s="24">
        <f t="shared" si="9"/>
        <v>2.0734175390127247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10.6</v>
      </c>
      <c r="BY35" s="13">
        <f>IF('Données projet'!$A$114&gt;35,BY34+BX35-CG34,IF(A35&lt;'Données projet'!$A$114,$BV$205^A35,IF(A35='Données projet'!$A$114,'Données projet'!$B$114,BY34+BX35-CG34)))</f>
        <v>140.19999999999993</v>
      </c>
      <c r="BZ35" s="14">
        <f>BY35*VLOOKUP('Données projet'!$B$12,Paramètres!$A$1:$I$89,3,0)*VLOOKUP('Données projet'!$B$12,Paramètres!$A$1:$I$89,5,0)</f>
        <v>111.54311999999996</v>
      </c>
      <c r="CA35" s="14">
        <f t="shared" si="39"/>
        <v>29.6942603807586</v>
      </c>
      <c r="CB35" s="22">
        <f t="shared" si="10"/>
        <v>245.98843749648782</v>
      </c>
      <c r="CC35" s="60">
        <f t="shared" si="11"/>
        <v>539.32177082982116</v>
      </c>
      <c r="CD35" s="60">
        <f ca="1">AVERAGE(OFFSET($CC$3,0,0,'Données projet'!$E$12+1,1))-AVERAGE(OFFSET($H$3,0,0,'Données projet'!$E$12+1,1))</f>
        <v>312.53381881960331</v>
      </c>
      <c r="CE35" s="60">
        <f t="shared" si="40"/>
        <v>342.06887933351783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93.288000000000011</v>
      </c>
      <c r="CV35" s="14">
        <f t="shared" si="41"/>
        <v>25.356547829040977</v>
      </c>
      <c r="CW35" s="22">
        <f t="shared" si="13"/>
        <v>206.63925413557971</v>
      </c>
      <c r="CX35" s="60">
        <f t="shared" si="14"/>
        <v>499.97258746891305</v>
      </c>
      <c r="CY35" s="60">
        <f ca="1">AVERAGE(OFFSET($CX$3,0,0,'Données projet'!$E$13+1,1))-AVERAGE(OFFSET($H$3,0,0,'Données projet'!$E$13+1,1))</f>
        <v>475.47920969424894</v>
      </c>
      <c r="CZ35" s="60">
        <f t="shared" si="42"/>
        <v>271.73544012419364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10.081538461538457</v>
      </c>
      <c r="DO35" s="13">
        <f>IF('Données projet'!$A$166&gt;35,DO34+DN35-DW34,IF(A35&lt;'Données projet'!$A$166,$DL$205^A35,IF(A35='Données projet'!$A$166,'Données projet'!$B$166,DO34+DN35-DW34)))</f>
        <v>167.41692307692307</v>
      </c>
      <c r="DP35" s="18">
        <f>DO35*VLOOKUP('Données projet'!$B$14,Paramètres!$A$1:$I$89,3,0)*VLOOKUP('Données projet'!$B$14,Paramètres!$A$1:$I$89,5,0)</f>
        <v>78.351119999999995</v>
      </c>
      <c r="DQ35" s="14">
        <f t="shared" si="43"/>
        <v>21.733537031938198</v>
      </c>
      <c r="DR35" s="22">
        <f t="shared" si="16"/>
        <v>174.31411099729235</v>
      </c>
      <c r="DS35" s="60">
        <f t="shared" si="17"/>
        <v>467.64744433062566</v>
      </c>
      <c r="DT35" s="60">
        <f ca="1">AVERAGE(OFFSET($DS$3,0,0,'Données projet'!$E$14+1,1))-AVERAGE(OFFSET($H$3,0,0,'Données projet'!$E$14+1,1))</f>
        <v>284.71577701131588</v>
      </c>
      <c r="DU35" s="60">
        <f t="shared" si="44"/>
        <v>190.4880882944471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10.6</v>
      </c>
      <c r="EJ35" s="13">
        <f>IF('Données projet'!$A$192&gt;35,EJ34+EI35-ER34,IF(A35&lt;'Données projet'!$A$192,$EG$205^A35,IF(A35='Données projet'!$A$192,'Données projet'!$B$192,EJ34+EI35-ER34)))</f>
        <v>140.19999999999993</v>
      </c>
      <c r="EK35" s="18">
        <f>EJ35*VLOOKUP('Données projet'!$B$15,Paramètres!$A$1:$I$89,3,0)*VLOOKUP('Données projet'!$B$15,Paramètres!$A$1:$I$89,5,0)</f>
        <v>102.79463999999994</v>
      </c>
      <c r="EL35" s="14">
        <f t="shared" si="45"/>
        <v>27.62671020390955</v>
      </c>
      <c r="EM35" s="22">
        <f t="shared" si="19"/>
        <v>227.15051827180903</v>
      </c>
      <c r="EN35" s="60">
        <f t="shared" si="20"/>
        <v>520.48385160514238</v>
      </c>
      <c r="EO35" s="60">
        <f ca="1">AVERAGE(OFFSET($EN$3,0,0,'Données projet'!$E$15+1,1))-AVERAGE(OFFSET($H$3,0,0,'Données projet'!$E$15+1,1))</f>
        <v>290.85271051443431</v>
      </c>
      <c r="EP35" s="60">
        <f t="shared" si="46"/>
        <v>318.66958823451142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0">
        <f t="shared" si="0"/>
        <v>493.9053274736159</v>
      </c>
      <c r="S36" s="60">
        <f ca="1">AVERAGE(OFFSET($R$3,0,0,'Données projet'!$E$9+1,1))-AVERAGE(OFFSET($H$3,0,0,'Données projet'!$E$9+1,1))</f>
        <v>428.8489304403459</v>
      </c>
      <c r="T36" s="60">
        <f t="shared" si="34"/>
        <v>247.01165577562966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18.100000000000001</v>
      </c>
      <c r="AI36" s="14">
        <f>IF('Données projet'!$A$62&gt;35,AI35+AH36-AQ35,IF(A36&lt;'Données projet'!$A$62,$AF$205^A36,IF(A36='Données projet'!$A$62,'Données projet'!$B$62,AI35+AH36-AQ35)))</f>
        <v>269.29230769230765</v>
      </c>
      <c r="AJ36" s="14">
        <f>AI36*VLOOKUP('Données projet'!$B$10,Paramètres!$A$1:$I$89,3,0)*VLOOKUP('Données projet'!$B$10,Paramètres!$A$1:$I$89,5,0)</f>
        <v>150.53439999999998</v>
      </c>
      <c r="AK36" s="14">
        <f t="shared" si="35"/>
        <v>38.700004790658191</v>
      </c>
      <c r="AL36" s="22">
        <f t="shared" si="4"/>
        <v>329.58325501039627</v>
      </c>
      <c r="AM36" s="60">
        <f t="shared" si="5"/>
        <v>622.91658834372959</v>
      </c>
      <c r="AN36" s="60">
        <f ca="1">AVERAGE(OFFSET($AM$3,0,0,'Données projet'!$E$10+1,1))-AVERAGE(OFFSET($H$3,0,0,'Données projet'!$E$10+1,1))</f>
        <v>323.98185264074681</v>
      </c>
      <c r="AO36" s="60">
        <f t="shared" si="36"/>
        <v>301.22207291854005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4.2049248583966259</v>
      </c>
      <c r="AV36" s="23">
        <f>EXP(-LN(2)/25)*AV35+(1-EXP(-LN(2)/25))/(LN(2)/25)*Calculateur!AQ36*Calculateur!AS36*VLOOKUP('Données projet'!$B$10,Paramètres!$A$1:$I$89,3,0)*0.475*44/12</f>
        <v>7.589063280726382</v>
      </c>
      <c r="AW36" s="23">
        <f>EXP(-LN(2)/2)*AW35+(1-EXP(-LN(2)/2))/(LN(2)/2)*AQ36*AT36*VLOOKUP('Données projet'!$B$10,Paramètres!$A$1:$I$89,3,0)*0.475*44/12</f>
        <v>2.1523648696320263</v>
      </c>
      <c r="AX36" s="23">
        <f t="shared" si="6"/>
        <v>13.946353008755036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>
        <f>VLOOKUP(A36,'Données projet'!$A$87:$I$107,2,0)</f>
        <v>183.89999999999998</v>
      </c>
      <c r="BB36" s="13">
        <f>VLOOKUP(A36,'Données projet'!$A$87:$I$107,9,0)</f>
        <v>12.971794871794865</v>
      </c>
      <c r="BC36" s="13">
        <f t="array" ref="BC36">INDEX(BB:BB,MIN(IF(ISNUMBER(BB36:BB232),ROW(BB36:BB232),"")))</f>
        <v>12.971794871794865</v>
      </c>
      <c r="BD36" s="13">
        <f>IF('Données projet'!$A$88&gt;35,BD35+BC36-BL35,IF(A36&lt;'Données projet'!$A$88,$BA$205^A36,IF(A36='Données projet'!$A$88,'Données projet'!$B$88,BD35+BC36-BL35)))</f>
        <v>183.89999999999998</v>
      </c>
      <c r="BE36" s="14">
        <f>BD36*VLOOKUP('Données projet'!$B$11,Paramètres!$A$1:$I$89,3,0)*VLOOKUP('Données projet'!$B$11,Paramètres!$A$1:$I$89,5,0)</f>
        <v>109.9722</v>
      </c>
      <c r="BF36" s="14">
        <f t="shared" si="37"/>
        <v>29.324434579377328</v>
      </c>
      <c r="BG36" s="22">
        <f t="shared" si="7"/>
        <v>242.60830522574884</v>
      </c>
      <c r="BH36" s="60">
        <f t="shared" si="8"/>
        <v>535.94163855908209</v>
      </c>
      <c r="BI36" s="60">
        <f ca="1">AVERAGE(OFFSET($BH$3,0,0,'Données projet'!$E$11+1,1))-AVERAGE(OFFSET($H$3,0,0,'Données projet'!$E$11+1,1))</f>
        <v>289.12367833861299</v>
      </c>
      <c r="BJ36" s="60">
        <f t="shared" si="38"/>
        <v>229.06617320689003</v>
      </c>
      <c r="BK36" s="16">
        <f>IF(ISNA(VLOOKUP(A36,'Données projet'!$A$87:$I$107,3,0)),0,VLOOKUP(A36,'Données projet'!$A$87:$I$107,3,0))</f>
        <v>3</v>
      </c>
      <c r="BL36" s="16">
        <f>IF(ISNA(VLOOKUP(A36,'Données projet'!$A$87:$I$107,4,0)),0,VLOOKUP(A36,'Données projet'!$A$87:$I$107,4,0))</f>
        <v>43.007692307692302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1.4661276020670206</v>
      </c>
      <c r="BS36" s="24">
        <f t="shared" si="9"/>
        <v>1.4661276020670206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10.6</v>
      </c>
      <c r="BY36" s="13">
        <f>IF('Données projet'!$A$114&gt;35,BY35+BX36-CG35,IF(A36&lt;'Données projet'!$A$114,$BV$205^A36,IF(A36='Données projet'!$A$114,'Données projet'!$B$114,BY35+BX36-CG35)))</f>
        <v>150.79999999999993</v>
      </c>
      <c r="BZ36" s="14">
        <f>BY36*VLOOKUP('Données projet'!$B$12,Paramètres!$A$1:$I$89,3,0)*VLOOKUP('Données projet'!$B$12,Paramètres!$A$1:$I$89,5,0)</f>
        <v>119.97647999999994</v>
      </c>
      <c r="CA36" s="14">
        <f t="shared" si="39"/>
        <v>31.669513577784763</v>
      </c>
      <c r="CB36" s="22">
        <f t="shared" si="10"/>
        <v>264.11677214797504</v>
      </c>
      <c r="CC36" s="60">
        <f t="shared" si="11"/>
        <v>557.45010548130836</v>
      </c>
      <c r="CD36" s="60">
        <f ca="1">AVERAGE(OFFSET($CC$3,0,0,'Données projet'!$E$12+1,1))-AVERAGE(OFFSET($H$3,0,0,'Données projet'!$E$12+1,1))</f>
        <v>312.53381881960331</v>
      </c>
      <c r="CE36" s="60">
        <f t="shared" si="40"/>
        <v>342.06887933351783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101.4</v>
      </c>
      <c r="CV36" s="14">
        <f t="shared" si="41"/>
        <v>27.295257887453797</v>
      </c>
      <c r="CW36" s="22">
        <f t="shared" si="13"/>
        <v>224.14424082064872</v>
      </c>
      <c r="CX36" s="60">
        <f t="shared" si="14"/>
        <v>517.477574153982</v>
      </c>
      <c r="CY36" s="60">
        <f ca="1">AVERAGE(OFFSET($CX$3,0,0,'Données projet'!$E$13+1,1))-AVERAGE(OFFSET($H$3,0,0,'Données projet'!$E$13+1,1))</f>
        <v>475.47920969424894</v>
      </c>
      <c r="CZ36" s="60">
        <f t="shared" si="42"/>
        <v>271.73544012419364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10.081538461538457</v>
      </c>
      <c r="DO36" s="13">
        <f>IF('Données projet'!$A$166&gt;35,DO35+DN36-DW35,IF(A36&lt;'Données projet'!$A$166,$DL$205^A36,IF(A36='Données projet'!$A$166,'Données projet'!$B$166,DO35+DN36-DW35)))</f>
        <v>177.49846153846153</v>
      </c>
      <c r="DP36" s="18">
        <f>DO36*VLOOKUP('Données projet'!$B$14,Paramètres!$A$1:$I$89,3,0)*VLOOKUP('Données projet'!$B$14,Paramètres!$A$1:$I$89,5,0)</f>
        <v>83.069279999999992</v>
      </c>
      <c r="DQ36" s="14">
        <f t="shared" si="43"/>
        <v>22.885986803211591</v>
      </c>
      <c r="DR36" s="22">
        <f t="shared" si="16"/>
        <v>184.53875634892685</v>
      </c>
      <c r="DS36" s="60">
        <f t="shared" si="17"/>
        <v>477.87208968226014</v>
      </c>
      <c r="DT36" s="60">
        <f ca="1">AVERAGE(OFFSET($DS$3,0,0,'Données projet'!$E$14+1,1))-AVERAGE(OFFSET($H$3,0,0,'Données projet'!$E$14+1,1))</f>
        <v>284.71577701131588</v>
      </c>
      <c r="DU36" s="60">
        <f t="shared" si="44"/>
        <v>190.4880882944471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10.6</v>
      </c>
      <c r="EJ36" s="13">
        <f>IF('Données projet'!$A$192&gt;35,EJ35+EI36-ER35,IF(A36&lt;'Données projet'!$A$192,$EG$205^A36,IF(A36='Données projet'!$A$192,'Données projet'!$B$192,EJ35+EI36-ER35)))</f>
        <v>150.79999999999993</v>
      </c>
      <c r="EK36" s="18">
        <f>EJ36*VLOOKUP('Données projet'!$B$15,Paramètres!$A$1:$I$89,3,0)*VLOOKUP('Données projet'!$B$15,Paramètres!$A$1:$I$89,5,0)</f>
        <v>110.56655999999994</v>
      </c>
      <c r="EL36" s="14">
        <f t="shared" si="45"/>
        <v>29.464430590067003</v>
      </c>
      <c r="EM36" s="22">
        <f t="shared" si="19"/>
        <v>243.88730861103326</v>
      </c>
      <c r="EN36" s="60">
        <f t="shared" si="20"/>
        <v>537.22064194436655</v>
      </c>
      <c r="EO36" s="60">
        <f ca="1">AVERAGE(OFFSET($EN$3,0,0,'Données projet'!$E$15+1,1))-AVERAGE(OFFSET($H$3,0,0,'Données projet'!$E$15+1,1))</f>
        <v>290.85271051443431</v>
      </c>
      <c r="EP36" s="60">
        <f t="shared" si="46"/>
        <v>318.66958823451142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0">
        <f t="shared" si="0"/>
        <v>509.537057935093</v>
      </c>
      <c r="S37" s="60">
        <f ca="1">AVERAGE(OFFSET($R$3,0,0,'Données projet'!$E$9+1,1))-AVERAGE(OFFSET($H$3,0,0,'Données projet'!$E$9+1,1))</f>
        <v>428.8489304403459</v>
      </c>
      <c r="T37" s="60">
        <f t="shared" si="34"/>
        <v>247.01165577562966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18.100000000000001</v>
      </c>
      <c r="AI37" s="14">
        <f>IF('Données projet'!$A$62&gt;35,AI36+AH37-AQ36,IF(A37&lt;'Données projet'!$A$62,$AF$205^A37,IF(A37='Données projet'!$A$62,'Données projet'!$B$62,AI36+AH37-AQ36)))</f>
        <v>287.39230769230767</v>
      </c>
      <c r="AJ37" s="14">
        <f>AI37*VLOOKUP('Données projet'!$B$10,Paramètres!$A$1:$I$89,3,0)*VLOOKUP('Données projet'!$B$10,Paramètres!$A$1:$I$89,5,0)</f>
        <v>160.6523</v>
      </c>
      <c r="AK37" s="14">
        <f t="shared" si="35"/>
        <v>40.989608635643826</v>
      </c>
      <c r="AL37" s="22">
        <f t="shared" si="4"/>
        <v>351.19299087374634</v>
      </c>
      <c r="AM37" s="60">
        <f t="shared" si="5"/>
        <v>644.5263242070796</v>
      </c>
      <c r="AN37" s="60">
        <f ca="1">AVERAGE(OFFSET($AM$3,0,0,'Données projet'!$E$10+1,1))-AVERAGE(OFFSET($H$3,0,0,'Données projet'!$E$10+1,1))</f>
        <v>323.98185264074681</v>
      </c>
      <c r="AO37" s="60">
        <f t="shared" si="36"/>
        <v>301.22207291854005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4.1224688466743835</v>
      </c>
      <c r="AV37" s="23">
        <f>EXP(-LN(2)/25)*AV36+(1-EXP(-LN(2)/25))/(LN(2)/25)*Calculateur!AQ37*Calculateur!AS37*VLOOKUP('Données projet'!$B$10,Paramètres!$A$1:$I$89,3,0)*0.475*44/12</f>
        <v>7.3815399462234259</v>
      </c>
      <c r="AW37" s="23">
        <f>EXP(-LN(2)/2)*AW36+(1-EXP(-LN(2)/2))/(LN(2)/2)*AQ37*AT37*VLOOKUP('Données projet'!$B$10,Paramètres!$A$1:$I$89,3,0)*0.475*44/12</f>
        <v>1.5219517949045052</v>
      </c>
      <c r="AX37" s="23">
        <f t="shared" si="6"/>
        <v>13.025960587802315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12.74038461538462</v>
      </c>
      <c r="BD37" s="13">
        <f>IF('Données projet'!$A$88&gt;35,BD36+BC37-BL36,IF(A37&lt;'Données projet'!$A$88,$BA$205^A37,IF(A37='Données projet'!$A$88,'Données projet'!$B$88,BD36+BC37-BL36)))</f>
        <v>153.63269230769228</v>
      </c>
      <c r="BE37" s="14">
        <f>BD37*VLOOKUP('Données projet'!$B$11,Paramètres!$A$1:$I$89,3,0)*VLOOKUP('Données projet'!$B$11,Paramètres!$A$1:$I$89,5,0)</f>
        <v>91.872349999999997</v>
      </c>
      <c r="BF37" s="14">
        <f t="shared" si="37"/>
        <v>25.016248165039102</v>
      </c>
      <c r="BG37" s="22">
        <f t="shared" si="7"/>
        <v>203.58097513744312</v>
      </c>
      <c r="BH37" s="60">
        <f t="shared" si="8"/>
        <v>496.9143084707764</v>
      </c>
      <c r="BI37" s="60">
        <f ca="1">AVERAGE(OFFSET($BH$3,0,0,'Données projet'!$E$11+1,1))-AVERAGE(OFFSET($H$3,0,0,'Données projet'!$E$11+1,1))</f>
        <v>289.12367833861299</v>
      </c>
      <c r="BJ37" s="60">
        <f t="shared" si="38"/>
        <v>229.06617320689003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1.0367087695063624</v>
      </c>
      <c r="BS37" s="24">
        <f t="shared" si="9"/>
        <v>1.0367087695063624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10.6</v>
      </c>
      <c r="BY37" s="13">
        <f>IF('Données projet'!$A$114&gt;35,BY36+BX37-CG36,IF(A37&lt;'Données projet'!$A$114,$BV$205^A37,IF(A37='Données projet'!$A$114,'Données projet'!$B$114,BY36+BX37-CG36)))</f>
        <v>161.39999999999992</v>
      </c>
      <c r="BZ37" s="14">
        <f>BY37*VLOOKUP('Données projet'!$B$12,Paramètres!$A$1:$I$89,3,0)*VLOOKUP('Données projet'!$B$12,Paramètres!$A$1:$I$89,5,0)</f>
        <v>128.40983999999995</v>
      </c>
      <c r="CA37" s="14">
        <f t="shared" si="39"/>
        <v>33.62865726522088</v>
      </c>
      <c r="CB37" s="22">
        <f t="shared" si="10"/>
        <v>282.21704940359291</v>
      </c>
      <c r="CC37" s="60">
        <f t="shared" si="11"/>
        <v>575.55038273692617</v>
      </c>
      <c r="CD37" s="60">
        <f ca="1">AVERAGE(OFFSET($CC$3,0,0,'Données projet'!$E$12+1,1))-AVERAGE(OFFSET($H$3,0,0,'Données projet'!$E$12+1,1))</f>
        <v>312.53381881960331</v>
      </c>
      <c r="CE37" s="60">
        <f t="shared" si="40"/>
        <v>342.06887933351783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109.51200000000001</v>
      </c>
      <c r="CV37" s="14">
        <f t="shared" si="41"/>
        <v>29.215978230632555</v>
      </c>
      <c r="CW37" s="22">
        <f t="shared" si="13"/>
        <v>241.61789541835174</v>
      </c>
      <c r="CX37" s="60">
        <f t="shared" si="14"/>
        <v>534.95122875168499</v>
      </c>
      <c r="CY37" s="60">
        <f ca="1">AVERAGE(OFFSET($CX$3,0,0,'Données projet'!$E$13+1,1))-AVERAGE(OFFSET($H$3,0,0,'Données projet'!$E$13+1,1))</f>
        <v>475.47920969424894</v>
      </c>
      <c r="CZ37" s="60">
        <f t="shared" si="42"/>
        <v>271.73544012419364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10.081538461538457</v>
      </c>
      <c r="DO37" s="13">
        <f>IF('Données projet'!$A$166&gt;35,DO36+DN37-DW36,IF(A37&lt;'Données projet'!$A$166,$DL$205^A37,IF(A37='Données projet'!$A$166,'Données projet'!$B$166,DO36+DN37-DW36)))</f>
        <v>187.57999999999998</v>
      </c>
      <c r="DP37" s="18">
        <f>DO37*VLOOKUP('Données projet'!$B$14,Paramètres!$A$1:$I$89,3,0)*VLOOKUP('Données projet'!$B$14,Paramètres!$A$1:$I$89,5,0)</f>
        <v>87.787439999999989</v>
      </c>
      <c r="DQ37" s="14">
        <f t="shared" si="43"/>
        <v>24.030838231069868</v>
      </c>
      <c r="DR37" s="22">
        <f t="shared" si="16"/>
        <v>194.75016791911332</v>
      </c>
      <c r="DS37" s="60">
        <f t="shared" si="17"/>
        <v>488.08350125244664</v>
      </c>
      <c r="DT37" s="60">
        <f ca="1">AVERAGE(OFFSET($DS$3,0,0,'Données projet'!$E$14+1,1))-AVERAGE(OFFSET($H$3,0,0,'Données projet'!$E$14+1,1))</f>
        <v>284.71577701131588</v>
      </c>
      <c r="DU37" s="60">
        <f t="shared" si="44"/>
        <v>190.4880882944471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10.6</v>
      </c>
      <c r="EJ37" s="13">
        <f>IF('Données projet'!$A$192&gt;35,EJ36+EI37-ER36,IF(A37&lt;'Données projet'!$A$192,$EG$205^A37,IF(A37='Données projet'!$A$192,'Données projet'!$B$192,EJ36+EI37-ER36)))</f>
        <v>161.39999999999992</v>
      </c>
      <c r="EK37" s="18">
        <f>EJ37*VLOOKUP('Données projet'!$B$15,Paramètres!$A$1:$I$89,3,0)*VLOOKUP('Données projet'!$B$15,Paramètres!$A$1:$I$89,5,0)</f>
        <v>118.33847999999995</v>
      </c>
      <c r="EL37" s="14">
        <f t="shared" si="45"/>
        <v>31.287163138599794</v>
      </c>
      <c r="EM37" s="22">
        <f t="shared" si="19"/>
        <v>260.59799513306115</v>
      </c>
      <c r="EN37" s="60">
        <f t="shared" si="20"/>
        <v>553.93132846639446</v>
      </c>
      <c r="EO37" s="60">
        <f ca="1">AVERAGE(OFFSET($EN$3,0,0,'Données projet'!$E$15+1,1))-AVERAGE(OFFSET($H$3,0,0,'Données projet'!$E$15+1,1))</f>
        <v>290.85271051443431</v>
      </c>
      <c r="EP37" s="60">
        <f t="shared" si="46"/>
        <v>318.66958823451142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0">
        <f t="shared" si="0"/>
        <v>525.14279449916307</v>
      </c>
      <c r="S38" s="60">
        <f ca="1">AVERAGE(OFFSET($R$3,0,0,'Données projet'!$E$9+1,1))-AVERAGE(OFFSET($H$3,0,0,'Données projet'!$E$9+1,1))</f>
        <v>428.8489304403459</v>
      </c>
      <c r="T38" s="60">
        <f t="shared" si="34"/>
        <v>247.01165577562966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305.49230769230769</v>
      </c>
      <c r="AG38" s="13">
        <f>VLOOKUP(A38,'Données projet'!$A$61:$I$81,9,0)</f>
        <v>18.100000000000001</v>
      </c>
      <c r="AH38" s="13">
        <f t="array" ref="AH38">INDEX(AG:AG,MIN(IF(ISNUMBER(AG38:AG234),ROW(AG38:AG234),"")))</f>
        <v>18.100000000000001</v>
      </c>
      <c r="AI38" s="14">
        <f>IF('Données projet'!$A$62&gt;35,AI37+AH38-AQ37,IF(A38&lt;'Données projet'!$A$62,$AF$205^A38,IF(A38='Données projet'!$A$62,'Données projet'!$B$62,AI37+AH38-AQ37)))</f>
        <v>305.49230769230769</v>
      </c>
      <c r="AJ38" s="14">
        <f>AI38*VLOOKUP('Données projet'!$B$10,Paramètres!$A$1:$I$89,3,0)*VLOOKUP('Données projet'!$B$10,Paramètres!$A$1:$I$89,5,0)</f>
        <v>170.77019999999999</v>
      </c>
      <c r="AK38" s="14">
        <f t="shared" si="35"/>
        <v>43.26247735598961</v>
      </c>
      <c r="AL38" s="22">
        <f t="shared" si="4"/>
        <v>372.77357972834852</v>
      </c>
      <c r="AM38" s="60">
        <f t="shared" si="5"/>
        <v>666.10691306168178</v>
      </c>
      <c r="AN38" s="60">
        <f ca="1">AVERAGE(OFFSET($AM$3,0,0,'Données projet'!$E$10+1,1))-AVERAGE(OFFSET($H$3,0,0,'Données projet'!$E$10+1,1))</f>
        <v>323.98185264074681</v>
      </c>
      <c r="AO38" s="60">
        <f t="shared" si="36"/>
        <v>301.22207291854005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70.5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4.0416297470488134</v>
      </c>
      <c r="AV38" s="23">
        <f>EXP(-LN(2)/25)*AV37+(1-EXP(-LN(2)/25))/(LN(2)/25)*Calculateur!AQ38*Calculateur!AS38*VLOOKUP('Données projet'!$B$10,Paramètres!$A$1:$I$89,3,0)*0.475*44/12</f>
        <v>7.1796913482156315</v>
      </c>
      <c r="AW38" s="23">
        <f>EXP(-LN(2)/2)*AW37+(1-EXP(-LN(2)/2))/(LN(2)/2)*AQ38*AT38*VLOOKUP('Données projet'!$B$10,Paramètres!$A$1:$I$89,3,0)*0.475*44/12</f>
        <v>1.0761824348160132</v>
      </c>
      <c r="AX38" s="23">
        <f t="shared" si="6"/>
        <v>12.297503530080458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12.74038461538462</v>
      </c>
      <c r="BD38" s="13">
        <f>IF('Données projet'!$A$88&gt;35,BD37+BC38-BL37,IF(A38&lt;'Données projet'!$A$88,$BA$205^A38,IF(A38='Données projet'!$A$88,'Données projet'!$B$88,BD37+BC38-BL37)))</f>
        <v>166.37307692307689</v>
      </c>
      <c r="BE38" s="14">
        <f>BD38*VLOOKUP('Données projet'!$B$11,Paramètres!$A$1:$I$89,3,0)*VLOOKUP('Données projet'!$B$11,Paramètres!$A$1:$I$89,5,0)</f>
        <v>99.491099999999989</v>
      </c>
      <c r="BF38" s="14">
        <f t="shared" si="37"/>
        <v>26.84072316435665</v>
      </c>
      <c r="BG38" s="22">
        <f t="shared" si="7"/>
        <v>220.02792534458783</v>
      </c>
      <c r="BH38" s="60">
        <f t="shared" si="8"/>
        <v>513.36125867792111</v>
      </c>
      <c r="BI38" s="60">
        <f ca="1">AVERAGE(OFFSET($BH$3,0,0,'Données projet'!$E$11+1,1))-AVERAGE(OFFSET($H$3,0,0,'Données projet'!$E$11+1,1))</f>
        <v>289.12367833861299</v>
      </c>
      <c r="BJ38" s="60">
        <f t="shared" si="38"/>
        <v>229.06617320689003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0.73306380103351032</v>
      </c>
      <c r="BS38" s="24">
        <f t="shared" si="9"/>
        <v>0.73306380103351032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172</v>
      </c>
      <c r="BW38" s="13">
        <f>VLOOKUP(A38,'Données projet'!$A$113:$I$133,9,0)</f>
        <v>10.6</v>
      </c>
      <c r="BX38" s="13">
        <f t="array" ref="BX38">INDEX(BW:BW,MIN(IF(ISNUMBER(BW38:BW234),ROW(BW38:BW234),"")))</f>
        <v>10.6</v>
      </c>
      <c r="BY38" s="13">
        <f>IF('Données projet'!$A$114&gt;35,BY37+BX38-CG37,IF(A38&lt;'Données projet'!$A$114,$BV$205^A38,IF(A38='Données projet'!$A$114,'Données projet'!$B$114,BY37+BX38-CG37)))</f>
        <v>171.99999999999991</v>
      </c>
      <c r="BZ38" s="14">
        <f>BY38*VLOOKUP('Données projet'!$B$12,Paramètres!$A$1:$I$89,3,0)*VLOOKUP('Données projet'!$B$12,Paramètres!$A$1:$I$89,5,0)</f>
        <v>136.84319999999994</v>
      </c>
      <c r="CA38" s="14">
        <f t="shared" si="39"/>
        <v>35.572869837729613</v>
      </c>
      <c r="CB38" s="22">
        <f t="shared" si="10"/>
        <v>300.29132163404557</v>
      </c>
      <c r="CC38" s="60">
        <f t="shared" si="11"/>
        <v>593.62465496737889</v>
      </c>
      <c r="CD38" s="60">
        <f ca="1">AVERAGE(OFFSET($CC$3,0,0,'Données projet'!$E$12+1,1))-AVERAGE(OFFSET($H$3,0,0,'Données projet'!$E$12+1,1))</f>
        <v>312.53381881960331</v>
      </c>
      <c r="CE38" s="60">
        <f t="shared" si="40"/>
        <v>342.06887933351783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117.62400000000001</v>
      </c>
      <c r="CV38" s="14">
        <f t="shared" si="41"/>
        <v>31.120192961985413</v>
      </c>
      <c r="CW38" s="22">
        <f t="shared" si="13"/>
        <v>259.06280274212457</v>
      </c>
      <c r="CX38" s="60">
        <f t="shared" si="14"/>
        <v>552.39613607545789</v>
      </c>
      <c r="CY38" s="60">
        <f ca="1">AVERAGE(OFFSET($CX$3,0,0,'Données projet'!$E$13+1,1))-AVERAGE(OFFSET($H$3,0,0,'Données projet'!$E$13+1,1))</f>
        <v>475.47920969424894</v>
      </c>
      <c r="CZ38" s="60">
        <f t="shared" si="42"/>
        <v>271.73544012419364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197.66153846153844</v>
      </c>
      <c r="DM38" s="13">
        <f>VLOOKUP(A38,'Données projet'!$A$165:$I$185,9,0)</f>
        <v>10.081538461538457</v>
      </c>
      <c r="DN38" s="13">
        <f t="array" ref="DN38">INDEX(DM:DM,MIN(IF(ISNUMBER(DM38:DM234),ROW(DM38:DM234),"")))</f>
        <v>10.081538461538457</v>
      </c>
      <c r="DO38" s="13">
        <f>IF('Données projet'!$A$166&gt;35,DO37+DN38-DW37,IF(A38&lt;'Données projet'!$A$166,$DL$205^A38,IF(A38='Données projet'!$A$166,'Données projet'!$B$166,DO37+DN38-DW37)))</f>
        <v>197.66153846153844</v>
      </c>
      <c r="DP38" s="18">
        <f>DO38*VLOOKUP('Données projet'!$B$14,Paramètres!$A$1:$I$89,3,0)*VLOOKUP('Données projet'!$B$14,Paramètres!$A$1:$I$89,5,0)</f>
        <v>92.505599999999987</v>
      </c>
      <c r="DQ38" s="14">
        <f t="shared" si="43"/>
        <v>25.16854625177049</v>
      </c>
      <c r="DR38" s="22">
        <f t="shared" si="16"/>
        <v>204.94913805516691</v>
      </c>
      <c r="DS38" s="60">
        <f t="shared" si="17"/>
        <v>498.2824713885002</v>
      </c>
      <c r="DT38" s="60">
        <f ca="1">AVERAGE(OFFSET($DS$3,0,0,'Données projet'!$E$14+1,1))-AVERAGE(OFFSET($H$3,0,0,'Données projet'!$E$14+1,1))</f>
        <v>284.71577701131588</v>
      </c>
      <c r="DU38" s="60">
        <f t="shared" si="44"/>
        <v>190.4880882944471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172</v>
      </c>
      <c r="EH38" s="13">
        <f>VLOOKUP(A38,'Données projet'!$A$191:$I$211,9,0)</f>
        <v>10.6</v>
      </c>
      <c r="EI38" s="13">
        <f t="array" ref="EI38">INDEX(EH:EH,MIN(IF(ISNUMBER(EH38:EH234),ROW(EH38:EH234),"")))</f>
        <v>10.6</v>
      </c>
      <c r="EJ38" s="13">
        <f>IF('Données projet'!$A$192&gt;35,EJ37+EI38-ER37,IF(A38&lt;'Données projet'!$A$192,$EG$205^A38,IF(A38='Données projet'!$A$192,'Données projet'!$B$192,EJ37+EI38-ER37)))</f>
        <v>171.99999999999991</v>
      </c>
      <c r="EK38" s="18">
        <f>EJ38*VLOOKUP('Données projet'!$B$15,Paramètres!$A$1:$I$89,3,0)*VLOOKUP('Données projet'!$B$15,Paramètres!$A$1:$I$89,5,0)</f>
        <v>126.11039999999994</v>
      </c>
      <c r="EL38" s="14">
        <f t="shared" si="45"/>
        <v>33.096004194977844</v>
      </c>
      <c r="EM38" s="22">
        <f t="shared" si="19"/>
        <v>277.28448730625297</v>
      </c>
      <c r="EN38" s="60">
        <f t="shared" si="20"/>
        <v>570.61782063958628</v>
      </c>
      <c r="EO38" s="60">
        <f ca="1">AVERAGE(OFFSET($EN$3,0,0,'Données projet'!$E$15+1,1))-AVERAGE(OFFSET($H$3,0,0,'Données projet'!$E$15+1,1))</f>
        <v>290.85271051443431</v>
      </c>
      <c r="EP38" s="60">
        <f t="shared" si="46"/>
        <v>318.66958823451142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0">
        <f t="shared" si="0"/>
        <v>541.50302276112825</v>
      </c>
      <c r="S39" s="60">
        <f ca="1">AVERAGE(OFFSET($R$3,0,0,'Données projet'!$E$9+1,1))-AVERAGE(OFFSET($H$3,0,0,'Données projet'!$E$9+1,1))</f>
        <v>428.8489304403459</v>
      </c>
      <c r="T39" s="60">
        <f t="shared" si="34"/>
        <v>247.01165577562966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18.229670329670324</v>
      </c>
      <c r="AI39" s="14">
        <f>IF('Données projet'!$A$62&gt;35,AI38+AH39-AQ38,IF(A39&lt;'Données projet'!$A$62,$AF$205^A39,IF(A39='Données projet'!$A$62,'Données projet'!$B$62,AI38+AH39-AQ38)))</f>
        <v>253.22197802197803</v>
      </c>
      <c r="AJ39" s="14">
        <f>AI39*VLOOKUP('Données projet'!$B$10,Paramètres!$A$1:$I$89,3,0)*VLOOKUP('Données projet'!$B$10,Paramètres!$A$1:$I$89,5,0)</f>
        <v>141.55108571428573</v>
      </c>
      <c r="AK39" s="14">
        <f t="shared" si="35"/>
        <v>36.652109269178766</v>
      </c>
      <c r="AL39" s="22">
        <f t="shared" si="4"/>
        <v>310.37056459620067</v>
      </c>
      <c r="AM39" s="60">
        <f t="shared" si="5"/>
        <v>603.70389792953392</v>
      </c>
      <c r="AN39" s="60">
        <f ca="1">AVERAGE(OFFSET($AM$3,0,0,'Données projet'!$E$10+1,1))-AVERAGE(OFFSET($H$3,0,0,'Données projet'!$E$10+1,1))</f>
        <v>323.98185264074681</v>
      </c>
      <c r="AO39" s="60">
        <f t="shared" si="36"/>
        <v>301.22207291854005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3.9623758528599184</v>
      </c>
      <c r="AV39" s="23">
        <f>EXP(-LN(2)/25)*AV38+(1-EXP(-LN(2)/25))/(LN(2)/25)*Calculateur!AQ39*Calculateur!AS39*VLOOKUP('Données projet'!$B$10,Paramètres!$A$1:$I$89,3,0)*0.475*44/12</f>
        <v>6.9833623107351164</v>
      </c>
      <c r="AW39" s="23">
        <f>EXP(-LN(2)/2)*AW38+(1-EXP(-LN(2)/2))/(LN(2)/2)*AQ39*AT39*VLOOKUP('Données projet'!$B$10,Paramètres!$A$1:$I$89,3,0)*0.475*44/12</f>
        <v>0.76097589745225258</v>
      </c>
      <c r="AX39" s="23">
        <f t="shared" si="6"/>
        <v>11.706714061047288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12.74038461538462</v>
      </c>
      <c r="BD39" s="13">
        <f>IF('Données projet'!$A$88&gt;35,BD38+BC39-BL38,IF(A39&lt;'Données projet'!$A$88,$BA$205^A39,IF(A39='Données projet'!$A$88,'Données projet'!$B$88,BD38+BC39-BL38)))</f>
        <v>179.11346153846151</v>
      </c>
      <c r="BE39" s="14">
        <f>BD39*VLOOKUP('Données projet'!$B$11,Paramètres!$A$1:$I$89,3,0)*VLOOKUP('Données projet'!$B$11,Paramètres!$A$1:$I$89,5,0)</f>
        <v>107.10984999999999</v>
      </c>
      <c r="BF39" s="14">
        <f t="shared" si="37"/>
        <v>28.648991101707331</v>
      </c>
      <c r="BG39" s="22">
        <f t="shared" si="7"/>
        <v>236.44664825214025</v>
      </c>
      <c r="BH39" s="60">
        <f t="shared" si="8"/>
        <v>529.77998158547359</v>
      </c>
      <c r="BI39" s="60">
        <f ca="1">AVERAGE(OFFSET($BH$3,0,0,'Données projet'!$E$11+1,1))-AVERAGE(OFFSET($H$3,0,0,'Données projet'!$E$11+1,1))</f>
        <v>289.12367833861299</v>
      </c>
      <c r="BJ39" s="60">
        <f t="shared" si="38"/>
        <v>229.06617320689003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0.51835438475318119</v>
      </c>
      <c r="BS39" s="24">
        <f t="shared" si="9"/>
        <v>0.51835438475318119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9.6</v>
      </c>
      <c r="BY39" s="13">
        <f>IF('Données projet'!$A$114&gt;35,BY38+BX39-CG38,IF(A39&lt;'Données projet'!$A$114,$BV$205^A39,IF(A39='Données projet'!$A$114,'Données projet'!$B$114,BY38+BX39-CG38)))</f>
        <v>181.59999999999991</v>
      </c>
      <c r="BZ39" s="14">
        <f>BY39*VLOOKUP('Données projet'!$B$12,Paramètres!$A$1:$I$89,3,0)*VLOOKUP('Données projet'!$B$12,Paramètres!$A$1:$I$89,5,0)</f>
        <v>144.48095999999993</v>
      </c>
      <c r="CA39" s="14">
        <f t="shared" si="39"/>
        <v>37.321640695251794</v>
      </c>
      <c r="CB39" s="22">
        <f t="shared" si="10"/>
        <v>316.63952954423013</v>
      </c>
      <c r="CC39" s="60">
        <f t="shared" si="11"/>
        <v>609.97286287756344</v>
      </c>
      <c r="CD39" s="60">
        <f ca="1">AVERAGE(OFFSET($CC$3,0,0,'Données projet'!$E$12+1,1))-AVERAGE(OFFSET($H$3,0,0,'Données projet'!$E$12+1,1))</f>
        <v>312.53381881960331</v>
      </c>
      <c r="CE39" s="60">
        <f t="shared" si="40"/>
        <v>342.06887933351783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126.1416</v>
      </c>
      <c r="CV39" s="14">
        <f t="shared" si="41"/>
        <v>33.10323903126482</v>
      </c>
      <c r="CW39" s="22">
        <f t="shared" si="13"/>
        <v>277.35142797945286</v>
      </c>
      <c r="CX39" s="60">
        <f t="shared" si="14"/>
        <v>570.68476131278612</v>
      </c>
      <c r="CY39" s="60">
        <f ca="1">AVERAGE(OFFSET($CX$3,0,0,'Données projet'!$E$13+1,1))-AVERAGE(OFFSET($H$3,0,0,'Données projet'!$E$13+1,1))</f>
        <v>475.47920969424894</v>
      </c>
      <c r="CZ39" s="60">
        <f t="shared" si="42"/>
        <v>271.73544012419364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11.070769230769235</v>
      </c>
      <c r="DO39" s="13">
        <f>IF('Données projet'!$A$166&gt;35,DO38+DN39-DW38,IF(A39&lt;'Données projet'!$A$166,$DL$205^A39,IF(A39='Données projet'!$A$166,'Données projet'!$B$166,DO38+DN39-DW38)))</f>
        <v>208.73230769230767</v>
      </c>
      <c r="DP39" s="18">
        <f>DO39*VLOOKUP('Données projet'!$B$14,Paramètres!$A$1:$I$89,3,0)*VLOOKUP('Données projet'!$B$14,Paramètres!$A$1:$I$89,5,0)</f>
        <v>97.68671999999998</v>
      </c>
      <c r="DQ39" s="14">
        <f t="shared" si="43"/>
        <v>26.410142049733377</v>
      </c>
      <c r="DR39" s="22">
        <f t="shared" si="16"/>
        <v>216.13536806995225</v>
      </c>
      <c r="DS39" s="60">
        <f t="shared" si="17"/>
        <v>509.46870140328554</v>
      </c>
      <c r="DT39" s="60">
        <f ca="1">AVERAGE(OFFSET($DS$3,0,0,'Données projet'!$E$14+1,1))-AVERAGE(OFFSET($H$3,0,0,'Données projet'!$E$14+1,1))</f>
        <v>284.71577701131588</v>
      </c>
      <c r="DU39" s="60">
        <f t="shared" si="44"/>
        <v>190.4880882944471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9.6</v>
      </c>
      <c r="EJ39" s="13">
        <f>IF('Données projet'!$A$192&gt;35,EJ38+EI39-ER38,IF(A39&lt;'Données projet'!$A$192,$EG$205^A39,IF(A39='Données projet'!$A$192,'Données projet'!$B$192,EJ38+EI39-ER38)))</f>
        <v>181.59999999999991</v>
      </c>
      <c r="EK39" s="18">
        <f>EJ39*VLOOKUP('Données projet'!$B$15,Paramètres!$A$1:$I$89,3,0)*VLOOKUP('Données projet'!$B$15,Paramètres!$A$1:$I$89,5,0)</f>
        <v>133.14911999999993</v>
      </c>
      <c r="EL39" s="14">
        <f t="shared" si="45"/>
        <v>34.723011740352263</v>
      </c>
      <c r="EM39" s="22">
        <f t="shared" si="19"/>
        <v>292.37729611444672</v>
      </c>
      <c r="EN39" s="60">
        <f t="shared" si="20"/>
        <v>585.71062944778009</v>
      </c>
      <c r="EO39" s="60">
        <f ca="1">AVERAGE(OFFSET($EN$3,0,0,'Données projet'!$E$15+1,1))-AVERAGE(OFFSET($H$3,0,0,'Données projet'!$E$15+1,1))</f>
        <v>290.85271051443431</v>
      </c>
      <c r="EP39" s="60">
        <f t="shared" si="46"/>
        <v>318.66958823451142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0">
        <f t="shared" si="0"/>
        <v>557.83878140250943</v>
      </c>
      <c r="S40" s="60">
        <f ca="1">AVERAGE(OFFSET($R$3,0,0,'Données projet'!$E$9+1,1))-AVERAGE(OFFSET($H$3,0,0,'Données projet'!$E$9+1,1))</f>
        <v>428.8489304403459</v>
      </c>
      <c r="T40" s="60">
        <f t="shared" si="34"/>
        <v>247.01165577562966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18.229670329670324</v>
      </c>
      <c r="AI40" s="14">
        <f>IF('Données projet'!$A$62&gt;35,AI39+AH40-AQ39,IF(A40&lt;'Données projet'!$A$62,$AF$205^A40,IF(A40='Données projet'!$A$62,'Données projet'!$B$62,AI39+AH40-AQ39)))</f>
        <v>271.45164835164837</v>
      </c>
      <c r="AJ40" s="14">
        <f>AI40*VLOOKUP('Données projet'!$B$10,Paramètres!$A$1:$I$89,3,0)*VLOOKUP('Données projet'!$B$10,Paramètres!$A$1:$I$89,5,0)</f>
        <v>151.74147142857143</v>
      </c>
      <c r="AK40" s="14">
        <f t="shared" si="35"/>
        <v>38.974074991810518</v>
      </c>
      <c r="AL40" s="22">
        <f t="shared" si="4"/>
        <v>332.16291001549854</v>
      </c>
      <c r="AM40" s="60">
        <f t="shared" si="5"/>
        <v>625.49624334883185</v>
      </c>
      <c r="AN40" s="60">
        <f ca="1">AVERAGE(OFFSET($AM$3,0,0,'Données projet'!$E$10+1,1))-AVERAGE(OFFSET($H$3,0,0,'Données projet'!$E$10+1,1))</f>
        <v>323.98185264074681</v>
      </c>
      <c r="AO40" s="60">
        <f t="shared" si="36"/>
        <v>301.22207291854005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3.8846760791959656</v>
      </c>
      <c r="AV40" s="23">
        <f>EXP(-LN(2)/25)*AV39+(1-EXP(-LN(2)/25))/(LN(2)/25)*Calculateur!AQ40*Calculateur!AS40*VLOOKUP('Données projet'!$B$10,Paramètres!$A$1:$I$89,3,0)*0.475*44/12</f>
        <v>6.7924019011090015</v>
      </c>
      <c r="AW40" s="23">
        <f>EXP(-LN(2)/2)*AW39+(1-EXP(-LN(2)/2))/(LN(2)/2)*AQ40*AT40*VLOOKUP('Données projet'!$B$10,Paramètres!$A$1:$I$89,3,0)*0.475*44/12</f>
        <v>0.53809121740800658</v>
      </c>
      <c r="AX40" s="23">
        <f t="shared" si="6"/>
        <v>11.215169197712973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12.74038461538462</v>
      </c>
      <c r="BD40" s="13">
        <f>IF('Données projet'!$A$88&gt;35,BD39+BC40-BL39,IF(A40&lt;'Données projet'!$A$88,$BA$205^A40,IF(A40='Données projet'!$A$88,'Données projet'!$B$88,BD39+BC40-BL39)))</f>
        <v>191.85384615384612</v>
      </c>
      <c r="BE40" s="14">
        <f>BD40*VLOOKUP('Données projet'!$B$11,Paramètres!$A$1:$I$89,3,0)*VLOOKUP('Données projet'!$B$11,Paramètres!$A$1:$I$89,5,0)</f>
        <v>114.72859999999999</v>
      </c>
      <c r="BF40" s="14">
        <f t="shared" si="37"/>
        <v>30.442335906087649</v>
      </c>
      <c r="BG40" s="22">
        <f t="shared" si="7"/>
        <v>252.83938003643593</v>
      </c>
      <c r="BH40" s="60">
        <f t="shared" si="8"/>
        <v>546.17271336976921</v>
      </c>
      <c r="BI40" s="60">
        <f ca="1">AVERAGE(OFFSET($BH$3,0,0,'Données projet'!$E$11+1,1))-AVERAGE(OFFSET($H$3,0,0,'Données projet'!$E$11+1,1))</f>
        <v>289.12367833861299</v>
      </c>
      <c r="BJ40" s="60">
        <f t="shared" si="38"/>
        <v>229.06617320689003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0.36653190051675516</v>
      </c>
      <c r="BS40" s="24">
        <f t="shared" si="9"/>
        <v>0.36653190051675516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9.6</v>
      </c>
      <c r="BY40" s="13">
        <f>IF('Données projet'!$A$114&gt;35,BY39+BX40-CG39,IF(A40&lt;'Données projet'!$A$114,$BV$205^A40,IF(A40='Données projet'!$A$114,'Données projet'!$B$114,BY39+BX40-CG39)))</f>
        <v>191.1999999999999</v>
      </c>
      <c r="BZ40" s="14">
        <f>BY40*VLOOKUP('Données projet'!$B$12,Paramètres!$A$1:$I$89,3,0)*VLOOKUP('Données projet'!$B$12,Paramètres!$A$1:$I$89,5,0)</f>
        <v>152.11871999999994</v>
      </c>
      <c r="CA40" s="14">
        <f t="shared" si="39"/>
        <v>39.059678596099225</v>
      </c>
      <c r="CB40" s="22">
        <f t="shared" si="10"/>
        <v>332.96904422153938</v>
      </c>
      <c r="CC40" s="60">
        <f t="shared" si="11"/>
        <v>626.30237755487269</v>
      </c>
      <c r="CD40" s="60">
        <f ca="1">AVERAGE(OFFSET($CC$3,0,0,'Données projet'!$E$12+1,1))-AVERAGE(OFFSET($H$3,0,0,'Données projet'!$E$12+1,1))</f>
        <v>312.53381881960331</v>
      </c>
      <c r="CE40" s="60">
        <f t="shared" si="40"/>
        <v>342.06887933351783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134.65920000000003</v>
      </c>
      <c r="CV40" s="14">
        <f t="shared" si="41"/>
        <v>35.07074737441733</v>
      </c>
      <c r="CW40" s="22">
        <f t="shared" si="13"/>
        <v>295.61299167711019</v>
      </c>
      <c r="CX40" s="60">
        <f t="shared" si="14"/>
        <v>588.9463250104435</v>
      </c>
      <c r="CY40" s="60">
        <f ca="1">AVERAGE(OFFSET($CX$3,0,0,'Données projet'!$E$13+1,1))-AVERAGE(OFFSET($H$3,0,0,'Données projet'!$E$13+1,1))</f>
        <v>475.47920969424894</v>
      </c>
      <c r="CZ40" s="60">
        <f t="shared" si="42"/>
        <v>271.73544012419364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11.070769230769235</v>
      </c>
      <c r="DO40" s="13">
        <f>IF('Données projet'!$A$166&gt;35,DO39+DN40-DW39,IF(A40&lt;'Données projet'!$A$166,$DL$205^A40,IF(A40='Données projet'!$A$166,'Données projet'!$B$166,DO39+DN40-DW39)))</f>
        <v>219.8030769230769</v>
      </c>
      <c r="DP40" s="18">
        <f>DO40*VLOOKUP('Données projet'!$B$14,Paramètres!$A$1:$I$89,3,0)*VLOOKUP('Données projet'!$B$14,Paramètres!$A$1:$I$89,5,0)</f>
        <v>102.86783999999999</v>
      </c>
      <c r="DQ40" s="14">
        <f t="shared" si="43"/>
        <v>27.644092514104951</v>
      </c>
      <c r="DR40" s="22">
        <f t="shared" si="16"/>
        <v>227.3082824620661</v>
      </c>
      <c r="DS40" s="60">
        <f t="shared" si="17"/>
        <v>520.64161579539939</v>
      </c>
      <c r="DT40" s="60">
        <f ca="1">AVERAGE(OFFSET($DS$3,0,0,'Données projet'!$E$14+1,1))-AVERAGE(OFFSET($H$3,0,0,'Données projet'!$E$14+1,1))</f>
        <v>284.71577701131588</v>
      </c>
      <c r="DU40" s="60">
        <f t="shared" si="44"/>
        <v>190.4880882944471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9.6</v>
      </c>
      <c r="EJ40" s="13">
        <f>IF('Données projet'!$A$192&gt;35,EJ39+EI40-ER39,IF(A40&lt;'Données projet'!$A$192,$EG$205^A40,IF(A40='Données projet'!$A$192,'Données projet'!$B$192,EJ39+EI40-ER39)))</f>
        <v>191.1999999999999</v>
      </c>
      <c r="EK40" s="18">
        <f>EJ40*VLOOKUP('Données projet'!$B$15,Paramètres!$A$1:$I$89,3,0)*VLOOKUP('Données projet'!$B$15,Paramètres!$A$1:$I$89,5,0)</f>
        <v>140.18783999999991</v>
      </c>
      <c r="EL40" s="14">
        <f t="shared" si="45"/>
        <v>36.340033642714133</v>
      </c>
      <c r="EM40" s="22">
        <f t="shared" si="19"/>
        <v>307.4527132610603</v>
      </c>
      <c r="EN40" s="60">
        <f t="shared" si="20"/>
        <v>600.78604659439361</v>
      </c>
      <c r="EO40" s="60">
        <f ca="1">AVERAGE(OFFSET($EN$3,0,0,'Données projet'!$E$15+1,1))-AVERAGE(OFFSET($H$3,0,0,'Données projet'!$E$15+1,1))</f>
        <v>290.85271051443431</v>
      </c>
      <c r="EP40" s="60">
        <f t="shared" si="46"/>
        <v>318.66958823451142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0">
        <f t="shared" si="0"/>
        <v>574.15179438724942</v>
      </c>
      <c r="S41" s="60">
        <f ca="1">AVERAGE(OFFSET($R$3,0,0,'Données projet'!$E$9+1,1))-AVERAGE(OFFSET($H$3,0,0,'Données projet'!$E$9+1,1))</f>
        <v>428.8489304403459</v>
      </c>
      <c r="T41" s="60">
        <f t="shared" si="34"/>
        <v>247.01165577562966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18.229670329670324</v>
      </c>
      <c r="AI41" s="14">
        <f>IF('Données projet'!$A$62&gt;35,AI40+AH41-AQ40,IF(A41&lt;'Données projet'!$A$62,$AF$205^A41,IF(A41='Données projet'!$A$62,'Données projet'!$B$62,AI40+AH41-AQ40)))</f>
        <v>289.68131868131871</v>
      </c>
      <c r="AJ41" s="14">
        <f>AI41*VLOOKUP('Données projet'!$B$10,Paramètres!$A$1:$I$89,3,0)*VLOOKUP('Données projet'!$B$10,Paramètres!$A$1:$I$89,5,0)</f>
        <v>161.93185714285718</v>
      </c>
      <c r="AK41" s="14">
        <f t="shared" si="35"/>
        <v>41.277946347593272</v>
      </c>
      <c r="AL41" s="22">
        <f t="shared" si="4"/>
        <v>353.92374107920119</v>
      </c>
      <c r="AM41" s="60">
        <f t="shared" si="5"/>
        <v>647.25707441253451</v>
      </c>
      <c r="AN41" s="60">
        <f ca="1">AVERAGE(OFFSET($AM$3,0,0,'Données projet'!$E$10+1,1))-AVERAGE(OFFSET($H$3,0,0,'Données projet'!$E$10+1,1))</f>
        <v>323.98185264074681</v>
      </c>
      <c r="AO41" s="60">
        <f t="shared" si="36"/>
        <v>301.22207291854005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3.8084999507013806</v>
      </c>
      <c r="AV41" s="23">
        <f>EXP(-LN(2)/25)*AV40+(1-EXP(-LN(2)/25))/(LN(2)/25)*Calculateur!AQ41*Calculateur!AS41*VLOOKUP('Données projet'!$B$10,Paramètres!$A$1:$I$89,3,0)*0.475*44/12</f>
        <v>6.6066633139262843</v>
      </c>
      <c r="AW41" s="23">
        <f>EXP(-LN(2)/2)*AW40+(1-EXP(-LN(2)/2))/(LN(2)/2)*AQ41*AT41*VLOOKUP('Données projet'!$B$10,Paramètres!$A$1:$I$89,3,0)*0.475*44/12</f>
        <v>0.38048794872612629</v>
      </c>
      <c r="AX41" s="23">
        <f t="shared" si="6"/>
        <v>10.795651213353791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12.74038461538462</v>
      </c>
      <c r="BD41" s="13">
        <f>IF('Données projet'!$A$88&gt;35,BD40+BC41-BL40,IF(A41&lt;'Données projet'!$A$88,$BA$205^A41,IF(A41='Données projet'!$A$88,'Données projet'!$B$88,BD40+BC41-BL40)))</f>
        <v>204.59423076923073</v>
      </c>
      <c r="BE41" s="14">
        <f>BD41*VLOOKUP('Données projet'!$B$11,Paramètres!$A$1:$I$89,3,0)*VLOOKUP('Données projet'!$B$11,Paramètres!$A$1:$I$89,5,0)</f>
        <v>122.34734999999998</v>
      </c>
      <c r="BF41" s="14">
        <f t="shared" si="37"/>
        <v>32.221861336884515</v>
      </c>
      <c r="BG41" s="22">
        <f t="shared" si="7"/>
        <v>269.20804307840717</v>
      </c>
      <c r="BH41" s="60">
        <f t="shared" si="8"/>
        <v>562.54137641174043</v>
      </c>
      <c r="BI41" s="60">
        <f ca="1">AVERAGE(OFFSET($BH$3,0,0,'Données projet'!$E$11+1,1))-AVERAGE(OFFSET($H$3,0,0,'Données projet'!$E$11+1,1))</f>
        <v>289.12367833861299</v>
      </c>
      <c r="BJ41" s="60">
        <f t="shared" si="38"/>
        <v>229.06617320689003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0.25917719237659059</v>
      </c>
      <c r="BS41" s="24">
        <f t="shared" si="9"/>
        <v>0.25917719237659059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9.6</v>
      </c>
      <c r="BY41" s="13">
        <f>IF('Données projet'!$A$114&gt;35,BY40+BX41-CG40,IF(A41&lt;'Données projet'!$A$114,$BV$205^A41,IF(A41='Données projet'!$A$114,'Données projet'!$B$114,BY40+BX41-CG40)))</f>
        <v>200.7999999999999</v>
      </c>
      <c r="BZ41" s="14">
        <f>BY41*VLOOKUP('Données projet'!$B$12,Paramètres!$A$1:$I$89,3,0)*VLOOKUP('Données projet'!$B$12,Paramètres!$A$1:$I$89,5,0)</f>
        <v>159.75647999999993</v>
      </c>
      <c r="CA41" s="14">
        <f t="shared" si="39"/>
        <v>40.787583922770757</v>
      </c>
      <c r="CB41" s="22">
        <f t="shared" si="10"/>
        <v>349.28091133215889</v>
      </c>
      <c r="CC41" s="60">
        <f t="shared" si="11"/>
        <v>642.61424466549215</v>
      </c>
      <c r="CD41" s="60">
        <f ca="1">AVERAGE(OFFSET($CC$3,0,0,'Données projet'!$E$12+1,1))-AVERAGE(OFFSET($H$3,0,0,'Données projet'!$E$12+1,1))</f>
        <v>312.53381881960331</v>
      </c>
      <c r="CE41" s="60">
        <f t="shared" si="40"/>
        <v>342.06887933351783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143.17680000000004</v>
      </c>
      <c r="CV41" s="14">
        <f t="shared" si="41"/>
        <v>37.023812674521515</v>
      </c>
      <c r="CW41" s="22">
        <f t="shared" si="13"/>
        <v>313.84940040812506</v>
      </c>
      <c r="CX41" s="60">
        <f t="shared" si="14"/>
        <v>607.18273374145838</v>
      </c>
      <c r="CY41" s="60">
        <f ca="1">AVERAGE(OFFSET($CX$3,0,0,'Données projet'!$E$13+1,1))-AVERAGE(OFFSET($H$3,0,0,'Données projet'!$E$13+1,1))</f>
        <v>475.47920969424894</v>
      </c>
      <c r="CZ41" s="60">
        <f t="shared" si="42"/>
        <v>271.73544012419364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11.070769230769235</v>
      </c>
      <c r="DO41" s="13">
        <f>IF('Données projet'!$A$166&gt;35,DO40+DN41-DW40,IF(A41&lt;'Données projet'!$A$166,$DL$205^A41,IF(A41='Données projet'!$A$166,'Données projet'!$B$166,DO40+DN41-DW40)))</f>
        <v>230.87384615384613</v>
      </c>
      <c r="DP41" s="18">
        <f>DO41*VLOOKUP('Données projet'!$B$14,Paramètres!$A$1:$I$89,3,0)*VLOOKUP('Données projet'!$B$14,Paramètres!$A$1:$I$89,5,0)</f>
        <v>108.04895999999998</v>
      </c>
      <c r="DQ41" s="14">
        <f t="shared" si="43"/>
        <v>28.870826651685725</v>
      </c>
      <c r="DR41" s="22">
        <f t="shared" si="16"/>
        <v>238.46862841835264</v>
      </c>
      <c r="DS41" s="60">
        <f t="shared" si="17"/>
        <v>531.80196175168589</v>
      </c>
      <c r="DT41" s="60">
        <f ca="1">AVERAGE(OFFSET($DS$3,0,0,'Données projet'!$E$14+1,1))-AVERAGE(OFFSET($H$3,0,0,'Données projet'!$E$14+1,1))</f>
        <v>284.71577701131588</v>
      </c>
      <c r="DU41" s="60">
        <f t="shared" si="44"/>
        <v>190.4880882944471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9.6</v>
      </c>
      <c r="EJ41" s="13">
        <f>IF('Données projet'!$A$192&gt;35,EJ40+EI41-ER40,IF(A41&lt;'Données projet'!$A$192,$EG$205^A41,IF(A41='Données projet'!$A$192,'Données projet'!$B$192,EJ40+EI41-ER40)))</f>
        <v>200.7999999999999</v>
      </c>
      <c r="EK41" s="18">
        <f>EJ41*VLOOKUP('Données projet'!$B$15,Paramètres!$A$1:$I$89,3,0)*VLOOKUP('Données projet'!$B$15,Paramètres!$A$1:$I$89,5,0)</f>
        <v>147.22655999999992</v>
      </c>
      <c r="EL41" s="14">
        <f t="shared" si="45"/>
        <v>37.947628481165793</v>
      </c>
      <c r="EM41" s="22">
        <f t="shared" si="19"/>
        <v>322.51171160469693</v>
      </c>
      <c r="EN41" s="60">
        <f t="shared" si="20"/>
        <v>615.84504493803024</v>
      </c>
      <c r="EO41" s="60">
        <f ca="1">AVERAGE(OFFSET($EN$3,0,0,'Données projet'!$E$15+1,1))-AVERAGE(OFFSET($H$3,0,0,'Données projet'!$E$15+1,1))</f>
        <v>290.85271051443431</v>
      </c>
      <c r="EP41" s="60">
        <f t="shared" si="46"/>
        <v>318.66958823451142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0">
        <f t="shared" si="0"/>
        <v>590.44356897369653</v>
      </c>
      <c r="S42" s="60">
        <f ca="1">AVERAGE(OFFSET($R$3,0,0,'Données projet'!$E$9+1,1))-AVERAGE(OFFSET($H$3,0,0,'Données projet'!$E$9+1,1))</f>
        <v>428.8489304403459</v>
      </c>
      <c r="T42" s="60">
        <f t="shared" si="34"/>
        <v>247.01165577562966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18.229670329670324</v>
      </c>
      <c r="AI42" s="14">
        <f>IF('Données projet'!$A$62&gt;35,AI41+AH42-AQ41,IF(A42&lt;'Données projet'!$A$62,$AF$205^A42,IF(A42='Données projet'!$A$62,'Données projet'!$B$62,AI41+AH42-AQ41)))</f>
        <v>307.91098901098906</v>
      </c>
      <c r="AJ42" s="14">
        <f>AI42*VLOOKUP('Données projet'!$B$10,Paramètres!$A$1:$I$89,3,0)*VLOOKUP('Données projet'!$B$10,Paramètres!$A$1:$I$89,5,0)</f>
        <v>172.12224285714288</v>
      </c>
      <c r="AK42" s="14">
        <f t="shared" si="35"/>
        <v>43.564991640658711</v>
      </c>
      <c r="AL42" s="22">
        <f t="shared" si="4"/>
        <v>375.65526675033772</v>
      </c>
      <c r="AM42" s="60">
        <f t="shared" si="5"/>
        <v>668.98860008367103</v>
      </c>
      <c r="AN42" s="60">
        <f ca="1">AVERAGE(OFFSET($AM$3,0,0,'Données projet'!$E$10+1,1))-AVERAGE(OFFSET($H$3,0,0,'Données projet'!$E$10+1,1))</f>
        <v>323.98185264074681</v>
      </c>
      <c r="AO42" s="60">
        <f t="shared" si="36"/>
        <v>301.22207291854005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3.7338175896237238</v>
      </c>
      <c r="AV42" s="23">
        <f>EXP(-LN(2)/25)*AV41+(1-EXP(-LN(2)/25))/(LN(2)/25)*Calculateur!AQ42*Calculateur!AS42*VLOOKUP('Données projet'!$B$10,Paramètres!$A$1:$I$89,3,0)*0.475*44/12</f>
        <v>6.4260037581776457</v>
      </c>
      <c r="AW42" s="23">
        <f>EXP(-LN(2)/2)*AW41+(1-EXP(-LN(2)/2))/(LN(2)/2)*AQ42*AT42*VLOOKUP('Données projet'!$B$10,Paramètres!$A$1:$I$89,3,0)*0.475*44/12</f>
        <v>0.26904560870400329</v>
      </c>
      <c r="AX42" s="23">
        <f t="shared" si="6"/>
        <v>10.428866956505372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12.74038461538462</v>
      </c>
      <c r="BD42" s="13">
        <f>IF('Données projet'!$A$88&gt;35,BD41+BC42-BL41,IF(A42&lt;'Données projet'!$A$88,$BA$205^A42,IF(A42='Données projet'!$A$88,'Données projet'!$B$88,BD41+BC42-BL41)))</f>
        <v>217.33461538461535</v>
      </c>
      <c r="BE42" s="14">
        <f>BD42*VLOOKUP('Données projet'!$B$11,Paramètres!$A$1:$I$89,3,0)*VLOOKUP('Données projet'!$B$11,Paramètres!$A$1:$I$89,5,0)</f>
        <v>129.96609999999998</v>
      </c>
      <c r="BF42" s="14">
        <f t="shared" si="37"/>
        <v>33.988525918782614</v>
      </c>
      <c r="BG42" s="22">
        <f t="shared" si="7"/>
        <v>285.5543068085463</v>
      </c>
      <c r="BH42" s="60">
        <f t="shared" si="8"/>
        <v>578.88764014187961</v>
      </c>
      <c r="BI42" s="60">
        <f ca="1">AVERAGE(OFFSET($BH$3,0,0,'Données projet'!$E$11+1,1))-AVERAGE(OFFSET($H$3,0,0,'Données projet'!$E$11+1,1))</f>
        <v>289.12367833861299</v>
      </c>
      <c r="BJ42" s="60">
        <f t="shared" si="38"/>
        <v>229.06617320689003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0.18326595025837758</v>
      </c>
      <c r="BS42" s="24">
        <f t="shared" si="9"/>
        <v>0.18326595025837758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9.6</v>
      </c>
      <c r="BY42" s="13">
        <f>IF('Données projet'!$A$114&gt;35,BY41+BX42-CG41,IF(A42&lt;'Données projet'!$A$114,$BV$205^A42,IF(A42='Données projet'!$A$114,'Données projet'!$B$114,BY41+BX42-CG41)))</f>
        <v>210.39999999999989</v>
      </c>
      <c r="BZ42" s="14">
        <f>BY42*VLOOKUP('Données projet'!$B$12,Paramètres!$A$1:$I$89,3,0)*VLOOKUP('Données projet'!$B$12,Paramètres!$A$1:$I$89,5,0)</f>
        <v>167.39423999999991</v>
      </c>
      <c r="CA42" s="14">
        <f t="shared" si="39"/>
        <v>42.505896406938106</v>
      </c>
      <c r="CB42" s="22">
        <f t="shared" si="10"/>
        <v>365.57607090875041</v>
      </c>
      <c r="CC42" s="60">
        <f t="shared" si="11"/>
        <v>658.90940424208372</v>
      </c>
      <c r="CD42" s="60">
        <f ca="1">AVERAGE(OFFSET($CC$3,0,0,'Données projet'!$E$12+1,1))-AVERAGE(OFFSET($H$3,0,0,'Données projet'!$E$12+1,1))</f>
        <v>312.53381881960331</v>
      </c>
      <c r="CE42" s="60">
        <f t="shared" si="40"/>
        <v>342.06887933351783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151.69440000000003</v>
      </c>
      <c r="CV42" s="14">
        <f t="shared" si="41"/>
        <v>38.963392010880654</v>
      </c>
      <c r="CW42" s="22">
        <f t="shared" si="13"/>
        <v>332.06232108561716</v>
      </c>
      <c r="CX42" s="60">
        <f t="shared" si="14"/>
        <v>625.39565441895047</v>
      </c>
      <c r="CY42" s="60">
        <f ca="1">AVERAGE(OFFSET($CX$3,0,0,'Données projet'!$E$13+1,1))-AVERAGE(OFFSET($H$3,0,0,'Données projet'!$E$13+1,1))</f>
        <v>475.47920969424894</v>
      </c>
      <c r="CZ42" s="60">
        <f t="shared" si="42"/>
        <v>271.73544012419364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11.070769230769235</v>
      </c>
      <c r="DO42" s="13">
        <f>IF('Données projet'!$A$166&gt;35,DO41+DN42-DW41,IF(A42&lt;'Données projet'!$A$166,$DL$205^A42,IF(A42='Données projet'!$A$166,'Données projet'!$B$166,DO41+DN42-DW41)))</f>
        <v>241.94461538461536</v>
      </c>
      <c r="DP42" s="18">
        <f>DO42*VLOOKUP('Données projet'!$B$14,Paramètres!$A$1:$I$89,3,0)*VLOOKUP('Données projet'!$B$14,Paramètres!$A$1:$I$89,5,0)</f>
        <v>113.23008</v>
      </c>
      <c r="DQ42" s="14">
        <f t="shared" si="43"/>
        <v>30.090730001446975</v>
      </c>
      <c r="DR42" s="22">
        <f t="shared" si="16"/>
        <v>249.61707741918681</v>
      </c>
      <c r="DS42" s="60">
        <f t="shared" si="17"/>
        <v>542.95041075252016</v>
      </c>
      <c r="DT42" s="60">
        <f ca="1">AVERAGE(OFFSET($DS$3,0,0,'Données projet'!$E$14+1,1))-AVERAGE(OFFSET($H$3,0,0,'Données projet'!$E$14+1,1))</f>
        <v>284.71577701131588</v>
      </c>
      <c r="DU42" s="60">
        <f t="shared" si="44"/>
        <v>190.4880882944471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9.6</v>
      </c>
      <c r="EJ42" s="13">
        <f>IF('Données projet'!$A$192&gt;35,EJ41+EI42-ER41,IF(A42&lt;'Données projet'!$A$192,$EG$205^A42,IF(A42='Données projet'!$A$192,'Données projet'!$B$192,EJ41+EI42-ER41)))</f>
        <v>210.39999999999989</v>
      </c>
      <c r="EK42" s="18">
        <f>EJ42*VLOOKUP('Données projet'!$B$15,Paramètres!$A$1:$I$89,3,0)*VLOOKUP('Données projet'!$B$15,Paramètres!$A$1:$I$89,5,0)</f>
        <v>154.26527999999993</v>
      </c>
      <c r="EL42" s="14">
        <f t="shared" si="45"/>
        <v>39.546298406974444</v>
      </c>
      <c r="EM42" s="22">
        <f t="shared" si="19"/>
        <v>337.55516572548032</v>
      </c>
      <c r="EN42" s="60">
        <f t="shared" si="20"/>
        <v>630.88849905881364</v>
      </c>
      <c r="EO42" s="60">
        <f ca="1">AVERAGE(OFFSET($EN$3,0,0,'Données projet'!$E$15+1,1))-AVERAGE(OFFSET($H$3,0,0,'Données projet'!$E$15+1,1))</f>
        <v>290.85271051443431</v>
      </c>
      <c r="EP42" s="60">
        <f t="shared" si="46"/>
        <v>318.66958823451142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0">
        <f t="shared" si="0"/>
        <v>606.71543359582972</v>
      </c>
      <c r="S43" s="60">
        <f ca="1">AVERAGE(OFFSET($R$3,0,0,'Données projet'!$E$9+1,1))-AVERAGE(OFFSET($H$3,0,0,'Données projet'!$E$9+1,1))</f>
        <v>428.8489304403459</v>
      </c>
      <c r="T43" s="60">
        <f t="shared" si="34"/>
        <v>247.01165577562966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18.229670329670324</v>
      </c>
      <c r="AI43" s="14">
        <f>IF('Données projet'!$A$62&gt;35,AI42+AH43-AQ42,IF(A43&lt;'Données projet'!$A$62,$AF$205^A43,IF(A43='Données projet'!$A$62,'Données projet'!$B$62,AI42+AH43-AQ42)))</f>
        <v>326.1406593406594</v>
      </c>
      <c r="AJ43" s="14">
        <f>AI43*VLOOKUP('Données projet'!$B$10,Paramètres!$A$1:$I$89,3,0)*VLOOKUP('Données projet'!$B$10,Paramètres!$A$1:$I$89,5,0)</f>
        <v>182.31262857142863</v>
      </c>
      <c r="AK43" s="14">
        <f t="shared" si="35"/>
        <v>45.836320512875446</v>
      </c>
      <c r="AL43" s="22">
        <f t="shared" si="4"/>
        <v>397.35941965516298</v>
      </c>
      <c r="AM43" s="60">
        <f t="shared" si="5"/>
        <v>690.6927529884963</v>
      </c>
      <c r="AN43" s="60">
        <f ca="1">AVERAGE(OFFSET($AM$3,0,0,'Données projet'!$E$10+1,1))-AVERAGE(OFFSET($H$3,0,0,'Données projet'!$E$10+1,1))</f>
        <v>323.98185264074681</v>
      </c>
      <c r="AO43" s="60">
        <f t="shared" si="36"/>
        <v>301.22207291854005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3.6605997040950573</v>
      </c>
      <c r="AV43" s="23">
        <f>EXP(-LN(2)/25)*AV42+(1-EXP(-LN(2)/25))/(LN(2)/25)*Calculateur!AQ43*Calculateur!AS43*VLOOKUP('Données projet'!$B$10,Paramètres!$A$1:$I$89,3,0)*0.475*44/12</f>
        <v>6.2502843474814274</v>
      </c>
      <c r="AW43" s="23">
        <f>EXP(-LN(2)/2)*AW42+(1-EXP(-LN(2)/2))/(LN(2)/2)*AQ43*AT43*VLOOKUP('Données projet'!$B$10,Paramètres!$A$1:$I$89,3,0)*0.475*44/12</f>
        <v>0.19024397436306315</v>
      </c>
      <c r="AX43" s="23">
        <f t="shared" si="6"/>
        <v>10.101128025939548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12.74038461538462</v>
      </c>
      <c r="BD43" s="13">
        <f>IF('Données projet'!$A$88&gt;35,BD42+BC43-BL42,IF(A43&lt;'Données projet'!$A$88,$BA$205^A43,IF(A43='Données projet'!$A$88,'Données projet'!$B$88,BD42+BC43-BL42)))</f>
        <v>230.07499999999996</v>
      </c>
      <c r="BE43" s="14">
        <f>BD43*VLOOKUP('Données projet'!$B$11,Paramètres!$A$1:$I$89,3,0)*VLOOKUP('Données projet'!$B$11,Paramètres!$A$1:$I$89,5,0)</f>
        <v>137.58484999999999</v>
      </c>
      <c r="BF43" s="14">
        <f t="shared" si="37"/>
        <v>35.743169448737028</v>
      </c>
      <c r="BG43" s="22">
        <f t="shared" si="7"/>
        <v>301.87963387321696</v>
      </c>
      <c r="BH43" s="60">
        <f t="shared" si="8"/>
        <v>595.21296720655027</v>
      </c>
      <c r="BI43" s="60">
        <f ca="1">AVERAGE(OFFSET($BH$3,0,0,'Données projet'!$E$11+1,1))-AVERAGE(OFFSET($H$3,0,0,'Données projet'!$E$11+1,1))</f>
        <v>289.12367833861299</v>
      </c>
      <c r="BJ43" s="60">
        <f t="shared" si="38"/>
        <v>229.06617320689003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0.1295885961882953</v>
      </c>
      <c r="BS43" s="24">
        <f t="shared" si="9"/>
        <v>0.1295885961882953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220</v>
      </c>
      <c r="BW43" s="13">
        <f>VLOOKUP(A43,'Données projet'!$A$113:$I$133,9,0)</f>
        <v>9.6</v>
      </c>
      <c r="BX43" s="13">
        <f t="array" ref="BX43">INDEX(BW:BW,MIN(IF(ISNUMBER(BW43:BW239),ROW(BW43:BW239),"")))</f>
        <v>9.6</v>
      </c>
      <c r="BY43" s="13">
        <f>IF('Données projet'!$A$114&gt;35,BY42+BX43-CG42,IF(A43&lt;'Données projet'!$A$114,$BV$205^A43,IF(A43='Données projet'!$A$114,'Données projet'!$B$114,BY42+BX43-CG42)))</f>
        <v>219.99999999999989</v>
      </c>
      <c r="BZ43" s="14">
        <f>BY43*VLOOKUP('Données projet'!$B$12,Paramètres!$A$1:$I$89,3,0)*VLOOKUP('Données projet'!$B$12,Paramètres!$A$1:$I$89,5,0)</f>
        <v>175.03199999999993</v>
      </c>
      <c r="CA43" s="14">
        <f t="shared" si="39"/>
        <v>44.215103743191008</v>
      </c>
      <c r="CB43" s="22">
        <f t="shared" si="10"/>
        <v>381.85537235272426</v>
      </c>
      <c r="CC43" s="60">
        <f t="shared" si="11"/>
        <v>675.18870568605757</v>
      </c>
      <c r="CD43" s="60">
        <f ca="1">AVERAGE(OFFSET($CC$3,0,0,'Données projet'!$E$12+1,1))-AVERAGE(OFFSET($H$3,0,0,'Données projet'!$E$12+1,1))</f>
        <v>312.53381881960331</v>
      </c>
      <c r="CE43" s="60">
        <f t="shared" si="40"/>
        <v>342.06887933351783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56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160.21200000000005</v>
      </c>
      <c r="CV43" s="14">
        <f t="shared" si="41"/>
        <v>40.890328912852695</v>
      </c>
      <c r="CW43" s="22">
        <f t="shared" si="13"/>
        <v>350.25322285655176</v>
      </c>
      <c r="CX43" s="60">
        <f t="shared" si="14"/>
        <v>643.58655618988507</v>
      </c>
      <c r="CY43" s="60">
        <f ca="1">AVERAGE(OFFSET($CX$3,0,0,'Données projet'!$E$13+1,1))-AVERAGE(OFFSET($H$3,0,0,'Données projet'!$E$13+1,1))</f>
        <v>475.47920969424894</v>
      </c>
      <c r="CZ43" s="60">
        <f t="shared" si="42"/>
        <v>271.73544012419364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253.01538461538462</v>
      </c>
      <c r="DM43" s="13">
        <f>VLOOKUP(A43,'Données projet'!$A$165:$I$185,9,0)</f>
        <v>11.070769230769235</v>
      </c>
      <c r="DN43" s="13">
        <f t="array" ref="DN43">INDEX(DM:DM,MIN(IF(ISNUMBER(DM43:DM239),ROW(DM43:DM239),"")))</f>
        <v>11.070769230769235</v>
      </c>
      <c r="DO43" s="13">
        <f>IF('Données projet'!$A$166&gt;35,DO42+DN43-DW42,IF(A43&lt;'Données projet'!$A$166,$DL$205^A43,IF(A43='Données projet'!$A$166,'Données projet'!$B$166,DO42+DN43-DW42)))</f>
        <v>253.01538461538459</v>
      </c>
      <c r="DP43" s="18">
        <f>DO43*VLOOKUP('Données projet'!$B$14,Paramètres!$A$1:$I$89,3,0)*VLOOKUP('Données projet'!$B$14,Paramètres!$A$1:$I$89,5,0)</f>
        <v>118.41119999999998</v>
      </c>
      <c r="DQ43" s="14">
        <f t="shared" si="43"/>
        <v>31.304150825519965</v>
      </c>
      <c r="DR43" s="22">
        <f t="shared" si="16"/>
        <v>260.75423602111391</v>
      </c>
      <c r="DS43" s="60">
        <f t="shared" si="17"/>
        <v>554.08756935444717</v>
      </c>
      <c r="DT43" s="60">
        <f ca="1">AVERAGE(OFFSET($DS$3,0,0,'Données projet'!$E$14+1,1))-AVERAGE(OFFSET($H$3,0,0,'Données projet'!$E$14+1,1))</f>
        <v>284.71577701131588</v>
      </c>
      <c r="DU43" s="60">
        <f t="shared" si="44"/>
        <v>190.4880882944471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220</v>
      </c>
      <c r="EH43" s="13">
        <f>VLOOKUP(A43,'Données projet'!$A$191:$I$211,9,0)</f>
        <v>9.6</v>
      </c>
      <c r="EI43" s="13">
        <f t="array" ref="EI43">INDEX(EH:EH,MIN(IF(ISNUMBER(EH43:EH239),ROW(EH43:EH239),"")))</f>
        <v>9.6</v>
      </c>
      <c r="EJ43" s="13">
        <f>IF('Données projet'!$A$192&gt;35,EJ42+EI43-ER42,IF(A43&lt;'Données projet'!$A$192,$EG$205^A43,IF(A43='Données projet'!$A$192,'Données projet'!$B$192,EJ42+EI43-ER42)))</f>
        <v>219.99999999999989</v>
      </c>
      <c r="EK43" s="18">
        <f>EJ43*VLOOKUP('Données projet'!$B$15,Paramètres!$A$1:$I$89,3,0)*VLOOKUP('Données projet'!$B$15,Paramètres!$A$1:$I$89,5,0)</f>
        <v>161.30399999999992</v>
      </c>
      <c r="EL43" s="14">
        <f t="shared" si="45"/>
        <v>41.136497157560363</v>
      </c>
      <c r="EM43" s="22">
        <f t="shared" si="19"/>
        <v>352.58386588275084</v>
      </c>
      <c r="EN43" s="60">
        <f t="shared" si="20"/>
        <v>645.9171992160841</v>
      </c>
      <c r="EO43" s="60">
        <f ca="1">AVERAGE(OFFSET($EN$3,0,0,'Données projet'!$E$15+1,1))-AVERAGE(OFFSET($H$3,0,0,'Données projet'!$E$15+1,1))</f>
        <v>290.85271051443431</v>
      </c>
      <c r="EP43" s="60">
        <f t="shared" si="46"/>
        <v>318.66958823451142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56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0">
        <f t="shared" si="0"/>
        <v>541.50302276112825</v>
      </c>
      <c r="S44" s="60">
        <f ca="1">AVERAGE(OFFSET($R$3,0,0,'Données projet'!$E$9+1,1))-AVERAGE(OFFSET($H$3,0,0,'Données projet'!$E$9+1,1))</f>
        <v>428.8489304403459</v>
      </c>
      <c r="T44" s="60">
        <f t="shared" si="34"/>
        <v>247.01165577562966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18.229670329670324</v>
      </c>
      <c r="AI44" s="14">
        <f>IF('Données projet'!$A$62&gt;35,AI43+AH44-AQ43,IF(A44&lt;'Données projet'!$A$62,$AF$205^A44,IF(A44='Données projet'!$A$62,'Données projet'!$B$62,AI43+AH44-AQ43)))</f>
        <v>344.37032967032974</v>
      </c>
      <c r="AJ44" s="14">
        <f>AI44*VLOOKUP('Données projet'!$B$10,Paramètres!$A$1:$I$89,3,0)*VLOOKUP('Données projet'!$B$10,Paramètres!$A$1:$I$89,5,0)</f>
        <v>192.50301428571433</v>
      </c>
      <c r="AK44" s="14">
        <f t="shared" si="35"/>
        <v>48.092911552862631</v>
      </c>
      <c r="AL44" s="22">
        <f t="shared" si="4"/>
        <v>419.03790416885482</v>
      </c>
      <c r="AM44" s="60">
        <f t="shared" si="5"/>
        <v>712.37123750218814</v>
      </c>
      <c r="AN44" s="60">
        <f ca="1">AVERAGE(OFFSET($AM$3,0,0,'Données projet'!$E$10+1,1))-AVERAGE(OFFSET($H$3,0,0,'Données projet'!$E$10+1,1))</f>
        <v>323.98185264074681</v>
      </c>
      <c r="AO44" s="60">
        <f t="shared" si="36"/>
        <v>301.22207291854005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3.5888175766431076</v>
      </c>
      <c r="AV44" s="23">
        <f>EXP(-LN(2)/25)*AV43+(1-EXP(-LN(2)/25))/(LN(2)/25)*Calculateur!AQ44*Calculateur!AS44*VLOOKUP('Données projet'!$B$10,Paramètres!$A$1:$I$89,3,0)*0.475*44/12</f>
        <v>6.0793699933113787</v>
      </c>
      <c r="AW44" s="23">
        <f>EXP(-LN(2)/2)*AW43+(1-EXP(-LN(2)/2))/(LN(2)/2)*AQ44*AT44*VLOOKUP('Données projet'!$B$10,Paramètres!$A$1:$I$89,3,0)*0.475*44/12</f>
        <v>0.13452280435200165</v>
      </c>
      <c r="AX44" s="23">
        <f t="shared" si="6"/>
        <v>9.8027103743064892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>
        <f>VLOOKUP(A44,'Données projet'!$A$87:$I$107,2,0)</f>
        <v>242.81538461538463</v>
      </c>
      <c r="BB44" s="13">
        <f>VLOOKUP(A44,'Données projet'!$A$87:$I$107,9,0)</f>
        <v>12.74038461538462</v>
      </c>
      <c r="BC44" s="13">
        <f t="array" ref="BC44">INDEX(BB:BB,MIN(IF(ISNUMBER(BB44:BB240),ROW(BB44:BB240),"")))</f>
        <v>12.74038461538462</v>
      </c>
      <c r="BD44" s="13">
        <f>IF('Données projet'!$A$88&gt;35,BD43+BC44-BL43,IF(A44&lt;'Données projet'!$A$88,$BA$205^A44,IF(A44='Données projet'!$A$88,'Données projet'!$B$88,BD43+BC44-BL43)))</f>
        <v>242.81538461538457</v>
      </c>
      <c r="BE44" s="14">
        <f>BD44*VLOOKUP('Données projet'!$B$11,Paramètres!$A$1:$I$89,3,0)*VLOOKUP('Données projet'!$B$11,Paramètres!$A$1:$I$89,5,0)</f>
        <v>145.20359999999999</v>
      </c>
      <c r="BF44" s="14">
        <f t="shared" si="37"/>
        <v>37.4865334633907</v>
      </c>
      <c r="BG44" s="22">
        <f t="shared" si="7"/>
        <v>318.18531578207211</v>
      </c>
      <c r="BH44" s="60">
        <f t="shared" si="8"/>
        <v>611.51864911540542</v>
      </c>
      <c r="BI44" s="60">
        <f ca="1">AVERAGE(OFFSET($BH$3,0,0,'Données projet'!$E$11+1,1))-AVERAGE(OFFSET($H$3,0,0,'Données projet'!$E$11+1,1))</f>
        <v>289.12367833861299</v>
      </c>
      <c r="BJ44" s="60">
        <f t="shared" si="38"/>
        <v>229.06617320689003</v>
      </c>
      <c r="BK44" s="16">
        <f>IF(ISNA(VLOOKUP(A44,'Données projet'!$A$87:$I$107,3,0)),0,VLOOKUP(A44,'Données projet'!$A$87:$I$107,3,0))</f>
        <v>4</v>
      </c>
      <c r="BL44" s="16">
        <f>IF(ISNA(VLOOKUP(A44,'Données projet'!$A$87:$I$107,4,0)),0,VLOOKUP(A44,'Données projet'!$A$87:$I$107,4,0))</f>
        <v>58.484615384615381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9.163297512918879E-2</v>
      </c>
      <c r="BS44" s="24">
        <f t="shared" si="9"/>
        <v>9.163297512918879E-2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8.1999999999999993</v>
      </c>
      <c r="BY44" s="13">
        <f>IF('Données projet'!$A$114&gt;35,BY43+BX44-CG43,IF(A44&lt;'Données projet'!$A$114,$BV$205^A44,IF(A44='Données projet'!$A$114,'Données projet'!$B$114,BY43+BX44-CG43)))</f>
        <v>172.19999999999987</v>
      </c>
      <c r="BZ44" s="14">
        <f>BY44*VLOOKUP('Données projet'!$B$12,Paramètres!$A$1:$I$89,3,0)*VLOOKUP('Données projet'!$B$12,Paramètres!$A$1:$I$89,5,0)</f>
        <v>137.00231999999991</v>
      </c>
      <c r="CA44" s="14">
        <f t="shared" si="39"/>
        <v>35.609416420931318</v>
      </c>
      <c r="CB44" s="22">
        <f t="shared" si="10"/>
        <v>300.63210759978858</v>
      </c>
      <c r="CC44" s="60">
        <f t="shared" si="11"/>
        <v>593.96544093312195</v>
      </c>
      <c r="CD44" s="60">
        <f ca="1">AVERAGE(OFFSET($CC$3,0,0,'Données projet'!$E$12+1,1))-AVERAGE(OFFSET($H$3,0,0,'Données projet'!$E$12+1,1))</f>
        <v>312.53381881960331</v>
      </c>
      <c r="CE44" s="60">
        <f t="shared" si="40"/>
        <v>342.06887933351783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126.14160000000005</v>
      </c>
      <c r="CV44" s="14">
        <f t="shared" si="41"/>
        <v>33.10323903126482</v>
      </c>
      <c r="CW44" s="22">
        <f t="shared" si="13"/>
        <v>277.35142797945298</v>
      </c>
      <c r="CX44" s="60">
        <f t="shared" si="14"/>
        <v>570.68476131278635</v>
      </c>
      <c r="CY44" s="60">
        <f ca="1">AVERAGE(OFFSET($CX$3,0,0,'Données projet'!$E$13+1,1))-AVERAGE(OFFSET($H$3,0,0,'Données projet'!$E$13+1,1))</f>
        <v>475.47920969424894</v>
      </c>
      <c r="CZ44" s="60">
        <f t="shared" si="42"/>
        <v>271.73544012419364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11.8676923076923</v>
      </c>
      <c r="DO44" s="13">
        <f>IF('Données projet'!$A$166&gt;35,DO43+DN44-DW43,IF(A44&lt;'Données projet'!$A$166,$DL$205^A44,IF(A44='Données projet'!$A$166,'Données projet'!$B$166,DO43+DN44-DW43)))</f>
        <v>264.88307692307689</v>
      </c>
      <c r="DP44" s="18">
        <f>DO44*VLOOKUP('Données projet'!$B$14,Paramètres!$A$1:$I$89,3,0)*VLOOKUP('Données projet'!$B$14,Paramètres!$A$1:$I$89,5,0)</f>
        <v>123.96527999999998</v>
      </c>
      <c r="DQ44" s="14">
        <f t="shared" si="43"/>
        <v>32.598078624110158</v>
      </c>
      <c r="DR44" s="22">
        <f t="shared" si="16"/>
        <v>272.68118293699183</v>
      </c>
      <c r="DS44" s="60">
        <f t="shared" si="17"/>
        <v>566.0145162703252</v>
      </c>
      <c r="DT44" s="60">
        <f ca="1">AVERAGE(OFFSET($DS$3,0,0,'Données projet'!$E$14+1,1))-AVERAGE(OFFSET($H$3,0,0,'Données projet'!$E$14+1,1))</f>
        <v>284.71577701131588</v>
      </c>
      <c r="DU44" s="60">
        <f t="shared" si="44"/>
        <v>190.4880882944471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8.1999999999999993</v>
      </c>
      <c r="EJ44" s="13">
        <f>IF('Données projet'!$A$192&gt;35,EJ43+EI44-ER43,IF(A44&lt;'Données projet'!$A$192,$EG$205^A44,IF(A44='Données projet'!$A$192,'Données projet'!$B$192,EJ43+EI44-ER43)))</f>
        <v>172.19999999999987</v>
      </c>
      <c r="EK44" s="18">
        <f>EJ44*VLOOKUP('Données projet'!$B$15,Paramètres!$A$1:$I$89,3,0)*VLOOKUP('Données projet'!$B$15,Paramètres!$A$1:$I$89,5,0)</f>
        <v>126.25703999999992</v>
      </c>
      <c r="EL44" s="14">
        <f t="shared" si="45"/>
        <v>33.130006114881219</v>
      </c>
      <c r="EM44" s="22">
        <f t="shared" si="19"/>
        <v>277.59910531675132</v>
      </c>
      <c r="EN44" s="60">
        <f t="shared" si="20"/>
        <v>570.93243865008458</v>
      </c>
      <c r="EO44" s="60">
        <f ca="1">AVERAGE(OFFSET($EN$3,0,0,'Données projet'!$E$15+1,1))-AVERAGE(OFFSET($H$3,0,0,'Données projet'!$E$15+1,1))</f>
        <v>290.85271051443431</v>
      </c>
      <c r="EP44" s="60">
        <f t="shared" si="46"/>
        <v>318.66958823451142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0">
        <f t="shared" si="0"/>
        <v>557.83878140250954</v>
      </c>
      <c r="S45" s="60">
        <f ca="1">AVERAGE(OFFSET($R$3,0,0,'Données projet'!$E$9+1,1))-AVERAGE(OFFSET($H$3,0,0,'Données projet'!$E$9+1,1))</f>
        <v>428.8489304403459</v>
      </c>
      <c r="T45" s="60">
        <f t="shared" si="34"/>
        <v>247.01165577562966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362.59999999999997</v>
      </c>
      <c r="AG45" s="13">
        <f>VLOOKUP(A45,'Données projet'!$A$61:$I$81,9,0)</f>
        <v>18.229670329670324</v>
      </c>
      <c r="AH45" s="13">
        <f t="array" ref="AH45">INDEX(AG:AG,MIN(IF(ISNUMBER(AG45:AG241),ROW(AG45:AG241),"")))</f>
        <v>18.229670329670324</v>
      </c>
      <c r="AI45" s="14">
        <f>IF('Données projet'!$A$62&gt;35,AI44+AH45-AQ44,IF(A45&lt;'Données projet'!$A$62,$AF$205^A45,IF(A45='Données projet'!$A$62,'Données projet'!$B$62,AI44+AH45-AQ44)))</f>
        <v>362.60000000000008</v>
      </c>
      <c r="AJ45" s="14">
        <f>AI45*VLOOKUP('Données projet'!$B$10,Paramètres!$A$1:$I$89,3,0)*VLOOKUP('Données projet'!$B$10,Paramètres!$A$1:$I$89,5,0)</f>
        <v>202.69340000000005</v>
      </c>
      <c r="AK45" s="14">
        <f t="shared" si="35"/>
        <v>50.335633892078647</v>
      </c>
      <c r="AL45" s="22">
        <f t="shared" si="4"/>
        <v>440.69223402870375</v>
      </c>
      <c r="AM45" s="60">
        <f t="shared" si="5"/>
        <v>734.02556736203701</v>
      </c>
      <c r="AN45" s="60">
        <f ca="1">AVERAGE(OFFSET($AM$3,0,0,'Données projet'!$E$10+1,1))-AVERAGE(OFFSET($H$3,0,0,'Données projet'!$E$10+1,1))</f>
        <v>323.98185264074681</v>
      </c>
      <c r="AO45" s="60">
        <f t="shared" si="36"/>
        <v>301.22207291854005</v>
      </c>
      <c r="AP45" s="16">
        <f>IF(ISNA(VLOOKUP(A45,'Données projet'!$A$61:$I$81,3,0)),0,VLOOKUP(A45,'Données projet'!$A$61:$I$81,3,0))</f>
        <v>4</v>
      </c>
      <c r="AQ45" s="16">
        <f>IF(ISNA(VLOOKUP(A45,'Données projet'!$A$61:$I$81,4,0)),0,VLOOKUP(A45,'Données projet'!$A$61:$I$81,4,0))</f>
        <v>80.669230769230765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3.518443052927716</v>
      </c>
      <c r="AV45" s="23">
        <f>EXP(-LN(2)/25)*AV44+(1-EXP(-LN(2)/25))/(LN(2)/25)*Calculateur!AQ45*Calculateur!AS45*VLOOKUP('Données projet'!$B$10,Paramètres!$A$1:$I$89,3,0)*0.475*44/12</f>
        <v>5.9131293011441057</v>
      </c>
      <c r="AW45" s="23">
        <f>EXP(-LN(2)/2)*AW44+(1-EXP(-LN(2)/2))/(LN(2)/2)*AQ45*AT45*VLOOKUP('Données projet'!$B$10,Paramètres!$A$1:$I$89,3,0)*0.475*44/12</f>
        <v>9.5121987181531573E-2</v>
      </c>
      <c r="AX45" s="23">
        <f t="shared" si="6"/>
        <v>9.5266943412533536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11.861538461538462</v>
      </c>
      <c r="BD45" s="13">
        <f>IF('Données projet'!$A$88&gt;35,BD44+BC45-BL44,IF(A45&lt;'Données projet'!$A$88,$BA$205^A45,IF(A45='Données projet'!$A$88,'Données projet'!$B$88,BD44+BC45-BL44)))</f>
        <v>196.19230769230765</v>
      </c>
      <c r="BE45" s="14">
        <f>BD45*VLOOKUP('Données projet'!$B$11,Paramètres!$A$1:$I$89,3,0)*VLOOKUP('Données projet'!$B$11,Paramètres!$A$1:$I$89,5,0)</f>
        <v>117.32299999999999</v>
      </c>
      <c r="BF45" s="14">
        <f t="shared" si="37"/>
        <v>31.049815552357138</v>
      </c>
      <c r="BG45" s="22">
        <f t="shared" si="7"/>
        <v>258.41598708702196</v>
      </c>
      <c r="BH45" s="60">
        <f t="shared" si="8"/>
        <v>551.74932042035528</v>
      </c>
      <c r="BI45" s="60">
        <f ca="1">AVERAGE(OFFSET($BH$3,0,0,'Données projet'!$E$11+1,1))-AVERAGE(OFFSET($H$3,0,0,'Données projet'!$E$11+1,1))</f>
        <v>289.12367833861299</v>
      </c>
      <c r="BJ45" s="60">
        <f t="shared" si="38"/>
        <v>229.06617320689003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6.4794298094147648E-2</v>
      </c>
      <c r="BS45" s="24">
        <f t="shared" si="9"/>
        <v>6.4794298094147648E-2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8.1999999999999993</v>
      </c>
      <c r="BY45" s="13">
        <f>IF('Données projet'!$A$114&gt;35,BY44+BX45-CG44,IF(A45&lt;'Données projet'!$A$114,$BV$205^A45,IF(A45='Données projet'!$A$114,'Données projet'!$B$114,BY44+BX45-CG44)))</f>
        <v>180.39999999999986</v>
      </c>
      <c r="BZ45" s="14">
        <f>BY45*VLOOKUP('Données projet'!$B$12,Paramètres!$A$1:$I$89,3,0)*VLOOKUP('Données projet'!$B$12,Paramètres!$A$1:$I$89,5,0)</f>
        <v>143.52623999999989</v>
      </c>
      <c r="CA45" s="14">
        <f t="shared" si="39"/>
        <v>37.10364433723624</v>
      </c>
      <c r="CB45" s="22">
        <f t="shared" si="10"/>
        <v>314.59704855401958</v>
      </c>
      <c r="CC45" s="60">
        <f t="shared" si="11"/>
        <v>607.93038188735295</v>
      </c>
      <c r="CD45" s="60">
        <f ca="1">AVERAGE(OFFSET($CC$3,0,0,'Données projet'!$E$12+1,1))-AVERAGE(OFFSET($H$3,0,0,'Données projet'!$E$12+1,1))</f>
        <v>312.53381881960331</v>
      </c>
      <c r="CE45" s="60">
        <f t="shared" si="40"/>
        <v>342.06887933351783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134.65920000000006</v>
      </c>
      <c r="CV45" s="14">
        <f t="shared" si="41"/>
        <v>35.07074737441733</v>
      </c>
      <c r="CW45" s="22">
        <f t="shared" si="13"/>
        <v>295.61299167711024</v>
      </c>
      <c r="CX45" s="60">
        <f t="shared" si="14"/>
        <v>588.94632501044362</v>
      </c>
      <c r="CY45" s="60">
        <f ca="1">AVERAGE(OFFSET($CX$3,0,0,'Données projet'!$E$13+1,1))-AVERAGE(OFFSET($H$3,0,0,'Données projet'!$E$13+1,1))</f>
        <v>475.47920969424894</v>
      </c>
      <c r="CZ45" s="60">
        <f t="shared" si="42"/>
        <v>271.73544012419364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11.8676923076923</v>
      </c>
      <c r="DO45" s="13">
        <f>IF('Données projet'!$A$166&gt;35,DO44+DN45-DW44,IF(A45&lt;'Données projet'!$A$166,$DL$205^A45,IF(A45='Données projet'!$A$166,'Données projet'!$B$166,DO44+DN45-DW44)))</f>
        <v>276.75076923076921</v>
      </c>
      <c r="DP45" s="18">
        <f>DO45*VLOOKUP('Données projet'!$B$14,Paramètres!$A$1:$I$89,3,0)*VLOOKUP('Données projet'!$B$14,Paramètres!$A$1:$I$89,5,0)</f>
        <v>129.51935999999998</v>
      </c>
      <c r="DQ45" s="14">
        <f t="shared" si="43"/>
        <v>33.885273609195849</v>
      </c>
      <c r="DR45" s="22">
        <f t="shared" si="16"/>
        <v>284.596403536016</v>
      </c>
      <c r="DS45" s="60">
        <f t="shared" si="17"/>
        <v>577.92973686934931</v>
      </c>
      <c r="DT45" s="60">
        <f ca="1">AVERAGE(OFFSET($DS$3,0,0,'Données projet'!$E$14+1,1))-AVERAGE(OFFSET($H$3,0,0,'Données projet'!$E$14+1,1))</f>
        <v>284.71577701131588</v>
      </c>
      <c r="DU45" s="60">
        <f t="shared" si="44"/>
        <v>190.4880882944471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8.1999999999999993</v>
      </c>
      <c r="EJ45" s="13">
        <f>IF('Données projet'!$A$192&gt;35,EJ44+EI45-ER44,IF(A45&lt;'Données projet'!$A$192,$EG$205^A45,IF(A45='Données projet'!$A$192,'Données projet'!$B$192,EJ44+EI45-ER44)))</f>
        <v>180.39999999999986</v>
      </c>
      <c r="EK45" s="18">
        <f>EJ45*VLOOKUP('Données projet'!$B$15,Paramètres!$A$1:$I$89,3,0)*VLOOKUP('Données projet'!$B$15,Paramètres!$A$1:$I$89,5,0)</f>
        <v>132.2692799999999</v>
      </c>
      <c r="EL45" s="14">
        <f t="shared" si="45"/>
        <v>34.520194019648734</v>
      </c>
      <c r="EM45" s="22">
        <f t="shared" si="19"/>
        <v>290.49166725088799</v>
      </c>
      <c r="EN45" s="60">
        <f t="shared" si="20"/>
        <v>583.82500058422124</v>
      </c>
      <c r="EO45" s="60">
        <f ca="1">AVERAGE(OFFSET($EN$3,0,0,'Données projet'!$E$15+1,1))-AVERAGE(OFFSET($H$3,0,0,'Données projet'!$E$15+1,1))</f>
        <v>290.85271051443431</v>
      </c>
      <c r="EP45" s="60">
        <f t="shared" si="46"/>
        <v>318.66958823451142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0">
        <f t="shared" si="0"/>
        <v>574.15179438724942</v>
      </c>
      <c r="S46" s="60">
        <f ca="1">AVERAGE(OFFSET($R$3,0,0,'Données projet'!$E$9+1,1))-AVERAGE(OFFSET($H$3,0,0,'Données projet'!$E$9+1,1))</f>
        <v>428.8489304403459</v>
      </c>
      <c r="T46" s="60">
        <f t="shared" si="34"/>
        <v>247.01165577562966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17.519780219780223</v>
      </c>
      <c r="AI46" s="14">
        <f>IF('Données projet'!$A$62&gt;35,AI45+AH46-AQ45,IF(A46&lt;'Données projet'!$A$62,$AF$205^A46,IF(A46='Données projet'!$A$62,'Données projet'!$B$62,AI45+AH46-AQ45)))</f>
        <v>299.45054945054954</v>
      </c>
      <c r="AJ46" s="14">
        <f>AI46*VLOOKUP('Données projet'!$B$10,Paramètres!$A$1:$I$89,3,0)*VLOOKUP('Données projet'!$B$10,Paramètres!$A$1:$I$89,5,0)</f>
        <v>167.3928571428572</v>
      </c>
      <c r="AK46" s="14">
        <f t="shared" si="35"/>
        <v>42.505586135425617</v>
      </c>
      <c r="AL46" s="22">
        <f t="shared" si="4"/>
        <v>365.57312204300916</v>
      </c>
      <c r="AM46" s="60">
        <f t="shared" si="5"/>
        <v>658.90645537634248</v>
      </c>
      <c r="AN46" s="60">
        <f ca="1">AVERAGE(OFFSET($AM$3,0,0,'Données projet'!$E$10+1,1))-AVERAGE(OFFSET($H$3,0,0,'Données projet'!$E$10+1,1))</f>
        <v>323.98185264074681</v>
      </c>
      <c r="AO46" s="60">
        <f t="shared" si="36"/>
        <v>301.22207291854005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3.4494485306981622</v>
      </c>
      <c r="AV46" s="23">
        <f>EXP(-LN(2)/25)*AV45+(1-EXP(-LN(2)/25))/(LN(2)/25)*Calculateur!AQ46*Calculateur!AS46*VLOOKUP('Données projet'!$B$10,Paramètres!$A$1:$I$89,3,0)*0.475*44/12</f>
        <v>5.751434469446365</v>
      </c>
      <c r="AW46" s="23">
        <f>EXP(-LN(2)/2)*AW45+(1-EXP(-LN(2)/2))/(LN(2)/2)*AQ46*AT46*VLOOKUP('Données projet'!$B$10,Paramètres!$A$1:$I$89,3,0)*0.475*44/12</f>
        <v>6.7261402176000823E-2</v>
      </c>
      <c r="AX46" s="23">
        <f t="shared" si="6"/>
        <v>9.2681444023205284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11.861538461538462</v>
      </c>
      <c r="BD46" s="13">
        <f>IF('Données projet'!$A$88&gt;35,BD45+BC46-BL45,IF(A46&lt;'Données projet'!$A$88,$BA$205^A46,IF(A46='Données projet'!$A$88,'Données projet'!$B$88,BD45+BC46-BL45)))</f>
        <v>208.05384615384611</v>
      </c>
      <c r="BE46" s="14">
        <f>BD46*VLOOKUP('Données projet'!$B$11,Paramètres!$A$1:$I$89,3,0)*VLOOKUP('Données projet'!$B$11,Paramètres!$A$1:$I$89,5,0)</f>
        <v>124.41619999999999</v>
      </c>
      <c r="BF46" s="14">
        <f t="shared" si="37"/>
        <v>32.702828934083335</v>
      </c>
      <c r="BG46" s="22">
        <f t="shared" si="7"/>
        <v>273.64897539352847</v>
      </c>
      <c r="BH46" s="60">
        <f t="shared" si="8"/>
        <v>566.98230872686179</v>
      </c>
      <c r="BI46" s="60">
        <f ca="1">AVERAGE(OFFSET($BH$3,0,0,'Données projet'!$E$11+1,1))-AVERAGE(OFFSET($H$3,0,0,'Données projet'!$E$11+1,1))</f>
        <v>289.12367833861299</v>
      </c>
      <c r="BJ46" s="60">
        <f t="shared" si="38"/>
        <v>229.06617320689003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4.5816487564594395E-2</v>
      </c>
      <c r="BS46" s="24">
        <f t="shared" si="9"/>
        <v>4.5816487564594395E-2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8.1999999999999993</v>
      </c>
      <c r="BY46" s="13">
        <f>IF('Données projet'!$A$114&gt;35,BY45+BX46-CG45,IF(A46&lt;'Données projet'!$A$114,$BV$205^A46,IF(A46='Données projet'!$A$114,'Données projet'!$B$114,BY45+BX46-CG45)))</f>
        <v>188.59999999999985</v>
      </c>
      <c r="BZ46" s="14">
        <f>BY46*VLOOKUP('Données projet'!$B$12,Paramètres!$A$1:$I$89,3,0)*VLOOKUP('Données projet'!$B$12,Paramètres!$A$1:$I$89,5,0)</f>
        <v>150.05015999999989</v>
      </c>
      <c r="CA46" s="14">
        <f t="shared" si="39"/>
        <v>38.589984439024569</v>
      </c>
      <c r="CB46" s="22">
        <f t="shared" si="10"/>
        <v>328.5482515646342</v>
      </c>
      <c r="CC46" s="60">
        <f t="shared" si="11"/>
        <v>621.88158489796751</v>
      </c>
      <c r="CD46" s="60">
        <f ca="1">AVERAGE(OFFSET($CC$3,0,0,'Données projet'!$E$12+1,1))-AVERAGE(OFFSET($H$3,0,0,'Données projet'!$E$12+1,1))</f>
        <v>312.53381881960331</v>
      </c>
      <c r="CE46" s="60">
        <f t="shared" si="40"/>
        <v>342.06887933351783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143.17680000000004</v>
      </c>
      <c r="CV46" s="14">
        <f t="shared" si="41"/>
        <v>37.023812674521515</v>
      </c>
      <c r="CW46" s="22">
        <f t="shared" si="13"/>
        <v>313.84940040812506</v>
      </c>
      <c r="CX46" s="60">
        <f t="shared" si="14"/>
        <v>607.18273374145838</v>
      </c>
      <c r="CY46" s="60">
        <f ca="1">AVERAGE(OFFSET($CX$3,0,0,'Données projet'!$E$13+1,1))-AVERAGE(OFFSET($H$3,0,0,'Données projet'!$E$13+1,1))</f>
        <v>475.47920969424894</v>
      </c>
      <c r="CZ46" s="60">
        <f t="shared" si="42"/>
        <v>271.73544012419364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11.8676923076923</v>
      </c>
      <c r="DO46" s="13">
        <f>IF('Données projet'!$A$166&gt;35,DO45+DN46-DW45,IF(A46&lt;'Données projet'!$A$166,$DL$205^A46,IF(A46='Données projet'!$A$166,'Données projet'!$B$166,DO45+DN46-DW45)))</f>
        <v>288.61846153846153</v>
      </c>
      <c r="DP46" s="18">
        <f>DO46*VLOOKUP('Données projet'!$B$14,Paramètres!$A$1:$I$89,3,0)*VLOOKUP('Données projet'!$B$14,Paramètres!$A$1:$I$89,5,0)</f>
        <v>135.07344000000001</v>
      </c>
      <c r="DQ46" s="14">
        <f t="shared" si="43"/>
        <v>35.166057503796914</v>
      </c>
      <c r="DR46" s="22">
        <f t="shared" si="16"/>
        <v>296.5004581524463</v>
      </c>
      <c r="DS46" s="60">
        <f t="shared" si="17"/>
        <v>589.83379148577956</v>
      </c>
      <c r="DT46" s="60">
        <f ca="1">AVERAGE(OFFSET($DS$3,0,0,'Données projet'!$E$14+1,1))-AVERAGE(OFFSET($H$3,0,0,'Données projet'!$E$14+1,1))</f>
        <v>284.71577701131588</v>
      </c>
      <c r="DU46" s="60">
        <f t="shared" si="44"/>
        <v>190.4880882944471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8.1999999999999993</v>
      </c>
      <c r="EJ46" s="13">
        <f>IF('Données projet'!$A$192&gt;35,EJ45+EI46-ER45,IF(A46&lt;'Données projet'!$A$192,$EG$205^A46,IF(A46='Données projet'!$A$192,'Données projet'!$B$192,EJ45+EI46-ER45)))</f>
        <v>188.59999999999985</v>
      </c>
      <c r="EK46" s="18">
        <f>EJ46*VLOOKUP('Données projet'!$B$15,Paramètres!$A$1:$I$89,3,0)*VLOOKUP('Données projet'!$B$15,Paramètres!$A$1:$I$89,5,0)</f>
        <v>138.28151999999989</v>
      </c>
      <c r="EL46" s="14">
        <f t="shared" si="45"/>
        <v>35.903043322174639</v>
      </c>
      <c r="EM46" s="22">
        <f t="shared" si="19"/>
        <v>303.37144778612065</v>
      </c>
      <c r="EN46" s="60">
        <f t="shared" si="20"/>
        <v>596.70478111945397</v>
      </c>
      <c r="EO46" s="60">
        <f ca="1">AVERAGE(OFFSET($EN$3,0,0,'Données projet'!$E$15+1,1))-AVERAGE(OFFSET($H$3,0,0,'Données projet'!$E$15+1,1))</f>
        <v>290.85271051443431</v>
      </c>
      <c r="EP46" s="60">
        <f t="shared" si="46"/>
        <v>318.66958823451142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0">
        <f t="shared" si="0"/>
        <v>590.44356897369653</v>
      </c>
      <c r="S47" s="60">
        <f ca="1">AVERAGE(OFFSET($R$3,0,0,'Données projet'!$E$9+1,1))-AVERAGE(OFFSET($H$3,0,0,'Données projet'!$E$9+1,1))</f>
        <v>428.8489304403459</v>
      </c>
      <c r="T47" s="60">
        <f t="shared" si="34"/>
        <v>247.01165577562966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17.519780219780223</v>
      </c>
      <c r="AI47" s="14">
        <f>IF('Données projet'!$A$62&gt;35,AI46+AH47-AQ46,IF(A47&lt;'Données projet'!$A$62,$AF$205^A47,IF(A47='Données projet'!$A$62,'Données projet'!$B$62,AI46+AH47-AQ46)))</f>
        <v>316.97032967032976</v>
      </c>
      <c r="AJ47" s="14">
        <f>AI47*VLOOKUP('Données projet'!$B$10,Paramètres!$A$1:$I$89,3,0)*VLOOKUP('Données projet'!$B$10,Paramètres!$A$1:$I$89,5,0)</f>
        <v>177.18641428571433</v>
      </c>
      <c r="AK47" s="14">
        <f t="shared" si="35"/>
        <v>44.695642380138821</v>
      </c>
      <c r="AL47" s="22">
        <f t="shared" si="4"/>
        <v>386.44458202636088</v>
      </c>
      <c r="AM47" s="60">
        <f t="shared" si="5"/>
        <v>679.77791535969413</v>
      </c>
      <c r="AN47" s="60">
        <f ca="1">AVERAGE(OFFSET($AM$3,0,0,'Données projet'!$E$10+1,1))-AVERAGE(OFFSET($H$3,0,0,'Données projet'!$E$10+1,1))</f>
        <v>323.98185264074681</v>
      </c>
      <c r="AO47" s="60">
        <f t="shared" si="36"/>
        <v>301.22207291854005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3.3818069489670264</v>
      </c>
      <c r="AV47" s="23">
        <f>EXP(-LN(2)/25)*AV46+(1-EXP(-LN(2)/25))/(LN(2)/25)*Calculateur!AQ47*Calculateur!AS47*VLOOKUP('Données projet'!$B$10,Paramètres!$A$1:$I$89,3,0)*0.475*44/12</f>
        <v>5.5941611914245604</v>
      </c>
      <c r="AW47" s="23">
        <f>EXP(-LN(2)/2)*AW46+(1-EXP(-LN(2)/2))/(LN(2)/2)*AQ47*AT47*VLOOKUP('Données projet'!$B$10,Paramètres!$A$1:$I$89,3,0)*0.475*44/12</f>
        <v>4.7560993590765786E-2</v>
      </c>
      <c r="AX47" s="23">
        <f t="shared" si="6"/>
        <v>9.0235291339823522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11.861538461538462</v>
      </c>
      <c r="BD47" s="13">
        <f>IF('Données projet'!$A$88&gt;35,BD46+BC47-BL46,IF(A47&lt;'Données projet'!$A$88,$BA$205^A47,IF(A47='Données projet'!$A$88,'Données projet'!$B$88,BD46+BC47-BL46)))</f>
        <v>219.91538461538457</v>
      </c>
      <c r="BE47" s="14">
        <f>BD47*VLOOKUP('Données projet'!$B$11,Paramètres!$A$1:$I$89,3,0)*VLOOKUP('Données projet'!$B$11,Paramètres!$A$1:$I$89,5,0)</f>
        <v>131.50939999999997</v>
      </c>
      <c r="BF47" s="14">
        <f t="shared" si="37"/>
        <v>34.344902681781569</v>
      </c>
      <c r="BG47" s="22">
        <f t="shared" si="7"/>
        <v>288.86291050410284</v>
      </c>
      <c r="BH47" s="60">
        <f t="shared" si="8"/>
        <v>582.19624383743621</v>
      </c>
      <c r="BI47" s="60">
        <f ca="1">AVERAGE(OFFSET($BH$3,0,0,'Données projet'!$E$11+1,1))-AVERAGE(OFFSET($H$3,0,0,'Données projet'!$E$11+1,1))</f>
        <v>289.12367833861299</v>
      </c>
      <c r="BJ47" s="60">
        <f t="shared" si="38"/>
        <v>229.06617320689003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3.2397149047073824E-2</v>
      </c>
      <c r="BS47" s="24">
        <f t="shared" si="9"/>
        <v>3.2397149047073824E-2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8.1999999999999993</v>
      </c>
      <c r="BY47" s="13">
        <f>IF('Données projet'!$A$114&gt;35,BY46+BX47-CG46,IF(A47&lt;'Données projet'!$A$114,$BV$205^A47,IF(A47='Données projet'!$A$114,'Données projet'!$B$114,BY46+BX47-CG46)))</f>
        <v>196.79999999999984</v>
      </c>
      <c r="BZ47" s="14">
        <f>BY47*VLOOKUP('Données projet'!$B$12,Paramètres!$A$1:$I$89,3,0)*VLOOKUP('Données projet'!$B$12,Paramètres!$A$1:$I$89,5,0)</f>
        <v>156.5740799999999</v>
      </c>
      <c r="CA47" s="14">
        <f t="shared" si="39"/>
        <v>40.068818872547432</v>
      </c>
      <c r="CB47" s="22">
        <f t="shared" si="10"/>
        <v>342.4863822030199</v>
      </c>
      <c r="CC47" s="60">
        <f t="shared" si="11"/>
        <v>635.81971553635321</v>
      </c>
      <c r="CD47" s="60">
        <f ca="1">AVERAGE(OFFSET($CC$3,0,0,'Données projet'!$E$12+1,1))-AVERAGE(OFFSET($H$3,0,0,'Données projet'!$E$12+1,1))</f>
        <v>312.53381881960331</v>
      </c>
      <c r="CE47" s="60">
        <f t="shared" si="40"/>
        <v>342.06887933351783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151.69440000000006</v>
      </c>
      <c r="CV47" s="14">
        <f t="shared" si="41"/>
        <v>38.963392010880654</v>
      </c>
      <c r="CW47" s="22">
        <f t="shared" si="13"/>
        <v>332.06232108561721</v>
      </c>
      <c r="CX47" s="60">
        <f t="shared" si="14"/>
        <v>625.39565441895047</v>
      </c>
      <c r="CY47" s="60">
        <f ca="1">AVERAGE(OFFSET($CX$3,0,0,'Données projet'!$E$13+1,1))-AVERAGE(OFFSET($H$3,0,0,'Données projet'!$E$13+1,1))</f>
        <v>475.47920969424894</v>
      </c>
      <c r="CZ47" s="60">
        <f t="shared" si="42"/>
        <v>271.73544012419364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11.8676923076923</v>
      </c>
      <c r="DO47" s="13">
        <f>IF('Données projet'!$A$166&gt;35,DO46+DN47-DW46,IF(A47&lt;'Données projet'!$A$166,$DL$205^A47,IF(A47='Données projet'!$A$166,'Données projet'!$B$166,DO46+DN47-DW46)))</f>
        <v>300.48615384615385</v>
      </c>
      <c r="DP47" s="18">
        <f>DO47*VLOOKUP('Données projet'!$B$14,Paramètres!$A$1:$I$89,3,0)*VLOOKUP('Données projet'!$B$14,Paramètres!$A$1:$I$89,5,0)</f>
        <v>140.62752</v>
      </c>
      <c r="DQ47" s="14">
        <f t="shared" si="43"/>
        <v>36.440724075994105</v>
      </c>
      <c r="DR47" s="22">
        <f t="shared" si="16"/>
        <v>308.39385843235641</v>
      </c>
      <c r="DS47" s="60">
        <f t="shared" si="17"/>
        <v>601.72719176568967</v>
      </c>
      <c r="DT47" s="60">
        <f ca="1">AVERAGE(OFFSET($DS$3,0,0,'Données projet'!$E$14+1,1))-AVERAGE(OFFSET($H$3,0,0,'Données projet'!$E$14+1,1))</f>
        <v>284.71577701131588</v>
      </c>
      <c r="DU47" s="60">
        <f t="shared" si="44"/>
        <v>190.4880882944471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8.1999999999999993</v>
      </c>
      <c r="EJ47" s="13">
        <f>IF('Données projet'!$A$192&gt;35,EJ46+EI47-ER46,IF(A47&lt;'Données projet'!$A$192,$EG$205^A47,IF(A47='Données projet'!$A$192,'Données projet'!$B$192,EJ46+EI47-ER46)))</f>
        <v>196.79999999999984</v>
      </c>
      <c r="EK47" s="18">
        <f>EJ47*VLOOKUP('Données projet'!$B$15,Paramètres!$A$1:$I$89,3,0)*VLOOKUP('Données projet'!$B$15,Paramètres!$A$1:$I$89,5,0)</f>
        <v>144.29375999999988</v>
      </c>
      <c r="EL47" s="14">
        <f t="shared" si="45"/>
        <v>37.278909560653922</v>
      </c>
      <c r="EM47" s="22">
        <f t="shared" si="19"/>
        <v>316.23906615147206</v>
      </c>
      <c r="EN47" s="60">
        <f t="shared" si="20"/>
        <v>609.57239948480537</v>
      </c>
      <c r="EO47" s="60">
        <f ca="1">AVERAGE(OFFSET($EN$3,0,0,'Données projet'!$E$15+1,1))-AVERAGE(OFFSET($H$3,0,0,'Données projet'!$E$15+1,1))</f>
        <v>290.85271051443431</v>
      </c>
      <c r="EP47" s="60">
        <f t="shared" si="46"/>
        <v>318.66958823451142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0">
        <f t="shared" si="0"/>
        <v>606.71543359582972</v>
      </c>
      <c r="S48" s="60">
        <f ca="1">AVERAGE(OFFSET($R$3,0,0,'Données projet'!$E$9+1,1))-AVERAGE(OFFSET($H$3,0,0,'Données projet'!$E$9+1,1))</f>
        <v>428.8489304403459</v>
      </c>
      <c r="T48" s="60">
        <f t="shared" si="34"/>
        <v>247.01165577562966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17.519780219780223</v>
      </c>
      <c r="AI48" s="14">
        <f>IF('Données projet'!$A$62&gt;35,AI47+AH48-AQ47,IF(A48&lt;'Données projet'!$A$62,$AF$205^A48,IF(A48='Données projet'!$A$62,'Données projet'!$B$62,AI47+AH48-AQ47)))</f>
        <v>334.49010989010998</v>
      </c>
      <c r="AJ48" s="14">
        <f>AI48*VLOOKUP('Données projet'!$B$10,Paramètres!$A$1:$I$89,3,0)*VLOOKUP('Données projet'!$B$10,Paramètres!$A$1:$I$89,5,0)</f>
        <v>186.9799714285715</v>
      </c>
      <c r="AK48" s="14">
        <f t="shared" si="35"/>
        <v>46.871646064498115</v>
      </c>
      <c r="AL48" s="22">
        <f t="shared" si="4"/>
        <v>407.29156713376295</v>
      </c>
      <c r="AM48" s="60">
        <f t="shared" si="5"/>
        <v>700.62490046709627</v>
      </c>
      <c r="AN48" s="60">
        <f ca="1">AVERAGE(OFFSET($AM$3,0,0,'Données projet'!$E$10+1,1))-AVERAGE(OFFSET($H$3,0,0,'Données projet'!$E$10+1,1))</f>
        <v>323.98185264074681</v>
      </c>
      <c r="AO48" s="60">
        <f t="shared" si="36"/>
        <v>301.22207291854005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3.3154917773963475</v>
      </c>
      <c r="AV48" s="23">
        <f>EXP(-LN(2)/25)*AV47+(1-EXP(-LN(2)/25))/(LN(2)/25)*Calculateur!AQ48*Calculateur!AS48*VLOOKUP('Données projet'!$B$10,Paramètres!$A$1:$I$89,3,0)*0.475*44/12</f>
        <v>5.4411885594609046</v>
      </c>
      <c r="AW48" s="23">
        <f>EXP(-LN(2)/2)*AW47+(1-EXP(-LN(2)/2))/(LN(2)/2)*AQ48*AT48*VLOOKUP('Données projet'!$B$10,Paramètres!$A$1:$I$89,3,0)*0.475*44/12</f>
        <v>3.3630701088000411E-2</v>
      </c>
      <c r="AX48" s="23">
        <f t="shared" si="6"/>
        <v>8.7903110379452531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11.861538461538462</v>
      </c>
      <c r="BD48" s="13">
        <f>IF('Données projet'!$A$88&gt;35,BD47+BC48-BL47,IF(A48&lt;'Données projet'!$A$88,$BA$205^A48,IF(A48='Données projet'!$A$88,'Données projet'!$B$88,BD47+BC48-BL47)))</f>
        <v>231.77692307692303</v>
      </c>
      <c r="BE48" s="14">
        <f>BD48*VLOOKUP('Données projet'!$B$11,Paramètres!$A$1:$I$89,3,0)*VLOOKUP('Données projet'!$B$11,Paramètres!$A$1:$I$89,5,0)</f>
        <v>138.60259999999997</v>
      </c>
      <c r="BF48" s="14">
        <f t="shared" si="37"/>
        <v>35.976694116938198</v>
      </c>
      <c r="BG48" s="22">
        <f t="shared" si="7"/>
        <v>304.0589372536673</v>
      </c>
      <c r="BH48" s="60">
        <f t="shared" si="8"/>
        <v>597.39227058700067</v>
      </c>
      <c r="BI48" s="60">
        <f ca="1">AVERAGE(OFFSET($BH$3,0,0,'Données projet'!$E$11+1,1))-AVERAGE(OFFSET($H$3,0,0,'Données projet'!$E$11+1,1))</f>
        <v>289.12367833861299</v>
      </c>
      <c r="BJ48" s="60">
        <f t="shared" si="38"/>
        <v>229.06617320689003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2.2908243782297198E-2</v>
      </c>
      <c r="BS48" s="24">
        <f t="shared" si="9"/>
        <v>2.2908243782297198E-2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205</v>
      </c>
      <c r="BW48" s="13">
        <f>VLOOKUP(A48,'Données projet'!$A$113:$I$133,9,0)</f>
        <v>8.1999999999999993</v>
      </c>
      <c r="BX48" s="13">
        <f t="array" ref="BX48">INDEX(BW:BW,MIN(IF(ISNUMBER(BW48:BW244),ROW(BW48:BW244),"")))</f>
        <v>8.1999999999999993</v>
      </c>
      <c r="BY48" s="13">
        <f>IF('Données projet'!$A$114&gt;35,BY47+BX48-CG47,IF(A48&lt;'Données projet'!$A$114,$BV$205^A48,IF(A48='Données projet'!$A$114,'Données projet'!$B$114,BY47+BX48-CG47)))</f>
        <v>204.99999999999983</v>
      </c>
      <c r="BZ48" s="14">
        <f>BY48*VLOOKUP('Données projet'!$B$12,Paramètres!$A$1:$I$89,3,0)*VLOOKUP('Données projet'!$B$12,Paramètres!$A$1:$I$89,5,0)</f>
        <v>163.09799999999987</v>
      </c>
      <c r="CA48" s="14">
        <f t="shared" si="39"/>
        <v>41.540496136845107</v>
      </c>
      <c r="CB48" s="22">
        <f t="shared" si="10"/>
        <v>356.41204743833833</v>
      </c>
      <c r="CC48" s="60">
        <f t="shared" si="11"/>
        <v>649.74538077167165</v>
      </c>
      <c r="CD48" s="60">
        <f ca="1">AVERAGE(OFFSET($CC$3,0,0,'Données projet'!$E$12+1,1))-AVERAGE(OFFSET($H$3,0,0,'Données projet'!$E$12+1,1))</f>
        <v>312.53381881960331</v>
      </c>
      <c r="CE48" s="60">
        <f t="shared" si="40"/>
        <v>342.06887933351783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160.21200000000007</v>
      </c>
      <c r="CV48" s="14">
        <f t="shared" si="41"/>
        <v>40.890328912852731</v>
      </c>
      <c r="CW48" s="22">
        <f t="shared" si="13"/>
        <v>350.25322285655193</v>
      </c>
      <c r="CX48" s="60">
        <f t="shared" si="14"/>
        <v>643.58655618988519</v>
      </c>
      <c r="CY48" s="60">
        <f ca="1">AVERAGE(OFFSET($CX$3,0,0,'Données projet'!$E$13+1,1))-AVERAGE(OFFSET($H$3,0,0,'Données projet'!$E$13+1,1))</f>
        <v>475.47920969424894</v>
      </c>
      <c r="CZ48" s="60">
        <f t="shared" si="42"/>
        <v>271.73544012419364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312.35384615384612</v>
      </c>
      <c r="DM48" s="13">
        <f>VLOOKUP(A48,'Données projet'!$A$165:$I$185,9,0)</f>
        <v>11.8676923076923</v>
      </c>
      <c r="DN48" s="13">
        <f t="array" ref="DN48">INDEX(DM:DM,MIN(IF(ISNUMBER(DM48:DM244),ROW(DM48:DM244),"")))</f>
        <v>11.8676923076923</v>
      </c>
      <c r="DO48" s="13">
        <f>IF('Données projet'!$A$166&gt;35,DO47+DN48-DW47,IF(A48&lt;'Données projet'!$A$166,$DL$205^A48,IF(A48='Données projet'!$A$166,'Données projet'!$B$166,DO47+DN48-DW47)))</f>
        <v>312.35384615384618</v>
      </c>
      <c r="DP48" s="18">
        <f>DO48*VLOOKUP('Données projet'!$B$14,Paramètres!$A$1:$I$89,3,0)*VLOOKUP('Données projet'!$B$14,Paramètres!$A$1:$I$89,5,0)</f>
        <v>146.1816</v>
      </c>
      <c r="DQ48" s="14">
        <f t="shared" si="43"/>
        <v>37.709542575475581</v>
      </c>
      <c r="DR48" s="22">
        <f t="shared" si="16"/>
        <v>320.27707331895328</v>
      </c>
      <c r="DS48" s="60">
        <f t="shared" si="17"/>
        <v>613.61040665228666</v>
      </c>
      <c r="DT48" s="60">
        <f ca="1">AVERAGE(OFFSET($DS$3,0,0,'Données projet'!$E$14+1,1))-AVERAGE(OFFSET($H$3,0,0,'Données projet'!$E$14+1,1))</f>
        <v>284.71577701131588</v>
      </c>
      <c r="DU48" s="60">
        <f t="shared" si="44"/>
        <v>190.4880882944471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205</v>
      </c>
      <c r="EH48" s="13">
        <f>VLOOKUP(A48,'Données projet'!$A$191:$I$211,9,0)</f>
        <v>8.1999999999999993</v>
      </c>
      <c r="EI48" s="13">
        <f t="array" ref="EI48">INDEX(EH:EH,MIN(IF(ISNUMBER(EH48:EH244),ROW(EH48:EH244),"")))</f>
        <v>8.1999999999999993</v>
      </c>
      <c r="EJ48" s="13">
        <f>IF('Données projet'!$A$192&gt;35,EJ47+EI48-ER47,IF(A48&lt;'Données projet'!$A$192,$EG$205^A48,IF(A48='Données projet'!$A$192,'Données projet'!$B$192,EJ47+EI48-ER47)))</f>
        <v>204.99999999999983</v>
      </c>
      <c r="EK48" s="18">
        <f>EJ48*VLOOKUP('Données projet'!$B$15,Paramètres!$A$1:$I$89,3,0)*VLOOKUP('Données projet'!$B$15,Paramètres!$A$1:$I$89,5,0)</f>
        <v>150.30599999999987</v>
      </c>
      <c r="EL48" s="14">
        <f t="shared" si="45"/>
        <v>38.648116968856641</v>
      </c>
      <c r="EM48" s="22">
        <f t="shared" si="19"/>
        <v>329.09508705409172</v>
      </c>
      <c r="EN48" s="60">
        <f t="shared" si="20"/>
        <v>622.42842038742504</v>
      </c>
      <c r="EO48" s="60">
        <f ca="1">AVERAGE(OFFSET($EN$3,0,0,'Données projet'!$E$15+1,1))-AVERAGE(OFFSET($H$3,0,0,'Données projet'!$E$15+1,1))</f>
        <v>290.85271051443431</v>
      </c>
      <c r="EP48" s="60">
        <f t="shared" si="46"/>
        <v>318.66958823451142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0">
        <f t="shared" si="0"/>
        <v>622.58179746983251</v>
      </c>
      <c r="S49" s="60">
        <f ca="1">AVERAGE(OFFSET($R$3,0,0,'Données projet'!$E$9+1,1))-AVERAGE(OFFSET($H$3,0,0,'Données projet'!$E$9+1,1))</f>
        <v>428.8489304403459</v>
      </c>
      <c r="T49" s="60">
        <f t="shared" si="34"/>
        <v>247.01165577562966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17.519780219780223</v>
      </c>
      <c r="AI49" s="14">
        <f>IF('Données projet'!$A$62&gt;35,AI48+AH49-AQ48,IF(A49&lt;'Données projet'!$A$62,$AF$205^A49,IF(A49='Données projet'!$A$62,'Données projet'!$B$62,AI48+AH49-AQ48)))</f>
        <v>352.00989010989019</v>
      </c>
      <c r="AJ49" s="14">
        <f>AI49*VLOOKUP('Données projet'!$B$10,Paramètres!$A$1:$I$89,3,0)*VLOOKUP('Données projet'!$B$10,Paramètres!$A$1:$I$89,5,0)</f>
        <v>196.77352857142861</v>
      </c>
      <c r="AK49" s="14">
        <f t="shared" si="35"/>
        <v>49.034417171503861</v>
      </c>
      <c r="AL49" s="22">
        <f t="shared" si="4"/>
        <v>428.11550550227406</v>
      </c>
      <c r="AM49" s="60">
        <f t="shared" si="5"/>
        <v>721.44883883560738</v>
      </c>
      <c r="AN49" s="60">
        <f ca="1">AVERAGE(OFFSET($AM$3,0,0,'Données projet'!$E$10+1,1))-AVERAGE(OFFSET($H$3,0,0,'Données projet'!$E$10+1,1))</f>
        <v>323.98185264074681</v>
      </c>
      <c r="AO49" s="60">
        <f t="shared" si="36"/>
        <v>301.22207291854005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3.2504770058919088</v>
      </c>
      <c r="AV49" s="23">
        <f>EXP(-LN(2)/25)*AV48+(1-EXP(-LN(2)/25))/(LN(2)/25)*Calculateur!AQ49*Calculateur!AS49*VLOOKUP('Données projet'!$B$10,Paramètres!$A$1:$I$89,3,0)*0.475*44/12</f>
        <v>5.2923989721627756</v>
      </c>
      <c r="AW49" s="23">
        <f>EXP(-LN(2)/2)*AW48+(1-EXP(-LN(2)/2))/(LN(2)/2)*AQ49*AT49*VLOOKUP('Données projet'!$B$10,Paramètres!$A$1:$I$89,3,0)*0.475*44/12</f>
        <v>2.3780496795382893E-2</v>
      </c>
      <c r="AX49" s="23">
        <f t="shared" si="6"/>
        <v>8.5666564748500669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11.861538461538462</v>
      </c>
      <c r="BD49" s="13">
        <f>IF('Données projet'!$A$88&gt;35,BD48+BC49-BL48,IF(A49&lt;'Données projet'!$A$88,$BA$205^A49,IF(A49='Données projet'!$A$88,'Données projet'!$B$88,BD48+BC49-BL48)))</f>
        <v>243.63846153846148</v>
      </c>
      <c r="BE49" s="14">
        <f>BD49*VLOOKUP('Données projet'!$B$11,Paramètres!$A$1:$I$89,3,0)*VLOOKUP('Données projet'!$B$11,Paramètres!$A$1:$I$89,5,0)</f>
        <v>145.69579999999996</v>
      </c>
      <c r="BF49" s="14">
        <f t="shared" si="37"/>
        <v>37.598789481990465</v>
      </c>
      <c r="BG49" s="22">
        <f t="shared" si="7"/>
        <v>319.23807668113335</v>
      </c>
      <c r="BH49" s="60">
        <f t="shared" si="8"/>
        <v>612.57141001446666</v>
      </c>
      <c r="BI49" s="60">
        <f ca="1">AVERAGE(OFFSET($BH$3,0,0,'Données projet'!$E$11+1,1))-AVERAGE(OFFSET($H$3,0,0,'Données projet'!$E$11+1,1))</f>
        <v>289.12367833861299</v>
      </c>
      <c r="BJ49" s="60">
        <f t="shared" si="38"/>
        <v>229.06617320689003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1.6198574523536912E-2</v>
      </c>
      <c r="BS49" s="24">
        <f t="shared" si="9"/>
        <v>1.6198574523536912E-2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211.99999999999983</v>
      </c>
      <c r="BZ49" s="14">
        <f>BY49*VLOOKUP('Données projet'!$B$12,Paramètres!$A$1:$I$89,3,0)*VLOOKUP('Données projet'!$B$12,Paramètres!$A$1:$I$89,5,0)</f>
        <v>168.66719999999987</v>
      </c>
      <c r="CA49" s="14">
        <f t="shared" si="39"/>
        <v>42.791384119459089</v>
      </c>
      <c r="CB49" s="22">
        <f t="shared" si="10"/>
        <v>368.29036734139095</v>
      </c>
      <c r="CC49" s="60">
        <f t="shared" si="11"/>
        <v>661.6237006747242</v>
      </c>
      <c r="CD49" s="60">
        <f ca="1">AVERAGE(OFFSET($CC$3,0,0,'Données projet'!$E$12+1,1))-AVERAGE(OFFSET($H$3,0,0,'Données projet'!$E$12+1,1))</f>
        <v>312.53381881960331</v>
      </c>
      <c r="CE49" s="60">
        <f t="shared" si="40"/>
        <v>342.06887933351783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168.52680000000007</v>
      </c>
      <c r="CV49" s="14">
        <f t="shared" si="41"/>
        <v>42.759908842532369</v>
      </c>
      <c r="CW49" s="22">
        <f t="shared" si="13"/>
        <v>367.991017900744</v>
      </c>
      <c r="CX49" s="60">
        <f t="shared" si="14"/>
        <v>661.32435123407731</v>
      </c>
      <c r="CY49" s="60">
        <f ca="1">AVERAGE(OFFSET($CX$3,0,0,'Données projet'!$E$13+1,1))-AVERAGE(OFFSET($H$3,0,0,'Données projet'!$E$13+1,1))</f>
        <v>475.47920969424894</v>
      </c>
      <c r="CZ49" s="60">
        <f t="shared" si="42"/>
        <v>271.73544012419364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12.535897435897434</v>
      </c>
      <c r="DO49" s="13">
        <f>IF('Données projet'!$A$166&gt;35,DO48+DN49-DW48,IF(A49&lt;'Données projet'!$A$166,$DL$205^A49,IF(A49='Données projet'!$A$166,'Données projet'!$B$166,DO48+DN49-DW48)))</f>
        <v>324.8897435897436</v>
      </c>
      <c r="DP49" s="18">
        <f>DO49*VLOOKUP('Données projet'!$B$14,Paramètres!$A$1:$I$89,3,0)*VLOOKUP('Données projet'!$B$14,Paramètres!$A$1:$I$89,5,0)</f>
        <v>152.04840000000002</v>
      </c>
      <c r="DQ49" s="14">
        <f t="shared" si="43"/>
        <v>39.043723763259592</v>
      </c>
      <c r="DR49" s="22">
        <f t="shared" si="16"/>
        <v>332.81878222101051</v>
      </c>
      <c r="DS49" s="60">
        <f t="shared" si="17"/>
        <v>626.15211555434382</v>
      </c>
      <c r="DT49" s="60">
        <f ca="1">AVERAGE(OFFSET($DS$3,0,0,'Données projet'!$E$14+1,1))-AVERAGE(OFFSET($H$3,0,0,'Données projet'!$E$14+1,1))</f>
        <v>284.71577701131588</v>
      </c>
      <c r="DU49" s="60">
        <f t="shared" si="44"/>
        <v>190.4880882944471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</v>
      </c>
      <c r="EJ49" s="13">
        <f>IF('Données projet'!$A$192&gt;35,EJ48+EI49-ER48,IF(A49&lt;'Données projet'!$A$192,$EG$205^A49,IF(A49='Données projet'!$A$192,'Données projet'!$B$192,EJ48+EI49-ER48)))</f>
        <v>211.99999999999983</v>
      </c>
      <c r="EK49" s="18">
        <f>EJ49*VLOOKUP('Données projet'!$B$15,Paramètres!$A$1:$I$89,3,0)*VLOOKUP('Données projet'!$B$15,Paramètres!$A$1:$I$89,5,0)</f>
        <v>155.43839999999986</v>
      </c>
      <c r="EL49" s="14">
        <f t="shared" si="45"/>
        <v>39.811908198208883</v>
      </c>
      <c r="EM49" s="22">
        <f t="shared" si="19"/>
        <v>340.06095344521356</v>
      </c>
      <c r="EN49" s="60">
        <f t="shared" si="20"/>
        <v>633.39428677854687</v>
      </c>
      <c r="EO49" s="60">
        <f ca="1">AVERAGE(OFFSET($EN$3,0,0,'Données projet'!$E$15+1,1))-AVERAGE(OFFSET($H$3,0,0,'Données projet'!$E$15+1,1))</f>
        <v>290.85271051443431</v>
      </c>
      <c r="EP49" s="60">
        <f t="shared" si="46"/>
        <v>318.66958823451142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0">
        <f t="shared" si="0"/>
        <v>638.43129351369294</v>
      </c>
      <c r="S50" s="60">
        <f ca="1">AVERAGE(OFFSET($R$3,0,0,'Données projet'!$E$9+1,1))-AVERAGE(OFFSET($H$3,0,0,'Données projet'!$E$9+1,1))</f>
        <v>428.8489304403459</v>
      </c>
      <c r="T50" s="60">
        <f t="shared" si="34"/>
        <v>247.01165577562966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17.519780219780223</v>
      </c>
      <c r="AI50" s="14">
        <f>IF('Données projet'!$A$62&gt;35,AI49+AH50-AQ49,IF(A50&lt;'Données projet'!$A$62,$AF$205^A50,IF(A50='Données projet'!$A$62,'Données projet'!$B$62,AI49+AH50-AQ49)))</f>
        <v>369.52967032967041</v>
      </c>
      <c r="AJ50" s="14">
        <f>AI50*VLOOKUP('Données projet'!$B$10,Paramètres!$A$1:$I$89,3,0)*VLOOKUP('Données projet'!$B$10,Paramètres!$A$1:$I$89,5,0)</f>
        <v>206.56708571428578</v>
      </c>
      <c r="AK50" s="14">
        <f t="shared" si="35"/>
        <v>51.184689450990696</v>
      </c>
      <c r="AL50" s="22">
        <f t="shared" si="4"/>
        <v>448.91767507952318</v>
      </c>
      <c r="AM50" s="60">
        <f t="shared" si="5"/>
        <v>742.25100841285644</v>
      </c>
      <c r="AN50" s="60">
        <f ca="1">AVERAGE(OFFSET($AM$3,0,0,'Données projet'!$E$10+1,1))-AVERAGE(OFFSET($H$3,0,0,'Données projet'!$E$10+1,1))</f>
        <v>323.98185264074681</v>
      </c>
      <c r="AO50" s="60">
        <f t="shared" si="36"/>
        <v>301.22207291854005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3.1867371344015769</v>
      </c>
      <c r="AV50" s="23">
        <f>EXP(-LN(2)/25)*AV49+(1-EXP(-LN(2)/25))/(LN(2)/25)*Calculateur!AQ50*Calculateur!AS50*VLOOKUP('Données projet'!$B$10,Paramètres!$A$1:$I$89,3,0)*0.475*44/12</f>
        <v>5.1476780439538183</v>
      </c>
      <c r="AW50" s="23">
        <f>EXP(-LN(2)/2)*AW49+(1-EXP(-LN(2)/2))/(LN(2)/2)*AQ50*AT50*VLOOKUP('Données projet'!$B$10,Paramètres!$A$1:$I$89,3,0)*0.475*44/12</f>
        <v>1.6815350544000206E-2</v>
      </c>
      <c r="AX50" s="23">
        <f t="shared" si="6"/>
        <v>8.3512305288993964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11.861538461538462</v>
      </c>
      <c r="BD50" s="13">
        <f>IF('Données projet'!$A$88&gt;35,BD49+BC50-BL49,IF(A50&lt;'Données projet'!$A$88,$BA$205^A50,IF(A50='Données projet'!$A$88,'Données projet'!$B$88,BD49+BC50-BL49)))</f>
        <v>255.49999999999994</v>
      </c>
      <c r="BE50" s="14">
        <f>BD50*VLOOKUP('Données projet'!$B$11,Paramètres!$A$1:$I$89,3,0)*VLOOKUP('Données projet'!$B$11,Paramètres!$A$1:$I$89,5,0)</f>
        <v>152.78899999999996</v>
      </c>
      <c r="BF50" s="14">
        <f t="shared" si="37"/>
        <v>39.211714711932316</v>
      </c>
      <c r="BG50" s="22">
        <f t="shared" si="7"/>
        <v>334.40124478994869</v>
      </c>
      <c r="BH50" s="60">
        <f t="shared" si="8"/>
        <v>627.73457812328206</v>
      </c>
      <c r="BI50" s="60">
        <f ca="1">AVERAGE(OFFSET($BH$3,0,0,'Données projet'!$E$11+1,1))-AVERAGE(OFFSET($H$3,0,0,'Données projet'!$E$11+1,1))</f>
        <v>289.12367833861299</v>
      </c>
      <c r="BJ50" s="60">
        <f t="shared" si="38"/>
        <v>229.06617320689003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1.1454121891148599E-2</v>
      </c>
      <c r="BS50" s="24">
        <f t="shared" si="9"/>
        <v>1.1454121891148599E-2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218.99999999999983</v>
      </c>
      <c r="BZ50" s="14">
        <f>BY50*VLOOKUP('Données projet'!$B$12,Paramètres!$A$1:$I$89,3,0)*VLOOKUP('Données projet'!$B$12,Paramètres!$A$1:$I$89,5,0)</f>
        <v>174.23639999999986</v>
      </c>
      <c r="CA50" s="14">
        <f t="shared" si="39"/>
        <v>44.03747274965864</v>
      </c>
      <c r="CB50" s="22">
        <f t="shared" si="10"/>
        <v>380.16032837232183</v>
      </c>
      <c r="CC50" s="60">
        <f t="shared" si="11"/>
        <v>673.49366170565509</v>
      </c>
      <c r="CD50" s="60">
        <f ca="1">AVERAGE(OFFSET($CC$3,0,0,'Données projet'!$E$12+1,1))-AVERAGE(OFFSET($H$3,0,0,'Données projet'!$E$12+1,1))</f>
        <v>312.53381881960331</v>
      </c>
      <c r="CE50" s="60">
        <f t="shared" si="40"/>
        <v>342.06887933351783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176.84160000000006</v>
      </c>
      <c r="CV50" s="14">
        <f t="shared" si="41"/>
        <v>44.618778032982952</v>
      </c>
      <c r="CW50" s="22">
        <f t="shared" si="13"/>
        <v>385.71015840744536</v>
      </c>
      <c r="CX50" s="60">
        <f t="shared" si="14"/>
        <v>679.04349174077868</v>
      </c>
      <c r="CY50" s="60">
        <f ca="1">AVERAGE(OFFSET($CX$3,0,0,'Données projet'!$E$13+1,1))-AVERAGE(OFFSET($H$3,0,0,'Données projet'!$E$13+1,1))</f>
        <v>475.47920969424894</v>
      </c>
      <c r="CZ50" s="60">
        <f t="shared" si="42"/>
        <v>271.73544012419364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12.535897435897434</v>
      </c>
      <c r="DO50" s="13">
        <f>IF('Données projet'!$A$166&gt;35,DO49+DN50-DW49,IF(A50&lt;'Données projet'!$A$166,$DL$205^A50,IF(A50='Données projet'!$A$166,'Données projet'!$B$166,DO49+DN50-DW49)))</f>
        <v>337.42564102564103</v>
      </c>
      <c r="DP50" s="18">
        <f>DO50*VLOOKUP('Données projet'!$B$14,Paramètres!$A$1:$I$89,3,0)*VLOOKUP('Données projet'!$B$14,Paramètres!$A$1:$I$89,5,0)</f>
        <v>157.9152</v>
      </c>
      <c r="DQ50" s="14">
        <f t="shared" si="43"/>
        <v>40.371924607289195</v>
      </c>
      <c r="DR50" s="22">
        <f t="shared" si="16"/>
        <v>345.3500753576954</v>
      </c>
      <c r="DS50" s="60">
        <f t="shared" si="17"/>
        <v>638.68340869102872</v>
      </c>
      <c r="DT50" s="60">
        <f ca="1">AVERAGE(OFFSET($DS$3,0,0,'Données projet'!$E$14+1,1))-AVERAGE(OFFSET($H$3,0,0,'Données projet'!$E$14+1,1))</f>
        <v>284.71577701131588</v>
      </c>
      <c r="DU50" s="60">
        <f t="shared" si="44"/>
        <v>190.4880882944471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</v>
      </c>
      <c r="EJ50" s="13">
        <f>IF('Données projet'!$A$192&gt;35,EJ49+EI50-ER49,IF(A50&lt;'Données projet'!$A$192,$EG$205^A50,IF(A50='Données projet'!$A$192,'Données projet'!$B$192,EJ49+EI50-ER49)))</f>
        <v>218.99999999999983</v>
      </c>
      <c r="EK50" s="18">
        <f>EJ50*VLOOKUP('Données projet'!$B$15,Paramètres!$A$1:$I$89,3,0)*VLOOKUP('Données projet'!$B$15,Paramètres!$A$1:$I$89,5,0)</f>
        <v>160.57079999999985</v>
      </c>
      <c r="EL50" s="14">
        <f t="shared" si="45"/>
        <v>40.97123424416818</v>
      </c>
      <c r="EM50" s="22">
        <f t="shared" si="19"/>
        <v>351.01904297525931</v>
      </c>
      <c r="EN50" s="60">
        <f t="shared" si="20"/>
        <v>644.35237630859262</v>
      </c>
      <c r="EO50" s="60">
        <f ca="1">AVERAGE(OFFSET($EN$3,0,0,'Données projet'!$E$15+1,1))-AVERAGE(OFFSET($H$3,0,0,'Données projet'!$E$15+1,1))</f>
        <v>290.85271051443431</v>
      </c>
      <c r="EP50" s="60">
        <f t="shared" si="46"/>
        <v>318.66958823451142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0">
        <f t="shared" si="0"/>
        <v>654.26480538883823</v>
      </c>
      <c r="S51" s="60">
        <f ca="1">AVERAGE(OFFSET($R$3,0,0,'Données projet'!$E$9+1,1))-AVERAGE(OFFSET($H$3,0,0,'Données projet'!$E$9+1,1))</f>
        <v>428.8489304403459</v>
      </c>
      <c r="T51" s="60">
        <f t="shared" si="34"/>
        <v>247.01165577562966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17.519780219780223</v>
      </c>
      <c r="AI51" s="14">
        <f>IF('Données projet'!$A$62&gt;35,AI50+AH51-AQ50,IF(A51&lt;'Données projet'!$A$62,$AF$205^A51,IF(A51='Données projet'!$A$62,'Données projet'!$B$62,AI50+AH51-AQ50)))</f>
        <v>387.04945054945063</v>
      </c>
      <c r="AJ51" s="14">
        <f>AI51*VLOOKUP('Données projet'!$B$10,Paramètres!$A$1:$I$89,3,0)*VLOOKUP('Données projet'!$B$10,Paramètres!$A$1:$I$89,5,0)</f>
        <v>216.36064285714289</v>
      </c>
      <c r="AK51" s="14">
        <f t="shared" si="35"/>
        <v>53.323123145592824</v>
      </c>
      <c r="AL51" s="22">
        <f t="shared" si="4"/>
        <v>469.69922578809798</v>
      </c>
      <c r="AM51" s="60">
        <f t="shared" si="5"/>
        <v>763.03255912143129</v>
      </c>
      <c r="AN51" s="60">
        <f ca="1">AVERAGE(OFFSET($AM$3,0,0,'Données projet'!$E$10+1,1))-AVERAGE(OFFSET($H$3,0,0,'Données projet'!$E$10+1,1))</f>
        <v>323.98185264074681</v>
      </c>
      <c r="AO51" s="60">
        <f t="shared" si="36"/>
        <v>301.22207291854005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3.1242471629136879</v>
      </c>
      <c r="AV51" s="23">
        <f>EXP(-LN(2)/25)*AV50+(1-EXP(-LN(2)/25))/(LN(2)/25)*Calculateur!AQ51*Calculateur!AS51*VLOOKUP('Données projet'!$B$10,Paramètres!$A$1:$I$89,3,0)*0.475*44/12</f>
        <v>5.006914517137278</v>
      </c>
      <c r="AW51" s="23">
        <f>EXP(-LN(2)/2)*AW50+(1-EXP(-LN(2)/2))/(LN(2)/2)*AQ51*AT51*VLOOKUP('Données projet'!$B$10,Paramètres!$A$1:$I$89,3,0)*0.475*44/12</f>
        <v>1.1890248397691447E-2</v>
      </c>
      <c r="AX51" s="23">
        <f t="shared" si="6"/>
        <v>8.1430519284486564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11.861538461538462</v>
      </c>
      <c r="BD51" s="13">
        <f>IF('Données projet'!$A$88&gt;35,BD50+BC51-BL50,IF(A51&lt;'Données projet'!$A$88,$BA$205^A51,IF(A51='Données projet'!$A$88,'Données projet'!$B$88,BD50+BC51-BL50)))</f>
        <v>267.36153846153843</v>
      </c>
      <c r="BE51" s="14">
        <f>BD51*VLOOKUP('Données projet'!$B$11,Paramètres!$A$1:$I$89,3,0)*VLOOKUP('Données projet'!$B$11,Paramètres!$A$1:$I$89,5,0)</f>
        <v>159.88219999999998</v>
      </c>
      <c r="BF51" s="14">
        <f t="shared" si="37"/>
        <v>40.815944149041762</v>
      </c>
      <c r="BG51" s="22">
        <f t="shared" si="7"/>
        <v>349.54926772624771</v>
      </c>
      <c r="BH51" s="60">
        <f t="shared" si="8"/>
        <v>642.88260105958102</v>
      </c>
      <c r="BI51" s="60">
        <f ca="1">AVERAGE(OFFSET($BH$3,0,0,'Données projet'!$E$11+1,1))-AVERAGE(OFFSET($H$3,0,0,'Données projet'!$E$11+1,1))</f>
        <v>289.12367833861299</v>
      </c>
      <c r="BJ51" s="60">
        <f t="shared" si="38"/>
        <v>229.06617320689003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8.099287261768456E-3</v>
      </c>
      <c r="BS51" s="24">
        <f t="shared" si="9"/>
        <v>8.099287261768456E-3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225.99999999999983</v>
      </c>
      <c r="BZ51" s="14">
        <f>BY51*VLOOKUP('Données projet'!$B$12,Paramètres!$A$1:$I$89,3,0)*VLOOKUP('Données projet'!$B$12,Paramètres!$A$1:$I$89,5,0)</f>
        <v>179.80559999999988</v>
      </c>
      <c r="CA51" s="14">
        <f t="shared" si="39"/>
        <v>45.278933028529949</v>
      </c>
      <c r="CB51" s="22">
        <f t="shared" si="10"/>
        <v>392.0222283580228</v>
      </c>
      <c r="CC51" s="60">
        <f t="shared" si="11"/>
        <v>685.35556169135612</v>
      </c>
      <c r="CD51" s="60">
        <f ca="1">AVERAGE(OFFSET($CC$3,0,0,'Données projet'!$E$12+1,1))-AVERAGE(OFFSET($H$3,0,0,'Données projet'!$E$12+1,1))</f>
        <v>312.53381881960331</v>
      </c>
      <c r="CE51" s="60">
        <f t="shared" si="40"/>
        <v>342.06887933351783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185.15640000000002</v>
      </c>
      <c r="CV51" s="14">
        <f t="shared" si="41"/>
        <v>46.467497591770453</v>
      </c>
      <c r="CW51" s="22">
        <f t="shared" si="13"/>
        <v>403.4116216390002</v>
      </c>
      <c r="CX51" s="60">
        <f t="shared" si="14"/>
        <v>696.74495497233352</v>
      </c>
      <c r="CY51" s="60">
        <f ca="1">AVERAGE(OFFSET($CX$3,0,0,'Données projet'!$E$13+1,1))-AVERAGE(OFFSET($H$3,0,0,'Données projet'!$E$13+1,1))</f>
        <v>475.47920969424894</v>
      </c>
      <c r="CZ51" s="60">
        <f t="shared" si="42"/>
        <v>271.73544012419364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12.535897435897434</v>
      </c>
      <c r="DO51" s="13">
        <f>IF('Données projet'!$A$166&gt;35,DO50+DN51-DW50,IF(A51&lt;'Données projet'!$A$166,$DL$205^A51,IF(A51='Données projet'!$A$166,'Données projet'!$B$166,DO50+DN51-DW50)))</f>
        <v>349.96153846153845</v>
      </c>
      <c r="DP51" s="18">
        <f>DO51*VLOOKUP('Données projet'!$B$14,Paramètres!$A$1:$I$89,3,0)*VLOOKUP('Données projet'!$B$14,Paramètres!$A$1:$I$89,5,0)</f>
        <v>163.78200000000001</v>
      </c>
      <c r="DQ51" s="14">
        <f t="shared" si="43"/>
        <v>41.694392728849685</v>
      </c>
      <c r="DR51" s="22">
        <f t="shared" si="16"/>
        <v>357.87138400274654</v>
      </c>
      <c r="DS51" s="60">
        <f t="shared" si="17"/>
        <v>651.20471733607985</v>
      </c>
      <c r="DT51" s="60">
        <f ca="1">AVERAGE(OFFSET($DS$3,0,0,'Données projet'!$E$14+1,1))-AVERAGE(OFFSET($H$3,0,0,'Données projet'!$E$14+1,1))</f>
        <v>284.71577701131588</v>
      </c>
      <c r="DU51" s="60">
        <f t="shared" si="44"/>
        <v>190.4880882944471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</v>
      </c>
      <c r="EJ51" s="13">
        <f>IF('Données projet'!$A$192&gt;35,EJ50+EI51-ER50,IF(A51&lt;'Données projet'!$A$192,$EG$205^A51,IF(A51='Données projet'!$A$192,'Données projet'!$B$192,EJ50+EI51-ER50)))</f>
        <v>225.99999999999983</v>
      </c>
      <c r="EK51" s="18">
        <f>EJ51*VLOOKUP('Données projet'!$B$15,Paramètres!$A$1:$I$89,3,0)*VLOOKUP('Données projet'!$B$15,Paramètres!$A$1:$I$89,5,0)</f>
        <v>165.70319999999987</v>
      </c>
      <c r="EL51" s="14">
        <f t="shared" si="45"/>
        <v>42.126254201367267</v>
      </c>
      <c r="EM51" s="22">
        <f t="shared" si="19"/>
        <v>361.96963273404771</v>
      </c>
      <c r="EN51" s="60">
        <f t="shared" si="20"/>
        <v>655.30296606738102</v>
      </c>
      <c r="EO51" s="60">
        <f ca="1">AVERAGE(OFFSET($EN$3,0,0,'Données projet'!$E$15+1,1))-AVERAGE(OFFSET($H$3,0,0,'Données projet'!$E$15+1,1))</f>
        <v>290.85271051443431</v>
      </c>
      <c r="EP51" s="60">
        <f t="shared" si="46"/>
        <v>318.66958823451142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0">
        <f t="shared" si="0"/>
        <v>670.08313290501178</v>
      </c>
      <c r="S52" s="60">
        <f ca="1">AVERAGE(OFFSET($R$3,0,0,'Données projet'!$E$9+1,1))-AVERAGE(OFFSET($H$3,0,0,'Données projet'!$E$9+1,1))</f>
        <v>428.8489304403459</v>
      </c>
      <c r="T52" s="60">
        <f t="shared" si="34"/>
        <v>247.01165577562966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404.56923076923078</v>
      </c>
      <c r="AG52" s="13">
        <f>VLOOKUP(A52,'Données projet'!$A$61:$I$81,9,0)</f>
        <v>17.519780219780223</v>
      </c>
      <c r="AH52" s="13">
        <f t="array" ref="AH52">INDEX(AG:AG,MIN(IF(ISNUMBER(AG52:AG248),ROW(AG52:AG248),"")))</f>
        <v>17.519780219780223</v>
      </c>
      <c r="AI52" s="14">
        <f>IF('Données projet'!$A$62&gt;35,AI51+AH52-AQ51,IF(A52&lt;'Données projet'!$A$62,$AF$205^A52,IF(A52='Données projet'!$A$62,'Données projet'!$B$62,AI51+AH52-AQ51)))</f>
        <v>404.56923076923084</v>
      </c>
      <c r="AJ52" s="14">
        <f>AI52*VLOOKUP('Données projet'!$B$10,Paramètres!$A$1:$I$89,3,0)*VLOOKUP('Données projet'!$B$10,Paramètres!$A$1:$I$89,5,0)</f>
        <v>226.15420000000006</v>
      </c>
      <c r="AK52" s="14">
        <f t="shared" si="35"/>
        <v>55.450315347427065</v>
      </c>
      <c r="AL52" s="22">
        <f t="shared" si="4"/>
        <v>490.46119756343563</v>
      </c>
      <c r="AM52" s="60">
        <f t="shared" si="5"/>
        <v>783.79453089676895</v>
      </c>
      <c r="AN52" s="60">
        <f ca="1">AVERAGE(OFFSET($AM$3,0,0,'Données projet'!$E$10+1,1))-AVERAGE(OFFSET($H$3,0,0,'Données projet'!$E$10+1,1))</f>
        <v>323.98185264074681</v>
      </c>
      <c r="AO52" s="60">
        <f t="shared" si="36"/>
        <v>301.22207291854005</v>
      </c>
      <c r="AP52" s="16">
        <f>IF(ISNA(VLOOKUP(A52,'Données projet'!$A$61:$I$81,3,0)),0,VLOOKUP(A52,'Données projet'!$A$61:$I$81,3,0))</f>
        <v>5</v>
      </c>
      <c r="AQ52" s="16">
        <f>IF(ISNA(VLOOKUP(A52,'Données projet'!$A$61:$I$81,4,0)),0,VLOOKUP(A52,'Données projet'!$A$61:$I$81,4,0))</f>
        <v>90.453846153846158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3.062982581651557</v>
      </c>
      <c r="AV52" s="23">
        <f>EXP(-LN(2)/25)*AV51+(1-EXP(-LN(2)/25))/(LN(2)/25)*Calculateur!AQ52*Calculateur!AS52*VLOOKUP('Données projet'!$B$10,Paramètres!$A$1:$I$89,3,0)*0.475*44/12</f>
        <v>4.870000176363968</v>
      </c>
      <c r="AW52" s="23">
        <f>EXP(-LN(2)/2)*AW51+(1-EXP(-LN(2)/2))/(LN(2)/2)*AQ52*AT52*VLOOKUP('Données projet'!$B$10,Paramètres!$A$1:$I$89,3,0)*0.475*44/12</f>
        <v>8.4076752720001029E-3</v>
      </c>
      <c r="AX52" s="23">
        <f t="shared" si="6"/>
        <v>7.9413904332875251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11.861538461538462</v>
      </c>
      <c r="BD52" s="13">
        <f>IF('Données projet'!$A$88&gt;35,BD51+BC52-BL51,IF(A52&lt;'Données projet'!$A$88,$BA$205^A52,IF(A52='Données projet'!$A$88,'Données projet'!$B$88,BD51+BC52-BL51)))</f>
        <v>279.22307692307692</v>
      </c>
      <c r="BE52" s="14">
        <f>BD52*VLOOKUP('Données projet'!$B$11,Paramètres!$A$1:$I$89,3,0)*VLOOKUP('Données projet'!$B$11,Paramètres!$A$1:$I$89,5,0)</f>
        <v>166.97540000000001</v>
      </c>
      <c r="BF52" s="14">
        <f t="shared" si="37"/>
        <v>42.411907667415186</v>
      </c>
      <c r="BG52" s="22">
        <f t="shared" si="7"/>
        <v>364.68289418741483</v>
      </c>
      <c r="BH52" s="60">
        <f t="shared" si="8"/>
        <v>658.01622752074809</v>
      </c>
      <c r="BI52" s="60">
        <f ca="1">AVERAGE(OFFSET($BH$3,0,0,'Données projet'!$E$11+1,1))-AVERAGE(OFFSET($H$3,0,0,'Données projet'!$E$11+1,1))</f>
        <v>289.12367833861299</v>
      </c>
      <c r="BJ52" s="60">
        <f t="shared" si="38"/>
        <v>229.06617320689003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5.7270609455742994E-3</v>
      </c>
      <c r="BS52" s="24">
        <f t="shared" si="9"/>
        <v>5.7270609455742994E-3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232.99999999999983</v>
      </c>
      <c r="BZ52" s="14">
        <f>BY52*VLOOKUP('Données projet'!$B$12,Paramètres!$A$1:$I$89,3,0)*VLOOKUP('Données projet'!$B$12,Paramètres!$A$1:$I$89,5,0)</f>
        <v>185.37479999999988</v>
      </c>
      <c r="CA52" s="14">
        <f t="shared" si="39"/>
        <v>46.515924762412688</v>
      </c>
      <c r="CB52" s="22">
        <f t="shared" si="10"/>
        <v>403.87634562786849</v>
      </c>
      <c r="CC52" s="60">
        <f t="shared" si="11"/>
        <v>697.2096789612018</v>
      </c>
      <c r="CD52" s="60">
        <f ca="1">AVERAGE(OFFSET($CC$3,0,0,'Données projet'!$E$12+1,1))-AVERAGE(OFFSET($H$3,0,0,'Données projet'!$E$12+1,1))</f>
        <v>312.53381881960331</v>
      </c>
      <c r="CE52" s="60">
        <f t="shared" si="40"/>
        <v>342.06887933351783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193.47120000000001</v>
      </c>
      <c r="CV52" s="14">
        <f t="shared" si="41"/>
        <v>48.306575382296536</v>
      </c>
      <c r="CW52" s="22">
        <f t="shared" si="13"/>
        <v>421.09629212416644</v>
      </c>
      <c r="CX52" s="60">
        <f t="shared" si="14"/>
        <v>714.4296254574997</v>
      </c>
      <c r="CY52" s="60">
        <f ca="1">AVERAGE(OFFSET($CX$3,0,0,'Données projet'!$E$13+1,1))-AVERAGE(OFFSET($H$3,0,0,'Données projet'!$E$13+1,1))</f>
        <v>475.47920969424894</v>
      </c>
      <c r="CZ52" s="60">
        <f t="shared" si="42"/>
        <v>271.73544012419364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12.535897435897434</v>
      </c>
      <c r="DO52" s="13">
        <f>IF('Données projet'!$A$166&gt;35,DO51+DN52-DW51,IF(A52&lt;'Données projet'!$A$166,$DL$205^A52,IF(A52='Données projet'!$A$166,'Données projet'!$B$166,DO51+DN52-DW51)))</f>
        <v>362.49743589743588</v>
      </c>
      <c r="DP52" s="18">
        <f>DO52*VLOOKUP('Données projet'!$B$14,Paramètres!$A$1:$I$89,3,0)*VLOOKUP('Données projet'!$B$14,Paramètres!$A$1:$I$89,5,0)</f>
        <v>169.64879999999997</v>
      </c>
      <c r="DQ52" s="14">
        <f t="shared" si="43"/>
        <v>43.01135700364128</v>
      </c>
      <c r="DR52" s="22">
        <f t="shared" si="16"/>
        <v>370.38310678134184</v>
      </c>
      <c r="DS52" s="60">
        <f t="shared" si="17"/>
        <v>663.71644011467515</v>
      </c>
      <c r="DT52" s="60">
        <f ca="1">AVERAGE(OFFSET($DS$3,0,0,'Données projet'!$E$14+1,1))-AVERAGE(OFFSET($H$3,0,0,'Données projet'!$E$14+1,1))</f>
        <v>284.71577701131588</v>
      </c>
      <c r="DU52" s="60">
        <f t="shared" si="44"/>
        <v>190.4880882944471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</v>
      </c>
      <c r="EJ52" s="13">
        <f>IF('Données projet'!$A$192&gt;35,EJ51+EI52-ER51,IF(A52&lt;'Données projet'!$A$192,$EG$205^A52,IF(A52='Données projet'!$A$192,'Données projet'!$B$192,EJ51+EI52-ER51)))</f>
        <v>232.99999999999983</v>
      </c>
      <c r="EK52" s="18">
        <f>EJ52*VLOOKUP('Données projet'!$B$15,Paramètres!$A$1:$I$89,3,0)*VLOOKUP('Données projet'!$B$15,Paramètres!$A$1:$I$89,5,0)</f>
        <v>170.83559999999989</v>
      </c>
      <c r="EL52" s="14">
        <f t="shared" si="45"/>
        <v>43.277116749159646</v>
      </c>
      <c r="EM52" s="22">
        <f t="shared" si="19"/>
        <v>372.91298167145283</v>
      </c>
      <c r="EN52" s="60">
        <f t="shared" si="20"/>
        <v>666.24631500478608</v>
      </c>
      <c r="EO52" s="60">
        <f ca="1">AVERAGE(OFFSET($EN$3,0,0,'Données projet'!$E$15+1,1))-AVERAGE(OFFSET($H$3,0,0,'Données projet'!$E$15+1,1))</f>
        <v>290.85271051443431</v>
      </c>
      <c r="EP52" s="60">
        <f t="shared" si="46"/>
        <v>318.66958823451142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0">
        <f t="shared" si="0"/>
        <v>685.88700323711032</v>
      </c>
      <c r="S53" s="60">
        <f ca="1">AVERAGE(OFFSET($R$3,0,0,'Données projet'!$E$9+1,1))-AVERAGE(OFFSET($H$3,0,0,'Données projet'!$E$9+1,1))</f>
        <v>428.8489304403459</v>
      </c>
      <c r="T53" s="60">
        <f t="shared" si="34"/>
        <v>247.01165577562966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16.227472527472521</v>
      </c>
      <c r="AI53" s="14">
        <f>IF('Données projet'!$A$62&gt;35,AI52+AH53-AQ52,IF(A53&lt;'Données projet'!$A$62,$AF$205^A53,IF(A53='Données projet'!$A$62,'Données projet'!$B$62,AI52+AH53-AQ52)))</f>
        <v>330.34285714285721</v>
      </c>
      <c r="AJ53" s="14">
        <f>AI53*VLOOKUP('Données projet'!$B$10,Paramètres!$A$1:$I$89,3,0)*VLOOKUP('Données projet'!$B$10,Paramètres!$A$1:$I$89,5,0)</f>
        <v>184.66165714285719</v>
      </c>
      <c r="AK53" s="14">
        <f t="shared" si="35"/>
        <v>46.357770619215231</v>
      </c>
      <c r="AL53" s="22">
        <f t="shared" si="4"/>
        <v>402.3588366856095</v>
      </c>
      <c r="AM53" s="60">
        <f t="shared" si="5"/>
        <v>695.69217001894276</v>
      </c>
      <c r="AN53" s="60">
        <f ca="1">AVERAGE(OFFSET($AM$3,0,0,'Données projet'!$E$10+1,1))-AVERAGE(OFFSET($H$3,0,0,'Données projet'!$E$10+1,1))</f>
        <v>323.98185264074681</v>
      </c>
      <c r="AO53" s="60">
        <f t="shared" si="36"/>
        <v>301.22207291854005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3.0029193614602718</v>
      </c>
      <c r="AV53" s="23">
        <f>EXP(-LN(2)/25)*AV52+(1-EXP(-LN(2)/25))/(LN(2)/25)*Calculateur!AQ53*Calculateur!AS53*VLOOKUP('Données projet'!$B$10,Paramètres!$A$1:$I$89,3,0)*0.475*44/12</f>
        <v>4.7368297654391167</v>
      </c>
      <c r="AW53" s="23">
        <f>EXP(-LN(2)/2)*AW52+(1-EXP(-LN(2)/2))/(LN(2)/2)*AQ53*AT53*VLOOKUP('Données projet'!$B$10,Paramètres!$A$1:$I$89,3,0)*0.475*44/12</f>
        <v>5.9451241988457233E-3</v>
      </c>
      <c r="AX53" s="23">
        <f t="shared" si="6"/>
        <v>7.7456942510982341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291.0846153846154</v>
      </c>
      <c r="BB53" s="13">
        <f>VLOOKUP(A53,'Données projet'!$A$87:$I$107,9,0)</f>
        <v>11.861538461538462</v>
      </c>
      <c r="BC53" s="13">
        <f t="array" ref="BC53">INDEX(BB:BB,MIN(IF(ISNUMBER(BB53:BB249),ROW(BB53:BB249),"")))</f>
        <v>11.861538461538462</v>
      </c>
      <c r="BD53" s="13">
        <f>IF('Données projet'!$A$88&gt;35,BD52+BC53-BL52,IF(A53&lt;'Données projet'!$A$88,$BA$205^A53,IF(A53='Données projet'!$A$88,'Données projet'!$B$88,BD52+BC53-BL52)))</f>
        <v>291.0846153846154</v>
      </c>
      <c r="BE53" s="14">
        <f>BD53*VLOOKUP('Données projet'!$B$11,Paramètres!$A$1:$I$89,3,0)*VLOOKUP('Données projet'!$B$11,Paramètres!$A$1:$I$89,5,0)</f>
        <v>174.06860000000003</v>
      </c>
      <c r="BF53" s="14">
        <f t="shared" si="37"/>
        <v>43.999996552753835</v>
      </c>
      <c r="BG53" s="22">
        <f t="shared" si="7"/>
        <v>379.80280566271296</v>
      </c>
      <c r="BH53" s="60">
        <f t="shared" si="8"/>
        <v>673.13613899604627</v>
      </c>
      <c r="BI53" s="60">
        <f ca="1">AVERAGE(OFFSET($BH$3,0,0,'Données projet'!$E$11+1,1))-AVERAGE(OFFSET($H$3,0,0,'Données projet'!$E$11+1,1))</f>
        <v>289.12367833861299</v>
      </c>
      <c r="BJ53" s="60">
        <f t="shared" si="38"/>
        <v>229.06617320689003</v>
      </c>
      <c r="BK53" s="16">
        <f>IF(ISNA(VLOOKUP(A53,'Données projet'!$A$87:$I$107,3,0)),0,VLOOKUP(A53,'Données projet'!$A$87:$I$107,3,0))</f>
        <v>5</v>
      </c>
      <c r="BL53" s="16">
        <f>IF(ISNA(VLOOKUP(A53,'Données projet'!$A$87:$I$107,4,0)),0,VLOOKUP(A53,'Données projet'!$A$87:$I$107,4,0))</f>
        <v>55.292307692307688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4.049643630884228E-3</v>
      </c>
      <c r="BS53" s="24">
        <f t="shared" si="9"/>
        <v>4.049643630884228E-3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240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239.99999999999983</v>
      </c>
      <c r="BZ53" s="14">
        <f>BY53*VLOOKUP('Données projet'!$B$12,Paramètres!$A$1:$I$89,3,0)*VLOOKUP('Données projet'!$B$12,Paramètres!$A$1:$I$89,5,0)</f>
        <v>190.94399999999987</v>
      </c>
      <c r="CA53" s="14">
        <f t="shared" si="39"/>
        <v>47.748597609826554</v>
      </c>
      <c r="CB53" s="22">
        <f t="shared" si="10"/>
        <v>415.72294083711432</v>
      </c>
      <c r="CC53" s="60">
        <f t="shared" si="11"/>
        <v>709.05627417044764</v>
      </c>
      <c r="CD53" s="60">
        <f ca="1">AVERAGE(OFFSET($CC$3,0,0,'Données projet'!$E$12+1,1))-AVERAGE(OFFSET($H$3,0,0,'Données projet'!$E$12+1,1))</f>
        <v>312.53381881960331</v>
      </c>
      <c r="CE53" s="60">
        <f t="shared" si="40"/>
        <v>342.06887933351783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39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201.786</v>
      </c>
      <c r="CV53" s="14">
        <f t="shared" si="41"/>
        <v>50.136473146268756</v>
      </c>
      <c r="CW53" s="22">
        <f t="shared" si="13"/>
        <v>438.76497406308476</v>
      </c>
      <c r="CX53" s="60">
        <f t="shared" si="14"/>
        <v>732.09830739641802</v>
      </c>
      <c r="CY53" s="60">
        <f ca="1">AVERAGE(OFFSET($CX$3,0,0,'Données projet'!$E$13+1,1))-AVERAGE(OFFSET($H$3,0,0,'Données projet'!$E$13+1,1))</f>
        <v>475.47920969424894</v>
      </c>
      <c r="CZ53" s="60">
        <f t="shared" si="42"/>
        <v>271.73544012419364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12.535897435897434</v>
      </c>
      <c r="DO53" s="13">
        <f>IF('Données projet'!$A$166&gt;35,DO52+DN53-DW52,IF(A53&lt;'Données projet'!$A$166,$DL$205^A53,IF(A53='Données projet'!$A$166,'Données projet'!$B$166,DO52+DN53-DW52)))</f>
        <v>375.0333333333333</v>
      </c>
      <c r="DP53" s="18">
        <f>DO53*VLOOKUP('Données projet'!$B$14,Paramètres!$A$1:$I$89,3,0)*VLOOKUP('Données projet'!$B$14,Paramètres!$A$1:$I$89,5,0)</f>
        <v>175.51559999999998</v>
      </c>
      <c r="DQ53" s="14">
        <f t="shared" si="43"/>
        <v>44.323029579604544</v>
      </c>
      <c r="DR53" s="22">
        <f t="shared" si="16"/>
        <v>382.8856131844779</v>
      </c>
      <c r="DS53" s="60">
        <f t="shared" si="17"/>
        <v>676.21894651781122</v>
      </c>
      <c r="DT53" s="60">
        <f ca="1">AVERAGE(OFFSET($DS$3,0,0,'Données projet'!$E$14+1,1))-AVERAGE(OFFSET($H$3,0,0,'Données projet'!$E$14+1,1))</f>
        <v>284.71577701131588</v>
      </c>
      <c r="DU53" s="60">
        <f t="shared" si="44"/>
        <v>190.4880882944471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240</v>
      </c>
      <c r="EH53" s="13">
        <f>VLOOKUP(A53,'Données projet'!$A$191:$I$211,9,0)</f>
        <v>7</v>
      </c>
      <c r="EI53" s="13">
        <f t="array" ref="EI53">INDEX(EH:EH,MIN(IF(ISNUMBER(EH53:EH249),ROW(EH53:EH249),"")))</f>
        <v>7</v>
      </c>
      <c r="EJ53" s="13">
        <f>IF('Données projet'!$A$192&gt;35,EJ52+EI53-ER52,IF(A53&lt;'Données projet'!$A$192,$EG$205^A53,IF(A53='Données projet'!$A$192,'Données projet'!$B$192,EJ52+EI53-ER52)))</f>
        <v>239.99999999999983</v>
      </c>
      <c r="EK53" s="18">
        <f>EJ53*VLOOKUP('Données projet'!$B$15,Paramètres!$A$1:$I$89,3,0)*VLOOKUP('Données projet'!$B$15,Paramètres!$A$1:$I$89,5,0)</f>
        <v>175.96799999999988</v>
      </c>
      <c r="EL53" s="14">
        <f t="shared" si="45"/>
        <v>44.423961125650585</v>
      </c>
      <c r="EM53" s="22">
        <f t="shared" si="19"/>
        <v>383.8493322938412</v>
      </c>
      <c r="EN53" s="60">
        <f t="shared" si="20"/>
        <v>677.18266562717452</v>
      </c>
      <c r="EO53" s="60">
        <f ca="1">AVERAGE(OFFSET($EN$3,0,0,'Données projet'!$E$15+1,1))-AVERAGE(OFFSET($H$3,0,0,'Données projet'!$E$15+1,1))</f>
        <v>290.85271051443431</v>
      </c>
      <c r="EP53" s="60">
        <f t="shared" si="46"/>
        <v>318.66958823451142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39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0">
        <f t="shared" si="0"/>
        <v>620.26096644164511</v>
      </c>
      <c r="S54" s="60">
        <f ca="1">AVERAGE(OFFSET($R$3,0,0,'Données projet'!$E$9+1,1))-AVERAGE(OFFSET($H$3,0,0,'Données projet'!$E$9+1,1))</f>
        <v>428.8489304403459</v>
      </c>
      <c r="T54" s="60">
        <f t="shared" si="34"/>
        <v>247.01165577562966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16.227472527472521</v>
      </c>
      <c r="AI54" s="14">
        <f>IF('Données projet'!$A$62&gt;35,AI53+AH54-AQ53,IF(A54&lt;'Données projet'!$A$62,$AF$205^A54,IF(A54='Données projet'!$A$62,'Données projet'!$B$62,AI53+AH54-AQ53)))</f>
        <v>346.57032967032973</v>
      </c>
      <c r="AJ54" s="14">
        <f>AI54*VLOOKUP('Données projet'!$B$10,Paramètres!$A$1:$I$89,3,0)*VLOOKUP('Données projet'!$B$10,Paramètres!$A$1:$I$89,5,0)</f>
        <v>193.73281428571431</v>
      </c>
      <c r="AK54" s="14">
        <f t="shared" si="35"/>
        <v>48.364288285880889</v>
      </c>
      <c r="AL54" s="22">
        <f t="shared" si="4"/>
        <v>421.65245364552828</v>
      </c>
      <c r="AM54" s="60">
        <f t="shared" si="5"/>
        <v>714.9857869788616</v>
      </c>
      <c r="AN54" s="60">
        <f ca="1">AVERAGE(OFFSET($AM$3,0,0,'Données projet'!$E$10+1,1))-AVERAGE(OFFSET($H$3,0,0,'Données projet'!$E$10+1,1))</f>
        <v>323.98185264074681</v>
      </c>
      <c r="AO54" s="60">
        <f t="shared" si="36"/>
        <v>301.22207291854005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2.944033944381991</v>
      </c>
      <c r="AV54" s="23">
        <f>EXP(-LN(2)/25)*AV53+(1-EXP(-LN(2)/25))/(LN(2)/25)*Calculateur!AQ54*Calculateur!AS54*VLOOKUP('Données projet'!$B$10,Paramètres!$A$1:$I$89,3,0)*0.475*44/12</f>
        <v>4.6073009064041326</v>
      </c>
      <c r="AW54" s="23">
        <f>EXP(-LN(2)/2)*AW53+(1-EXP(-LN(2)/2))/(LN(2)/2)*AQ54*AT54*VLOOKUP('Données projet'!$B$10,Paramètres!$A$1:$I$89,3,0)*0.475*44/12</f>
        <v>4.2038376360000514E-3</v>
      </c>
      <c r="AX54" s="23">
        <f t="shared" si="6"/>
        <v>7.5555386884221232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10.66307692307692</v>
      </c>
      <c r="BD54" s="13">
        <f>IF('Données projet'!$A$88&gt;35,BD53+BC54-BL53,IF(A54&lt;'Données projet'!$A$88,$BA$205^A54,IF(A54='Données projet'!$A$88,'Données projet'!$B$88,BD53+BC54-BL53)))</f>
        <v>246.45538461538462</v>
      </c>
      <c r="BE54" s="14">
        <f>BD54*VLOOKUP('Données projet'!$B$11,Paramètres!$A$1:$I$89,3,0)*VLOOKUP('Données projet'!$B$11,Paramètres!$A$1:$I$89,5,0)</f>
        <v>147.38032000000001</v>
      </c>
      <c r="BF54" s="14">
        <f t="shared" si="37"/>
        <v>37.982644854557613</v>
      </c>
      <c r="BG54" s="22">
        <f t="shared" si="7"/>
        <v>322.84049712168786</v>
      </c>
      <c r="BH54" s="60">
        <f t="shared" si="8"/>
        <v>616.17383045502118</v>
      </c>
      <c r="BI54" s="60">
        <f ca="1">AVERAGE(OFFSET($BH$3,0,0,'Données projet'!$E$11+1,1))-AVERAGE(OFFSET($H$3,0,0,'Données projet'!$E$11+1,1))</f>
        <v>289.12367833861299</v>
      </c>
      <c r="BJ54" s="60">
        <f t="shared" si="38"/>
        <v>229.06617320689003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2.8635304727871497E-3</v>
      </c>
      <c r="BS54" s="24">
        <f t="shared" si="9"/>
        <v>2.8635304727871497E-3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6.4</v>
      </c>
      <c r="BY54" s="13">
        <f>IF('Données projet'!$A$114&gt;35,BY53+BX54-CG53,IF(A54&lt;'Données projet'!$A$114,$BV$205^A54,IF(A54='Données projet'!$A$114,'Données projet'!$B$114,BY53+BX54-CG53)))</f>
        <v>207.39999999999984</v>
      </c>
      <c r="BZ54" s="14">
        <f>BY54*VLOOKUP('Données projet'!$B$12,Paramètres!$A$1:$I$89,3,0)*VLOOKUP('Données projet'!$B$12,Paramètres!$A$1:$I$89,5,0)</f>
        <v>165.00743999999986</v>
      </c>
      <c r="CA54" s="14">
        <f t="shared" si="39"/>
        <v>41.969923817052226</v>
      </c>
      <c r="CB54" s="22">
        <f t="shared" si="10"/>
        <v>360.48557531469902</v>
      </c>
      <c r="CC54" s="60">
        <f t="shared" si="11"/>
        <v>653.81890864803233</v>
      </c>
      <c r="CD54" s="60">
        <f ca="1">AVERAGE(OFFSET($CC$3,0,0,'Données projet'!$E$12+1,1))-AVERAGE(OFFSET($H$3,0,0,'Données projet'!$E$12+1,1))</f>
        <v>312.53381881960331</v>
      </c>
      <c r="CE54" s="60">
        <f t="shared" si="40"/>
        <v>342.06887933351783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167.31</v>
      </c>
      <c r="CV54" s="14">
        <f t="shared" si="41"/>
        <v>42.486994942347515</v>
      </c>
      <c r="CW54" s="22">
        <f t="shared" si="13"/>
        <v>365.39643285792187</v>
      </c>
      <c r="CX54" s="60">
        <f t="shared" si="14"/>
        <v>658.72976619125518</v>
      </c>
      <c r="CY54" s="60">
        <f ca="1">AVERAGE(OFFSET($CX$3,0,0,'Données projet'!$E$13+1,1))-AVERAGE(OFFSET($H$3,0,0,'Données projet'!$E$13+1,1))</f>
        <v>475.47920969424894</v>
      </c>
      <c r="CZ54" s="60">
        <f t="shared" si="42"/>
        <v>271.73544012419364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>
        <f>VLOOKUP(A54,'Données projet'!$A$165:$I$185,2,0)</f>
        <v>387.56923076923073</v>
      </c>
      <c r="DM54" s="13">
        <f>VLOOKUP(A54,'Données projet'!$A$165:$I$185,9,0)</f>
        <v>12.535897435897434</v>
      </c>
      <c r="DN54" s="13">
        <f t="array" ref="DN54">INDEX(DM:DM,MIN(IF(ISNUMBER(DM54:DM250),ROW(DM54:DM250),"")))</f>
        <v>12.535897435897434</v>
      </c>
      <c r="DO54" s="13">
        <f>IF('Données projet'!$A$166&gt;35,DO53+DN54-DW53,IF(A54&lt;'Données projet'!$A$166,$DL$205^A54,IF(A54='Données projet'!$A$166,'Données projet'!$B$166,DO53+DN54-DW53)))</f>
        <v>387.56923076923073</v>
      </c>
      <c r="DP54" s="18">
        <f>DO54*VLOOKUP('Données projet'!$B$14,Paramètres!$A$1:$I$89,3,0)*VLOOKUP('Données projet'!$B$14,Paramètres!$A$1:$I$89,5,0)</f>
        <v>181.38239999999996</v>
      </c>
      <c r="DQ54" s="14">
        <f t="shared" si="43"/>
        <v>45.629607617375228</v>
      </c>
      <c r="DR54" s="22">
        <f t="shared" si="16"/>
        <v>395.37924660026175</v>
      </c>
      <c r="DS54" s="60">
        <f t="shared" si="17"/>
        <v>688.71257993359507</v>
      </c>
      <c r="DT54" s="60">
        <f ca="1">AVERAGE(OFFSET($DS$3,0,0,'Données projet'!$E$14+1,1))-AVERAGE(OFFSET($H$3,0,0,'Données projet'!$E$14+1,1))</f>
        <v>284.71577701131588</v>
      </c>
      <c r="DU54" s="60">
        <f t="shared" si="44"/>
        <v>190.4880882944471</v>
      </c>
      <c r="DV54" s="16">
        <f>IF(ISNA(VLOOKUP(A54,'Données projet'!$A$165:$I$185,3,0)),0,VLOOKUP(A54,'Données projet'!$A$165:$I$185,3,0))</f>
        <v>1</v>
      </c>
      <c r="DW54" s="16">
        <f>IF(ISNA(VLOOKUP(A54,'Données projet'!$A$165:$I$185,4,0)),0,VLOOKUP(A54,'Données projet'!$A$165:$I$185,4,0))</f>
        <v>170.16153846153847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6.4</v>
      </c>
      <c r="EJ54" s="13">
        <f>IF('Données projet'!$A$192&gt;35,EJ53+EI54-ER53,IF(A54&lt;'Données projet'!$A$192,$EG$205^A54,IF(A54='Données projet'!$A$192,'Données projet'!$B$192,EJ53+EI54-ER53)))</f>
        <v>207.39999999999984</v>
      </c>
      <c r="EK54" s="18">
        <f>EJ54*VLOOKUP('Données projet'!$B$15,Paramètres!$A$1:$I$89,3,0)*VLOOKUP('Données projet'!$B$15,Paramètres!$A$1:$I$89,5,0)</f>
        <v>152.06567999999987</v>
      </c>
      <c r="EL54" s="14">
        <f t="shared" si="45"/>
        <v>39.047644484359502</v>
      </c>
      <c r="EM54" s="22">
        <f t="shared" si="19"/>
        <v>332.85570681025916</v>
      </c>
      <c r="EN54" s="60">
        <f t="shared" si="20"/>
        <v>626.18904014359248</v>
      </c>
      <c r="EO54" s="60">
        <f ca="1">AVERAGE(OFFSET($EN$3,0,0,'Données projet'!$E$15+1,1))-AVERAGE(OFFSET($H$3,0,0,'Données projet'!$E$15+1,1))</f>
        <v>290.85271051443431</v>
      </c>
      <c r="EP54" s="60">
        <f t="shared" si="46"/>
        <v>318.66958823451142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0">
        <f t="shared" si="0"/>
        <v>635.72643681712532</v>
      </c>
      <c r="S55" s="60">
        <f ca="1">AVERAGE(OFFSET($R$3,0,0,'Données projet'!$E$9+1,1))-AVERAGE(OFFSET($H$3,0,0,'Données projet'!$E$9+1,1))</f>
        <v>428.8489304403459</v>
      </c>
      <c r="T55" s="60">
        <f t="shared" si="34"/>
        <v>247.01165577562966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16.227472527472521</v>
      </c>
      <c r="AI55" s="14">
        <f>IF('Données projet'!$A$62&gt;35,AI54+AH55-AQ54,IF(A55&lt;'Données projet'!$A$62,$AF$205^A55,IF(A55='Données projet'!$A$62,'Données projet'!$B$62,AI54+AH55-AQ54)))</f>
        <v>362.79780219780224</v>
      </c>
      <c r="AJ55" s="14">
        <f>AI55*VLOOKUP('Données projet'!$B$10,Paramètres!$A$1:$I$89,3,0)*VLOOKUP('Données projet'!$B$10,Paramètres!$A$1:$I$89,5,0)</f>
        <v>202.80397142857146</v>
      </c>
      <c r="AK55" s="14">
        <f t="shared" si="35"/>
        <v>50.359895566849652</v>
      </c>
      <c r="AL55" s="22">
        <f t="shared" si="4"/>
        <v>440.92706835035841</v>
      </c>
      <c r="AM55" s="60">
        <f t="shared" si="5"/>
        <v>734.26040168369173</v>
      </c>
      <c r="AN55" s="60">
        <f ca="1">AVERAGE(OFFSET($AM$3,0,0,'Données projet'!$E$10+1,1))-AVERAGE(OFFSET($H$3,0,0,'Données projet'!$E$10+1,1))</f>
        <v>323.98185264074681</v>
      </c>
      <c r="AO55" s="60">
        <f t="shared" si="36"/>
        <v>301.22207291854005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2.8863032344160571</v>
      </c>
      <c r="AV55" s="23">
        <f>EXP(-LN(2)/25)*AV54+(1-EXP(-LN(2)/25))/(LN(2)/25)*Calculateur!AQ55*Calculateur!AS55*VLOOKUP('Données projet'!$B$10,Paramètres!$A$1:$I$89,3,0)*0.475*44/12</f>
        <v>4.4813140208310873</v>
      </c>
      <c r="AW55" s="23">
        <f>EXP(-LN(2)/2)*AW54+(1-EXP(-LN(2)/2))/(LN(2)/2)*AQ55*AT55*VLOOKUP('Données projet'!$B$10,Paramètres!$A$1:$I$89,3,0)*0.475*44/12</f>
        <v>2.9725620994228616E-3</v>
      </c>
      <c r="AX55" s="23">
        <f t="shared" si="6"/>
        <v>7.3705898173465672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10.66307692307692</v>
      </c>
      <c r="BD55" s="13">
        <f>IF('Données projet'!$A$88&gt;35,BD54+BC55-BL54,IF(A55&lt;'Données projet'!$A$88,$BA$205^A55,IF(A55='Données projet'!$A$88,'Données projet'!$B$88,BD54+BC55-BL54)))</f>
        <v>257.11846153846153</v>
      </c>
      <c r="BE55" s="14">
        <f>BD55*VLOOKUP('Données projet'!$B$11,Paramètres!$A$1:$I$89,3,0)*VLOOKUP('Données projet'!$B$11,Paramètres!$A$1:$I$89,5,0)</f>
        <v>153.75684000000001</v>
      </c>
      <c r="BF55" s="14">
        <f t="shared" si="37"/>
        <v>39.431107959482766</v>
      </c>
      <c r="BG55" s="22">
        <f t="shared" si="7"/>
        <v>336.4690093627658</v>
      </c>
      <c r="BH55" s="60">
        <f t="shared" si="8"/>
        <v>629.80234269609912</v>
      </c>
      <c r="BI55" s="60">
        <f ca="1">AVERAGE(OFFSET($BH$3,0,0,'Données projet'!$E$11+1,1))-AVERAGE(OFFSET($H$3,0,0,'Données projet'!$E$11+1,1))</f>
        <v>289.12367833861299</v>
      </c>
      <c r="BJ55" s="60">
        <f t="shared" si="38"/>
        <v>229.06617320689003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2.024821815442114E-3</v>
      </c>
      <c r="BS55" s="24">
        <f t="shared" si="9"/>
        <v>2.024821815442114E-3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6.4</v>
      </c>
      <c r="BY55" s="13">
        <f>IF('Données projet'!$A$114&gt;35,BY54+BX55-CG54,IF(A55&lt;'Données projet'!$A$114,$BV$205^A55,IF(A55='Données projet'!$A$114,'Données projet'!$B$114,BY54+BX55-CG54)))</f>
        <v>213.79999999999984</v>
      </c>
      <c r="BZ55" s="14">
        <f>BY55*VLOOKUP('Données projet'!$B$12,Paramètres!$A$1:$I$89,3,0)*VLOOKUP('Données projet'!$B$12,Paramètres!$A$1:$I$89,5,0)</f>
        <v>170.09927999999988</v>
      </c>
      <c r="CA55" s="14">
        <f t="shared" si="39"/>
        <v>43.112258247107711</v>
      </c>
      <c r="CB55" s="22">
        <f t="shared" si="10"/>
        <v>371.34342911371238</v>
      </c>
      <c r="CC55" s="60">
        <f t="shared" si="11"/>
        <v>664.67676244704569</v>
      </c>
      <c r="CD55" s="60">
        <f ca="1">AVERAGE(OFFSET($CC$3,0,0,'Données projet'!$E$12+1,1))-AVERAGE(OFFSET($H$3,0,0,'Données projet'!$E$12+1,1))</f>
        <v>312.53381881960331</v>
      </c>
      <c r="CE55" s="60">
        <f t="shared" si="40"/>
        <v>342.06887933351783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175.422</v>
      </c>
      <c r="CV55" s="14">
        <f t="shared" si="41"/>
        <v>44.302143412304737</v>
      </c>
      <c r="CW55" s="22">
        <f t="shared" si="13"/>
        <v>382.68621644309741</v>
      </c>
      <c r="CX55" s="60">
        <f t="shared" si="14"/>
        <v>676.01954977643072</v>
      </c>
      <c r="CY55" s="60">
        <f ca="1">AVERAGE(OFFSET($CX$3,0,0,'Données projet'!$E$13+1,1))-AVERAGE(OFFSET($H$3,0,0,'Données projet'!$E$13+1,1))</f>
        <v>475.47920969424894</v>
      </c>
      <c r="CZ55" s="60">
        <f t="shared" si="42"/>
        <v>271.73544012419364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11.264615384615393</v>
      </c>
      <c r="DO55" s="13">
        <f>IF('Données projet'!$A$166&gt;35,DO54+DN55-DW54,IF(A55&lt;'Données projet'!$A$166,$DL$205^A55,IF(A55='Données projet'!$A$166,'Données projet'!$B$166,DO54+DN55-DW54)))</f>
        <v>228.67230769230767</v>
      </c>
      <c r="DP55" s="18">
        <f>DO55*VLOOKUP('Données projet'!$B$14,Paramètres!$A$1:$I$89,3,0)*VLOOKUP('Données projet'!$B$14,Paramètres!$A$1:$I$89,5,0)</f>
        <v>107.01863999999999</v>
      </c>
      <c r="DQ55" s="14">
        <f t="shared" si="43"/>
        <v>28.627433541162375</v>
      </c>
      <c r="DR55" s="22">
        <f t="shared" si="16"/>
        <v>236.25024475085775</v>
      </c>
      <c r="DS55" s="60">
        <f t="shared" si="17"/>
        <v>529.583578084191</v>
      </c>
      <c r="DT55" s="60">
        <f ca="1">AVERAGE(OFFSET($DS$3,0,0,'Données projet'!$E$14+1,1))-AVERAGE(OFFSET($H$3,0,0,'Données projet'!$E$14+1,1))</f>
        <v>284.71577701131588</v>
      </c>
      <c r="DU55" s="60">
        <f t="shared" si="44"/>
        <v>190.4880882944471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6.4</v>
      </c>
      <c r="EJ55" s="13">
        <f>IF('Données projet'!$A$192&gt;35,EJ54+EI55-ER54,IF(A55&lt;'Données projet'!$A$192,$EG$205^A55,IF(A55='Données projet'!$A$192,'Données projet'!$B$192,EJ54+EI55-ER54)))</f>
        <v>213.79999999999984</v>
      </c>
      <c r="EK55" s="18">
        <f>EJ55*VLOOKUP('Données projet'!$B$15,Paramètres!$A$1:$I$89,3,0)*VLOOKUP('Données projet'!$B$15,Paramètres!$A$1:$I$89,5,0)</f>
        <v>156.75815999999989</v>
      </c>
      <c r="EL55" s="14">
        <f t="shared" si="45"/>
        <v>40.110440521385584</v>
      </c>
      <c r="EM55" s="22">
        <f t="shared" si="19"/>
        <v>342.87947924141304</v>
      </c>
      <c r="EN55" s="60">
        <f t="shared" si="20"/>
        <v>636.21281257474629</v>
      </c>
      <c r="EO55" s="60">
        <f ca="1">AVERAGE(OFFSET($EN$3,0,0,'Données projet'!$E$15+1,1))-AVERAGE(OFFSET($H$3,0,0,'Données projet'!$E$15+1,1))</f>
        <v>290.85271051443431</v>
      </c>
      <c r="EP55" s="60">
        <f t="shared" si="46"/>
        <v>318.66958823451142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0">
        <f t="shared" si="0"/>
        <v>651.17655593527957</v>
      </c>
      <c r="S56" s="60">
        <f ca="1">AVERAGE(OFFSET($R$3,0,0,'Données projet'!$E$9+1,1))-AVERAGE(OFFSET($H$3,0,0,'Données projet'!$E$9+1,1))</f>
        <v>428.8489304403459</v>
      </c>
      <c r="T56" s="60">
        <f t="shared" si="34"/>
        <v>247.01165577562966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16.227472527472521</v>
      </c>
      <c r="AI56" s="14">
        <f>IF('Données projet'!$A$62&gt;35,AI55+AH56-AQ55,IF(A56&lt;'Données projet'!$A$62,$AF$205^A56,IF(A56='Données projet'!$A$62,'Données projet'!$B$62,AI55+AH56-AQ55)))</f>
        <v>379.02527472527476</v>
      </c>
      <c r="AJ56" s="14">
        <f>AI56*VLOOKUP('Données projet'!$B$10,Paramètres!$A$1:$I$89,3,0)*VLOOKUP('Données projet'!$B$10,Paramètres!$A$1:$I$89,5,0)</f>
        <v>211.87512857142858</v>
      </c>
      <c r="AK56" s="14">
        <f t="shared" si="35"/>
        <v>52.345136228066735</v>
      </c>
      <c r="AL56" s="22">
        <f t="shared" si="4"/>
        <v>460.18362785912103</v>
      </c>
      <c r="AM56" s="60">
        <f t="shared" si="5"/>
        <v>753.51696119245435</v>
      </c>
      <c r="AN56" s="60">
        <f ca="1">AVERAGE(OFFSET($AM$3,0,0,'Données projet'!$E$10+1,1))-AVERAGE(OFFSET($H$3,0,0,'Données projet'!$E$10+1,1))</f>
        <v>323.98185264074681</v>
      </c>
      <c r="AO56" s="60">
        <f t="shared" si="36"/>
        <v>301.22207291854005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2.8297045884602992</v>
      </c>
      <c r="AV56" s="23">
        <f>EXP(-LN(2)/25)*AV55+(1-EXP(-LN(2)/25))/(LN(2)/25)*Calculateur!AQ56*Calculateur!AS56*VLOOKUP('Données projet'!$B$10,Paramètres!$A$1:$I$89,3,0)*0.475*44/12</f>
        <v>4.3587722532693993</v>
      </c>
      <c r="AW56" s="23">
        <f>EXP(-LN(2)/2)*AW55+(1-EXP(-LN(2)/2))/(LN(2)/2)*AQ56*AT56*VLOOKUP('Données projet'!$B$10,Paramètres!$A$1:$I$89,3,0)*0.475*44/12</f>
        <v>2.1019188180000257E-3</v>
      </c>
      <c r="AX56" s="23">
        <f t="shared" si="6"/>
        <v>7.190578760547699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10.66307692307692</v>
      </c>
      <c r="BD56" s="13">
        <f>IF('Données projet'!$A$88&gt;35,BD55+BC56-BL55,IF(A56&lt;'Données projet'!$A$88,$BA$205^A56,IF(A56='Données projet'!$A$88,'Données projet'!$B$88,BD55+BC56-BL55)))</f>
        <v>267.78153846153845</v>
      </c>
      <c r="BE56" s="14">
        <f>BD56*VLOOKUP('Données projet'!$B$11,Paramètres!$A$1:$I$89,3,0)*VLOOKUP('Données projet'!$B$11,Paramètres!$A$1:$I$89,5,0)</f>
        <v>160.13336000000001</v>
      </c>
      <c r="BF56" s="14">
        <f t="shared" si="37"/>
        <v>40.872593668242253</v>
      </c>
      <c r="BG56" s="22">
        <f t="shared" si="7"/>
        <v>350.08536930552191</v>
      </c>
      <c r="BH56" s="60">
        <f t="shared" si="8"/>
        <v>643.41870263885517</v>
      </c>
      <c r="BI56" s="60">
        <f ca="1">AVERAGE(OFFSET($BH$3,0,0,'Données projet'!$E$11+1,1))-AVERAGE(OFFSET($H$3,0,0,'Données projet'!$E$11+1,1))</f>
        <v>289.12367833861299</v>
      </c>
      <c r="BJ56" s="60">
        <f t="shared" si="38"/>
        <v>229.06617320689003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1.4317652363935748E-3</v>
      </c>
      <c r="BS56" s="24">
        <f t="shared" si="9"/>
        <v>1.4317652363935748E-3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6.4</v>
      </c>
      <c r="BY56" s="13">
        <f>IF('Données projet'!$A$114&gt;35,BY55+BX56-CG55,IF(A56&lt;'Données projet'!$A$114,$BV$205^A56,IF(A56='Données projet'!$A$114,'Données projet'!$B$114,BY55+BX56-CG55)))</f>
        <v>220.19999999999985</v>
      </c>
      <c r="BZ56" s="14">
        <f>BY56*VLOOKUP('Données projet'!$B$12,Paramètres!$A$1:$I$89,3,0)*VLOOKUP('Données projet'!$B$12,Paramètres!$A$1:$I$89,5,0)</f>
        <v>175.19111999999987</v>
      </c>
      <c r="CA56" s="14">
        <f t="shared" si="39"/>
        <v>44.250618651635925</v>
      </c>
      <c r="CB56" s="22">
        <f t="shared" si="10"/>
        <v>382.19436148493236</v>
      </c>
      <c r="CC56" s="60">
        <f t="shared" si="11"/>
        <v>675.52769481826567</v>
      </c>
      <c r="CD56" s="60">
        <f ca="1">AVERAGE(OFFSET($CC$3,0,0,'Données projet'!$E$12+1,1))-AVERAGE(OFFSET($H$3,0,0,'Données projet'!$E$12+1,1))</f>
        <v>312.53381881960331</v>
      </c>
      <c r="CE56" s="60">
        <f t="shared" si="40"/>
        <v>342.06887933351783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183.53400000000002</v>
      </c>
      <c r="CV56" s="14">
        <f t="shared" si="41"/>
        <v>46.107544136839593</v>
      </c>
      <c r="CW56" s="22">
        <f t="shared" si="13"/>
        <v>399.95902270499568</v>
      </c>
      <c r="CX56" s="60">
        <f t="shared" si="14"/>
        <v>693.29235603832899</v>
      </c>
      <c r="CY56" s="60">
        <f ca="1">AVERAGE(OFFSET($CX$3,0,0,'Données projet'!$E$13+1,1))-AVERAGE(OFFSET($H$3,0,0,'Données projet'!$E$13+1,1))</f>
        <v>475.47920969424894</v>
      </c>
      <c r="CZ56" s="60">
        <f t="shared" si="42"/>
        <v>271.73544012419364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11.264615384615393</v>
      </c>
      <c r="DO56" s="13">
        <f>IF('Données projet'!$A$166&gt;35,DO55+DN56-DW55,IF(A56&lt;'Données projet'!$A$166,$DL$205^A56,IF(A56='Données projet'!$A$166,'Données projet'!$B$166,DO55+DN56-DW55)))</f>
        <v>239.93692307692305</v>
      </c>
      <c r="DP56" s="18">
        <f>DO56*VLOOKUP('Données projet'!$B$14,Paramètres!$A$1:$I$89,3,0)*VLOOKUP('Données projet'!$B$14,Paramètres!$A$1:$I$89,5,0)</f>
        <v>112.29047999999999</v>
      </c>
      <c r="DQ56" s="14">
        <f t="shared" si="43"/>
        <v>29.869990545356057</v>
      </c>
      <c r="DR56" s="22">
        <f t="shared" si="16"/>
        <v>247.59615286649509</v>
      </c>
      <c r="DS56" s="60">
        <f t="shared" si="17"/>
        <v>540.92948619982837</v>
      </c>
      <c r="DT56" s="60">
        <f ca="1">AVERAGE(OFFSET($DS$3,0,0,'Données projet'!$E$14+1,1))-AVERAGE(OFFSET($H$3,0,0,'Données projet'!$E$14+1,1))</f>
        <v>284.71577701131588</v>
      </c>
      <c r="DU56" s="60">
        <f t="shared" si="44"/>
        <v>190.4880882944471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6.4</v>
      </c>
      <c r="EJ56" s="13">
        <f>IF('Données projet'!$A$192&gt;35,EJ55+EI56-ER55,IF(A56&lt;'Données projet'!$A$192,$EG$205^A56,IF(A56='Données projet'!$A$192,'Données projet'!$B$192,EJ55+EI56-ER55)))</f>
        <v>220.19999999999985</v>
      </c>
      <c r="EK56" s="18">
        <f>EJ56*VLOOKUP('Données projet'!$B$15,Paramètres!$A$1:$I$89,3,0)*VLOOKUP('Données projet'!$B$15,Paramètres!$A$1:$I$89,5,0)</f>
        <v>161.45063999999991</v>
      </c>
      <c r="EL56" s="14">
        <f t="shared" si="45"/>
        <v>41.169539236094941</v>
      </c>
      <c r="EM56" s="22">
        <f t="shared" si="19"/>
        <v>352.89681216953187</v>
      </c>
      <c r="EN56" s="60">
        <f t="shared" si="20"/>
        <v>646.23014550286518</v>
      </c>
      <c r="EO56" s="60">
        <f ca="1">AVERAGE(OFFSET($EN$3,0,0,'Données projet'!$E$15+1,1))-AVERAGE(OFFSET($H$3,0,0,'Données projet'!$E$15+1,1))</f>
        <v>290.85271051443431</v>
      </c>
      <c r="EP56" s="60">
        <f t="shared" si="46"/>
        <v>318.66958823451142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0">
        <f t="shared" si="0"/>
        <v>666.61207984061377</v>
      </c>
      <c r="S57" s="60">
        <f ca="1">AVERAGE(OFFSET($R$3,0,0,'Données projet'!$E$9+1,1))-AVERAGE(OFFSET($H$3,0,0,'Données projet'!$E$9+1,1))</f>
        <v>428.8489304403459</v>
      </c>
      <c r="T57" s="60">
        <f t="shared" si="34"/>
        <v>247.01165577562966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16.227472527472521</v>
      </c>
      <c r="AI57" s="14">
        <f>IF('Données projet'!$A$62&gt;35,AI56+AH57-AQ56,IF(A57&lt;'Données projet'!$A$62,$AF$205^A57,IF(A57='Données projet'!$A$62,'Données projet'!$B$62,AI56+AH57-AQ56)))</f>
        <v>395.25274725274727</v>
      </c>
      <c r="AJ57" s="14">
        <f>AI57*VLOOKUP('Données projet'!$B$10,Paramètres!$A$1:$I$89,3,0)*VLOOKUP('Données projet'!$B$10,Paramètres!$A$1:$I$89,5,0)</f>
        <v>220.94628571428572</v>
      </c>
      <c r="AK57" s="14">
        <f t="shared" si="35"/>
        <v>54.320504840756463</v>
      </c>
      <c r="AL57" s="22">
        <f t="shared" si="4"/>
        <v>479.42299355003178</v>
      </c>
      <c r="AM57" s="60">
        <f t="shared" si="5"/>
        <v>772.75632688336509</v>
      </c>
      <c r="AN57" s="60">
        <f ca="1">AVERAGE(OFFSET($AM$3,0,0,'Données projet'!$E$10+1,1))-AVERAGE(OFFSET($H$3,0,0,'Données projet'!$E$10+1,1))</f>
        <v>323.98185264074681</v>
      </c>
      <c r="AO57" s="60">
        <f t="shared" si="36"/>
        <v>301.22207291854005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2.7742158074299681</v>
      </c>
      <c r="AV57" s="23">
        <f>EXP(-LN(2)/25)*AV56+(1-EXP(-LN(2)/25))/(LN(2)/25)*Calculateur!AQ57*Calculateur!AS57*VLOOKUP('Données projet'!$B$10,Paramètres!$A$1:$I$89,3,0)*0.475*44/12</f>
        <v>4.2395813967858773</v>
      </c>
      <c r="AW57" s="23">
        <f>EXP(-LN(2)/2)*AW56+(1-EXP(-LN(2)/2))/(LN(2)/2)*AQ57*AT57*VLOOKUP('Données projet'!$B$10,Paramètres!$A$1:$I$89,3,0)*0.475*44/12</f>
        <v>1.4862810497114308E-3</v>
      </c>
      <c r="AX57" s="23">
        <f t="shared" si="6"/>
        <v>7.0152834852655568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10.66307692307692</v>
      </c>
      <c r="BD57" s="13">
        <f>IF('Données projet'!$A$88&gt;35,BD56+BC57-BL56,IF(A57&lt;'Données projet'!$A$88,$BA$205^A57,IF(A57='Données projet'!$A$88,'Données projet'!$B$88,BD56+BC57-BL56)))</f>
        <v>278.44461538461536</v>
      </c>
      <c r="BE57" s="14">
        <f>BD57*VLOOKUP('Données projet'!$B$11,Paramètres!$A$1:$I$89,3,0)*VLOOKUP('Données projet'!$B$11,Paramètres!$A$1:$I$89,5,0)</f>
        <v>166.50987999999998</v>
      </c>
      <c r="BF57" s="14">
        <f t="shared" si="37"/>
        <v>42.307411610776938</v>
      </c>
      <c r="BG57" s="22">
        <f t="shared" si="7"/>
        <v>363.69011622210314</v>
      </c>
      <c r="BH57" s="60">
        <f t="shared" si="8"/>
        <v>657.0234495554364</v>
      </c>
      <c r="BI57" s="60">
        <f ca="1">AVERAGE(OFFSET($BH$3,0,0,'Données projet'!$E$11+1,1))-AVERAGE(OFFSET($H$3,0,0,'Données projet'!$E$11+1,1))</f>
        <v>289.12367833861299</v>
      </c>
      <c r="BJ57" s="60">
        <f t="shared" si="38"/>
        <v>229.06617320689003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1.012410907721057E-3</v>
      </c>
      <c r="BS57" s="24">
        <f t="shared" si="9"/>
        <v>1.012410907721057E-3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6.4</v>
      </c>
      <c r="BY57" s="13">
        <f>IF('Données projet'!$A$114&gt;35,BY56+BX57-CG56,IF(A57&lt;'Données projet'!$A$114,$BV$205^A57,IF(A57='Données projet'!$A$114,'Données projet'!$B$114,BY56+BX57-CG56)))</f>
        <v>226.59999999999985</v>
      </c>
      <c r="BZ57" s="14">
        <f>BY57*VLOOKUP('Données projet'!$B$12,Paramètres!$A$1:$I$89,3,0)*VLOOKUP('Données projet'!$B$12,Paramètres!$A$1:$I$89,5,0)</f>
        <v>180.28295999999989</v>
      </c>
      <c r="CA57" s="14">
        <f t="shared" si="39"/>
        <v>45.385133797071362</v>
      </c>
      <c r="CB57" s="22">
        <f t="shared" si="10"/>
        <v>393.03859669656578</v>
      </c>
      <c r="CC57" s="60">
        <f t="shared" si="11"/>
        <v>686.37193002989909</v>
      </c>
      <c r="CD57" s="60">
        <f ca="1">AVERAGE(OFFSET($CC$3,0,0,'Données projet'!$E$12+1,1))-AVERAGE(OFFSET($H$3,0,0,'Données projet'!$E$12+1,1))</f>
        <v>312.53381881960331</v>
      </c>
      <c r="CE57" s="60">
        <f t="shared" si="40"/>
        <v>342.06887933351783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191.64600000000002</v>
      </c>
      <c r="CV57" s="14">
        <f t="shared" si="41"/>
        <v>47.903677189291635</v>
      </c>
      <c r="CW57" s="22">
        <f t="shared" si="13"/>
        <v>417.21568777134962</v>
      </c>
      <c r="CX57" s="60">
        <f t="shared" si="14"/>
        <v>710.54902110468288</v>
      </c>
      <c r="CY57" s="60">
        <f ca="1">AVERAGE(OFFSET($CX$3,0,0,'Données projet'!$E$13+1,1))-AVERAGE(OFFSET($H$3,0,0,'Données projet'!$E$13+1,1))</f>
        <v>475.47920969424894</v>
      </c>
      <c r="CZ57" s="60">
        <f t="shared" si="42"/>
        <v>271.73544012419364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11.264615384615393</v>
      </c>
      <c r="DO57" s="13">
        <f>IF('Données projet'!$A$166&gt;35,DO56+DN57-DW56,IF(A57&lt;'Données projet'!$A$166,$DL$205^A57,IF(A57='Données projet'!$A$166,'Données projet'!$B$166,DO56+DN57-DW56)))</f>
        <v>251.20153846153843</v>
      </c>
      <c r="DP57" s="18">
        <f>DO57*VLOOKUP('Données projet'!$B$14,Paramètres!$A$1:$I$89,3,0)*VLOOKUP('Données projet'!$B$14,Paramètres!$A$1:$I$89,5,0)</f>
        <v>117.56231999999999</v>
      </c>
      <c r="DQ57" s="14">
        <f t="shared" si="43"/>
        <v>31.105773147740869</v>
      </c>
      <c r="DR57" s="22">
        <f t="shared" si="16"/>
        <v>258.93026223231527</v>
      </c>
      <c r="DS57" s="60">
        <f t="shared" si="17"/>
        <v>552.26359556564853</v>
      </c>
      <c r="DT57" s="60">
        <f ca="1">AVERAGE(OFFSET($DS$3,0,0,'Données projet'!$E$14+1,1))-AVERAGE(OFFSET($H$3,0,0,'Données projet'!$E$14+1,1))</f>
        <v>284.71577701131588</v>
      </c>
      <c r="DU57" s="60">
        <f t="shared" si="44"/>
        <v>190.4880882944471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6.4</v>
      </c>
      <c r="EJ57" s="13">
        <f>IF('Données projet'!$A$192&gt;35,EJ56+EI57-ER56,IF(A57&lt;'Données projet'!$A$192,$EG$205^A57,IF(A57='Données projet'!$A$192,'Données projet'!$B$192,EJ56+EI57-ER56)))</f>
        <v>226.59999999999985</v>
      </c>
      <c r="EK57" s="18">
        <f>EJ57*VLOOKUP('Données projet'!$B$15,Paramètres!$A$1:$I$89,3,0)*VLOOKUP('Données projet'!$B$15,Paramètres!$A$1:$I$89,5,0)</f>
        <v>166.1431199999999</v>
      </c>
      <c r="EL57" s="14">
        <f t="shared" si="45"/>
        <v>42.225060429180445</v>
      </c>
      <c r="EM57" s="22">
        <f t="shared" si="19"/>
        <v>362.90791424748909</v>
      </c>
      <c r="EN57" s="60">
        <f t="shared" si="20"/>
        <v>656.24124758082235</v>
      </c>
      <c r="EO57" s="60">
        <f ca="1">AVERAGE(OFFSET($EN$3,0,0,'Données projet'!$E$15+1,1))-AVERAGE(OFFSET($H$3,0,0,'Données projet'!$E$15+1,1))</f>
        <v>290.85271051443431</v>
      </c>
      <c r="EP57" s="60">
        <f t="shared" si="46"/>
        <v>318.66958823451142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0">
        <f t="shared" si="0"/>
        <v>682.03369695342735</v>
      </c>
      <c r="S58" s="60">
        <f ca="1">AVERAGE(OFFSET($R$3,0,0,'Données projet'!$E$9+1,1))-AVERAGE(OFFSET($H$3,0,0,'Données projet'!$E$9+1,1))</f>
        <v>428.8489304403459</v>
      </c>
      <c r="T58" s="60">
        <f t="shared" si="34"/>
        <v>247.01165577562966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16.227472527472521</v>
      </c>
      <c r="AI58" s="14">
        <f>IF('Données projet'!$A$62&gt;35,AI57+AH58-AQ57,IF(A58&lt;'Données projet'!$A$62,$AF$205^A58,IF(A58='Données projet'!$A$62,'Données projet'!$B$62,AI57+AH58-AQ57)))</f>
        <v>411.48021978021978</v>
      </c>
      <c r="AJ58" s="14">
        <f>AI58*VLOOKUP('Données projet'!$B$10,Paramètres!$A$1:$I$89,3,0)*VLOOKUP('Données projet'!$B$10,Paramètres!$A$1:$I$89,5,0)</f>
        <v>230.01744285714284</v>
      </c>
      <c r="AK58" s="14">
        <f t="shared" si="35"/>
        <v>56.286453068022915</v>
      </c>
      <c r="AL58" s="22">
        <f t="shared" si="4"/>
        <v>498.64595206966368</v>
      </c>
      <c r="AM58" s="60">
        <f t="shared" si="5"/>
        <v>791.97928540299699</v>
      </c>
      <c r="AN58" s="60">
        <f ca="1">AVERAGE(OFFSET($AM$3,0,0,'Données projet'!$E$10+1,1))-AVERAGE(OFFSET($H$3,0,0,'Données projet'!$E$10+1,1))</f>
        <v>323.98185264074681</v>
      </c>
      <c r="AO58" s="60">
        <f t="shared" si="36"/>
        <v>301.22207291854005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2.7198151275508273</v>
      </c>
      <c r="AV58" s="23">
        <f>EXP(-LN(2)/25)*AV57+(1-EXP(-LN(2)/25))/(LN(2)/25)*Calculateur!AQ58*Calculateur!AS58*VLOOKUP('Données projet'!$B$10,Paramètres!$A$1:$I$89,3,0)*0.475*44/12</f>
        <v>4.1236498205408711</v>
      </c>
      <c r="AW58" s="23">
        <f>EXP(-LN(2)/2)*AW57+(1-EXP(-LN(2)/2))/(LN(2)/2)*AQ58*AT58*VLOOKUP('Données projet'!$B$10,Paramètres!$A$1:$I$89,3,0)*0.475*44/12</f>
        <v>1.0509594090000129E-3</v>
      </c>
      <c r="AX58" s="23">
        <f t="shared" si="6"/>
        <v>6.844515907500698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10.66307692307692</v>
      </c>
      <c r="BD58" s="13">
        <f>IF('Données projet'!$A$88&gt;35,BD57+BC58-BL57,IF(A58&lt;'Données projet'!$A$88,$BA$205^A58,IF(A58='Données projet'!$A$88,'Données projet'!$B$88,BD57+BC58-BL57)))</f>
        <v>289.10769230769228</v>
      </c>
      <c r="BE58" s="14">
        <f>BD58*VLOOKUP('Données projet'!$B$11,Paramètres!$A$1:$I$89,3,0)*VLOOKUP('Données projet'!$B$11,Paramètres!$A$1:$I$89,5,0)</f>
        <v>172.88639999999998</v>
      </c>
      <c r="BF58" s="14">
        <f t="shared" si="37"/>
        <v>43.735846359314316</v>
      </c>
      <c r="BG58" s="22">
        <f t="shared" si="7"/>
        <v>377.28374574247232</v>
      </c>
      <c r="BH58" s="60">
        <f t="shared" si="8"/>
        <v>670.61707907580558</v>
      </c>
      <c r="BI58" s="60">
        <f ca="1">AVERAGE(OFFSET($BH$3,0,0,'Données projet'!$E$11+1,1))-AVERAGE(OFFSET($H$3,0,0,'Données projet'!$E$11+1,1))</f>
        <v>289.12367833861299</v>
      </c>
      <c r="BJ58" s="60">
        <f t="shared" si="38"/>
        <v>229.06617320689003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7.1588261819678742E-4</v>
      </c>
      <c r="BS58" s="24">
        <f t="shared" si="9"/>
        <v>7.1588261819678742E-4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233</v>
      </c>
      <c r="BW58" s="13">
        <f>VLOOKUP(A58,'Données projet'!$A$113:$I$133,9,0)</f>
        <v>6.4</v>
      </c>
      <c r="BX58" s="13">
        <f t="array" ref="BX58">INDEX(BW:BW,MIN(IF(ISNUMBER(BW58:BW254),ROW(BW58:BW254),"")))</f>
        <v>6.4</v>
      </c>
      <c r="BY58" s="13">
        <f>IF('Données projet'!$A$114&gt;35,BY57+BX58-CG57,IF(A58&lt;'Données projet'!$A$114,$BV$205^A58,IF(A58='Données projet'!$A$114,'Données projet'!$B$114,BY57+BX58-CG57)))</f>
        <v>232.99999999999986</v>
      </c>
      <c r="BZ58" s="14">
        <f>BY58*VLOOKUP('Données projet'!$B$12,Paramètres!$A$1:$I$89,3,0)*VLOOKUP('Données projet'!$B$12,Paramètres!$A$1:$I$89,5,0)</f>
        <v>185.37479999999988</v>
      </c>
      <c r="CA58" s="14">
        <f t="shared" si="39"/>
        <v>46.515924762412688</v>
      </c>
      <c r="CB58" s="22">
        <f t="shared" si="10"/>
        <v>403.87634562786849</v>
      </c>
      <c r="CC58" s="60">
        <f t="shared" si="11"/>
        <v>697.2096789612018</v>
      </c>
      <c r="CD58" s="60">
        <f ca="1">AVERAGE(OFFSET($CC$3,0,0,'Données projet'!$E$12+1,1))-AVERAGE(OFFSET($H$3,0,0,'Données projet'!$E$12+1,1))</f>
        <v>312.53381881960331</v>
      </c>
      <c r="CE58" s="60">
        <f t="shared" si="40"/>
        <v>342.06887933351783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199.75800000000004</v>
      </c>
      <c r="CV58" s="14">
        <f t="shared" si="41"/>
        <v>49.690979702964015</v>
      </c>
      <c r="CW58" s="22">
        <f t="shared" si="13"/>
        <v>434.45697298266236</v>
      </c>
      <c r="CX58" s="60">
        <f t="shared" si="14"/>
        <v>727.79030631599562</v>
      </c>
      <c r="CY58" s="60">
        <f ca="1">AVERAGE(OFFSET($CX$3,0,0,'Données projet'!$E$13+1,1))-AVERAGE(OFFSET($H$3,0,0,'Données projet'!$E$13+1,1))</f>
        <v>475.47920969424894</v>
      </c>
      <c r="CZ58" s="60">
        <f t="shared" si="42"/>
        <v>271.73544012419364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11.264615384615393</v>
      </c>
      <c r="DO58" s="13">
        <f>IF('Données projet'!$A$166&gt;35,DO57+DN58-DW57,IF(A58&lt;'Données projet'!$A$166,$DL$205^A58,IF(A58='Données projet'!$A$166,'Données projet'!$B$166,DO57+DN58-DW57)))</f>
        <v>262.46615384615382</v>
      </c>
      <c r="DP58" s="18">
        <f>DO58*VLOOKUP('Données projet'!$B$14,Paramètres!$A$1:$I$89,3,0)*VLOOKUP('Données projet'!$B$14,Paramètres!$A$1:$I$89,5,0)</f>
        <v>122.83415999999998</v>
      </c>
      <c r="DQ58" s="14">
        <f t="shared" si="43"/>
        <v>32.33511984104085</v>
      </c>
      <c r="DR58" s="22">
        <f t="shared" si="16"/>
        <v>270.25316238981276</v>
      </c>
      <c r="DS58" s="60">
        <f t="shared" si="17"/>
        <v>563.58649572314607</v>
      </c>
      <c r="DT58" s="60">
        <f ca="1">AVERAGE(OFFSET($DS$3,0,0,'Données projet'!$E$14+1,1))-AVERAGE(OFFSET($H$3,0,0,'Données projet'!$E$14+1,1))</f>
        <v>284.71577701131588</v>
      </c>
      <c r="DU58" s="60">
        <f t="shared" si="44"/>
        <v>190.4880882944471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233</v>
      </c>
      <c r="EH58" s="13">
        <f>VLOOKUP(A58,'Données projet'!$A$191:$I$211,9,0)</f>
        <v>6.4</v>
      </c>
      <c r="EI58" s="13">
        <f t="array" ref="EI58">INDEX(EH:EH,MIN(IF(ISNUMBER(EH58:EH254),ROW(EH58:EH254),"")))</f>
        <v>6.4</v>
      </c>
      <c r="EJ58" s="13">
        <f>IF('Données projet'!$A$192&gt;35,EJ57+EI58-ER57,IF(A58&lt;'Données projet'!$A$192,$EG$205^A58,IF(A58='Données projet'!$A$192,'Données projet'!$B$192,EJ57+EI58-ER57)))</f>
        <v>232.99999999999986</v>
      </c>
      <c r="EK58" s="18">
        <f>EJ58*VLOOKUP('Données projet'!$B$15,Paramètres!$A$1:$I$89,3,0)*VLOOKUP('Données projet'!$B$15,Paramètres!$A$1:$I$89,5,0)</f>
        <v>170.83559999999991</v>
      </c>
      <c r="EL58" s="14">
        <f t="shared" si="45"/>
        <v>43.277116749159646</v>
      </c>
      <c r="EM58" s="22">
        <f t="shared" si="19"/>
        <v>372.91298167145288</v>
      </c>
      <c r="EN58" s="60">
        <f t="shared" si="20"/>
        <v>666.2463150047862</v>
      </c>
      <c r="EO58" s="60">
        <f ca="1">AVERAGE(OFFSET($EN$3,0,0,'Données projet'!$E$15+1,1))-AVERAGE(OFFSET($H$3,0,0,'Données projet'!$E$15+1,1))</f>
        <v>290.85271051443431</v>
      </c>
      <c r="EP58" s="60">
        <f t="shared" si="46"/>
        <v>318.66958823451142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0">
        <f t="shared" si="0"/>
        <v>696.67192586439194</v>
      </c>
      <c r="S59" s="60">
        <f ca="1">AVERAGE(OFFSET($R$3,0,0,'Données projet'!$E$9+1,1))-AVERAGE(OFFSET($H$3,0,0,'Données projet'!$E$9+1,1))</f>
        <v>428.8489304403459</v>
      </c>
      <c r="T59" s="60">
        <f t="shared" si="34"/>
        <v>247.01165577562966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427.7076923076923</v>
      </c>
      <c r="AG59" s="13">
        <f>VLOOKUP(A59,'Données projet'!$A$61:$I$81,9,0)</f>
        <v>16.227472527472521</v>
      </c>
      <c r="AH59" s="13">
        <f t="array" ref="AH59">INDEX(AG:AG,MIN(IF(ISNUMBER(AG59:AG255),ROW(AG59:AG255),"")))</f>
        <v>16.227472527472521</v>
      </c>
      <c r="AI59" s="14">
        <f>IF('Données projet'!$A$62&gt;35,AI58+AH59-AQ58,IF(A59&lt;'Données projet'!$A$62,$AF$205^A59,IF(A59='Données projet'!$A$62,'Données projet'!$B$62,AI58+AH59-AQ58)))</f>
        <v>427.7076923076923</v>
      </c>
      <c r="AJ59" s="14">
        <f>AI59*VLOOKUP('Données projet'!$B$10,Paramètres!$A$1:$I$89,3,0)*VLOOKUP('Données projet'!$B$10,Paramètres!$A$1:$I$89,5,0)</f>
        <v>239.08860000000001</v>
      </c>
      <c r="AK59" s="14">
        <f t="shared" si="35"/>
        <v>58.243394931850105</v>
      </c>
      <c r="AL59" s="22">
        <f t="shared" si="4"/>
        <v>517.85322450630554</v>
      </c>
      <c r="AM59" s="60">
        <f t="shared" si="5"/>
        <v>811.18655783963891</v>
      </c>
      <c r="AN59" s="60">
        <f ca="1">AVERAGE(OFFSET($AM$3,0,0,'Données projet'!$E$10+1,1))-AVERAGE(OFFSET($H$3,0,0,'Données projet'!$E$10+1,1))</f>
        <v>323.98185264074681</v>
      </c>
      <c r="AO59" s="60">
        <f t="shared" si="36"/>
        <v>301.22207291854005</v>
      </c>
      <c r="AP59" s="16">
        <f>IF(ISNA(VLOOKUP(A59,'Données projet'!$A$61:$I$81,3,0)),0,VLOOKUP(A59,'Données projet'!$A$61:$I$81,3,0))</f>
        <v>6</v>
      </c>
      <c r="AQ59" s="16">
        <f>IF(ISNA(VLOOKUP(A59,'Données projet'!$A$61:$I$81,4,0)),0,VLOOKUP(A59,'Données projet'!$A$61:$I$81,4,0))</f>
        <v>75.869230769230768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2.6664812118229784</v>
      </c>
      <c r="AV59" s="23">
        <f>EXP(-LN(2)/25)*AV58+(1-EXP(-LN(2)/25))/(LN(2)/25)*Calculateur!AQ59*Calculateur!AS59*VLOOKUP('Données projet'!$B$10,Paramètres!$A$1:$I$89,3,0)*0.475*44/12</f>
        <v>4.0108883993448616</v>
      </c>
      <c r="AW59" s="23">
        <f>EXP(-LN(2)/2)*AW58+(1-EXP(-LN(2)/2))/(LN(2)/2)*AQ59*AT59*VLOOKUP('Données projet'!$B$10,Paramètres!$A$1:$I$89,3,0)*0.475*44/12</f>
        <v>7.4314052485571541E-4</v>
      </c>
      <c r="AX59" s="23">
        <f t="shared" si="6"/>
        <v>6.6781127516926961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10.66307692307692</v>
      </c>
      <c r="BD59" s="13">
        <f>IF('Données projet'!$A$88&gt;35,BD58+BC59-BL58,IF(A59&lt;'Données projet'!$A$88,$BA$205^A59,IF(A59='Données projet'!$A$88,'Données projet'!$B$88,BD58+BC59-BL58)))</f>
        <v>299.77076923076919</v>
      </c>
      <c r="BE59" s="14">
        <f>BD59*VLOOKUP('Données projet'!$B$11,Paramètres!$A$1:$I$89,3,0)*VLOOKUP('Données projet'!$B$11,Paramètres!$A$1:$I$89,5,0)</f>
        <v>179.26291999999998</v>
      </c>
      <c r="BF59" s="14">
        <f t="shared" si="37"/>
        <v>45.158160305042841</v>
      </c>
      <c r="BG59" s="22">
        <f t="shared" si="7"/>
        <v>390.8667148646162</v>
      </c>
      <c r="BH59" s="60">
        <f t="shared" si="8"/>
        <v>684.20004819794951</v>
      </c>
      <c r="BI59" s="60">
        <f ca="1">AVERAGE(OFFSET($BH$3,0,0,'Données projet'!$E$11+1,1))-AVERAGE(OFFSET($H$3,0,0,'Données projet'!$E$11+1,1))</f>
        <v>289.12367833861299</v>
      </c>
      <c r="BJ59" s="60">
        <f t="shared" si="38"/>
        <v>229.06617320689003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5.062054538605285E-4</v>
      </c>
      <c r="BS59" s="24">
        <f t="shared" si="9"/>
        <v>5.062054538605285E-4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</v>
      </c>
      <c r="BY59" s="13">
        <f>IF('Données projet'!$A$114&gt;35,BY58+BX59-CG58,IF(A59&lt;'Données projet'!$A$114,$BV$205^A59,IF(A59='Données projet'!$A$114,'Données projet'!$B$114,BY58+BX59-CG58)))</f>
        <v>237.99999999999986</v>
      </c>
      <c r="BZ59" s="14">
        <f>BY59*VLOOKUP('Données projet'!$B$12,Paramètres!$A$1:$I$89,3,0)*VLOOKUP('Données projet'!$B$12,Paramètres!$A$1:$I$89,5,0)</f>
        <v>189.35279999999989</v>
      </c>
      <c r="CA59" s="14">
        <f t="shared" si="39"/>
        <v>47.396837717691554</v>
      </c>
      <c r="CB59" s="22">
        <f t="shared" si="10"/>
        <v>412.33895235831255</v>
      </c>
      <c r="CC59" s="60">
        <f t="shared" si="11"/>
        <v>705.67228569164581</v>
      </c>
      <c r="CD59" s="60">
        <f ca="1">AVERAGE(OFFSET($CC$3,0,0,'Données projet'!$E$12+1,1))-AVERAGE(OFFSET($H$3,0,0,'Données projet'!$E$12+1,1))</f>
        <v>312.53381881960331</v>
      </c>
      <c r="CE59" s="60">
        <f t="shared" si="40"/>
        <v>342.06887933351783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207.46440000000001</v>
      </c>
      <c r="CV59" s="14">
        <f t="shared" si="41"/>
        <v>51.381102169014063</v>
      </c>
      <c r="CW59" s="22">
        <f t="shared" si="13"/>
        <v>450.82258294436616</v>
      </c>
      <c r="CX59" s="60">
        <f t="shared" si="14"/>
        <v>744.15591627769948</v>
      </c>
      <c r="CY59" s="60">
        <f ca="1">AVERAGE(OFFSET($CX$3,0,0,'Données projet'!$E$13+1,1))-AVERAGE(OFFSET($H$3,0,0,'Données projet'!$E$13+1,1))</f>
        <v>475.47920969424894</v>
      </c>
      <c r="CZ59" s="60">
        <f t="shared" si="42"/>
        <v>271.73544012419364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>
        <f>VLOOKUP(A59,'Données projet'!$A$165:$I$185,2,0)</f>
        <v>273.73076923076923</v>
      </c>
      <c r="DM59" s="13">
        <f>VLOOKUP(A59,'Données projet'!$A$165:$I$185,9,0)</f>
        <v>11.264615384615393</v>
      </c>
      <c r="DN59" s="13">
        <f t="array" ref="DN59">INDEX(DM:DM,MIN(IF(ISNUMBER(DM59:DM255),ROW(DM59:DM255),"")))</f>
        <v>11.264615384615393</v>
      </c>
      <c r="DO59" s="13">
        <f>IF('Données projet'!$A$166&gt;35,DO58+DN59-DW58,IF(A59&lt;'Données projet'!$A$166,$DL$205^A59,IF(A59='Données projet'!$A$166,'Données projet'!$B$166,DO58+DN59-DW58)))</f>
        <v>273.73076923076923</v>
      </c>
      <c r="DP59" s="18">
        <f>DO59*VLOOKUP('Données projet'!$B$14,Paramètres!$A$1:$I$89,3,0)*VLOOKUP('Données projet'!$B$14,Paramètres!$A$1:$I$89,5,0)</f>
        <v>128.10599999999999</v>
      </c>
      <c r="DQ59" s="14">
        <f t="shared" si="43"/>
        <v>33.558338419591188</v>
      </c>
      <c r="DR59" s="22">
        <f t="shared" si="16"/>
        <v>281.56538941412128</v>
      </c>
      <c r="DS59" s="60">
        <f t="shared" si="17"/>
        <v>574.8987227474546</v>
      </c>
      <c r="DT59" s="60">
        <f ca="1">AVERAGE(OFFSET($DS$3,0,0,'Données projet'!$E$14+1,1))-AVERAGE(OFFSET($H$3,0,0,'Données projet'!$E$14+1,1))</f>
        <v>284.71577701131588</v>
      </c>
      <c r="DU59" s="60">
        <f t="shared" si="44"/>
        <v>190.4880882944471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</v>
      </c>
      <c r="EJ59" s="13">
        <f>IF('Données projet'!$A$192&gt;35,EJ58+EI59-ER58,IF(A59&lt;'Données projet'!$A$192,$EG$205^A59,IF(A59='Données projet'!$A$192,'Données projet'!$B$192,EJ58+EI59-ER58)))</f>
        <v>237.99999999999986</v>
      </c>
      <c r="EK59" s="18">
        <f>EJ59*VLOOKUP('Données projet'!$B$15,Paramètres!$A$1:$I$89,3,0)*VLOOKUP('Données projet'!$B$15,Paramètres!$A$1:$I$89,5,0)</f>
        <v>174.50159999999988</v>
      </c>
      <c r="EL59" s="14">
        <f t="shared" si="45"/>
        <v>44.096693550140635</v>
      </c>
      <c r="EM59" s="22">
        <f t="shared" si="19"/>
        <v>380.7253612664947</v>
      </c>
      <c r="EN59" s="60">
        <f t="shared" si="20"/>
        <v>674.05869459982796</v>
      </c>
      <c r="EO59" s="60">
        <f ca="1">AVERAGE(OFFSET($EN$3,0,0,'Données projet'!$E$15+1,1))-AVERAGE(OFFSET($H$3,0,0,'Données projet'!$E$15+1,1))</f>
        <v>290.85271051443431</v>
      </c>
      <c r="EP59" s="60">
        <f t="shared" si="46"/>
        <v>318.66958823451142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0">
        <f t="shared" si="0"/>
        <v>711.29866832489597</v>
      </c>
      <c r="S60" s="60">
        <f ca="1">AVERAGE(OFFSET($R$3,0,0,'Données projet'!$E$9+1,1))-AVERAGE(OFFSET($H$3,0,0,'Données projet'!$E$9+1,1))</f>
        <v>428.8489304403459</v>
      </c>
      <c r="T60" s="60">
        <f t="shared" si="34"/>
        <v>247.01165577562966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14.839560439560435</v>
      </c>
      <c r="AI60" s="14">
        <f>IF('Données projet'!$A$62&gt;35,AI59+AH60-AQ59,IF(A60&lt;'Données projet'!$A$62,$AF$205^A60,IF(A60='Données projet'!$A$62,'Données projet'!$B$62,AI59+AH60-AQ59)))</f>
        <v>366.678021978022</v>
      </c>
      <c r="AJ60" s="14">
        <f>AI60*VLOOKUP('Données projet'!$B$10,Paramètres!$A$1:$I$89,3,0)*VLOOKUP('Données projet'!$B$10,Paramètres!$A$1:$I$89,5,0)</f>
        <v>204.9730142857143</v>
      </c>
      <c r="AK60" s="14">
        <f t="shared" si="35"/>
        <v>50.835518579260878</v>
      </c>
      <c r="AL60" s="22">
        <f t="shared" si="4"/>
        <v>445.53319473983174</v>
      </c>
      <c r="AM60" s="60">
        <f t="shared" si="5"/>
        <v>738.866528073165</v>
      </c>
      <c r="AN60" s="60">
        <f ca="1">AVERAGE(OFFSET($AM$3,0,0,'Données projet'!$E$10+1,1))-AVERAGE(OFFSET($H$3,0,0,'Données projet'!$E$10+1,1))</f>
        <v>323.98185264074681</v>
      </c>
      <c r="AO60" s="60">
        <f t="shared" si="36"/>
        <v>301.22207291854005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2.6141931416520761</v>
      </c>
      <c r="AV60" s="23">
        <f>EXP(-LN(2)/25)*AV59+(1-EXP(-LN(2)/25))/(LN(2)/25)*Calculateur!AQ60*Calculateur!AS60*VLOOKUP('Données projet'!$B$10,Paramètres!$A$1:$I$89,3,0)*0.475*44/12</f>
        <v>3.9012104451413223</v>
      </c>
      <c r="AW60" s="23">
        <f>EXP(-LN(2)/2)*AW59+(1-EXP(-LN(2)/2))/(LN(2)/2)*AQ60*AT60*VLOOKUP('Données projet'!$B$10,Paramètres!$A$1:$I$89,3,0)*0.475*44/12</f>
        <v>5.2547970450000643E-4</v>
      </c>
      <c r="AX60" s="23">
        <f t="shared" si="6"/>
        <v>6.5159290664978986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10.66307692307692</v>
      </c>
      <c r="BD60" s="13">
        <f>IF('Données projet'!$A$88&gt;35,BD59+BC60-BL59,IF(A60&lt;'Données projet'!$A$88,$BA$205^A60,IF(A60='Données projet'!$A$88,'Données projet'!$B$88,BD59+BC60-BL59)))</f>
        <v>310.4338461538461</v>
      </c>
      <c r="BE60" s="14">
        <f>BD60*VLOOKUP('Données projet'!$B$11,Paramètres!$A$1:$I$89,3,0)*VLOOKUP('Données projet'!$B$11,Paramètres!$A$1:$I$89,5,0)</f>
        <v>185.63943999999998</v>
      </c>
      <c r="BF60" s="14">
        <f t="shared" si="37"/>
        <v>46.574596113982338</v>
      </c>
      <c r="BG60" s="22">
        <f t="shared" si="7"/>
        <v>404.43944623185251</v>
      </c>
      <c r="BH60" s="60">
        <f t="shared" si="8"/>
        <v>697.77277956518583</v>
      </c>
      <c r="BI60" s="60">
        <f ca="1">AVERAGE(OFFSET($BH$3,0,0,'Données projet'!$E$11+1,1))-AVERAGE(OFFSET($H$3,0,0,'Données projet'!$E$11+1,1))</f>
        <v>289.12367833861299</v>
      </c>
      <c r="BJ60" s="60">
        <f t="shared" si="38"/>
        <v>229.06617320689003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3.5794130909839371E-4</v>
      </c>
      <c r="BS60" s="24">
        <f t="shared" si="9"/>
        <v>3.5794130909839371E-4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</v>
      </c>
      <c r="BY60" s="13">
        <f>IF('Données projet'!$A$114&gt;35,BY59+BX60-CG59,IF(A60&lt;'Données projet'!$A$114,$BV$205^A60,IF(A60='Données projet'!$A$114,'Données projet'!$B$114,BY59+BX60-CG59)))</f>
        <v>242.99999999999986</v>
      </c>
      <c r="BZ60" s="14">
        <f>BY60*VLOOKUP('Données projet'!$B$12,Paramètres!$A$1:$I$89,3,0)*VLOOKUP('Données projet'!$B$12,Paramètres!$A$1:$I$89,5,0)</f>
        <v>193.3307999999999</v>
      </c>
      <c r="CA60" s="14">
        <f t="shared" si="39"/>
        <v>48.275598972103651</v>
      </c>
      <c r="CB60" s="22">
        <f t="shared" si="10"/>
        <v>420.79781154308029</v>
      </c>
      <c r="CC60" s="60">
        <f t="shared" si="11"/>
        <v>714.1311448764136</v>
      </c>
      <c r="CD60" s="60">
        <f ca="1">AVERAGE(OFFSET($CC$3,0,0,'Données projet'!$E$12+1,1))-AVERAGE(OFFSET($H$3,0,0,'Données projet'!$E$12+1,1))</f>
        <v>312.53381881960331</v>
      </c>
      <c r="CE60" s="60">
        <f t="shared" si="40"/>
        <v>342.06887933351783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215.17080000000001</v>
      </c>
      <c r="CV60" s="14">
        <f t="shared" si="41"/>
        <v>53.063930965723607</v>
      </c>
      <c r="CW60" s="22">
        <f t="shared" si="13"/>
        <v>467.17548976530185</v>
      </c>
      <c r="CX60" s="60">
        <f t="shared" si="14"/>
        <v>760.50882309863516</v>
      </c>
      <c r="CY60" s="60">
        <f ca="1">AVERAGE(OFFSET($CX$3,0,0,'Données projet'!$E$13+1,1))-AVERAGE(OFFSET($H$3,0,0,'Données projet'!$E$13+1,1))</f>
        <v>475.47920969424894</v>
      </c>
      <c r="CZ60" s="60">
        <f t="shared" si="42"/>
        <v>271.73544012419364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11.076923076923084</v>
      </c>
      <c r="DO60" s="13">
        <f>IF('Données projet'!$A$166&gt;35,DO59+DN60-DW59,IF(A60&lt;'Données projet'!$A$166,$DL$205^A60,IF(A60='Données projet'!$A$166,'Données projet'!$B$166,DO59+DN60-DW59)))</f>
        <v>284.80769230769232</v>
      </c>
      <c r="DP60" s="18">
        <f>DO60*VLOOKUP('Données projet'!$B$14,Paramètres!$A$1:$I$89,3,0)*VLOOKUP('Données projet'!$B$14,Paramètres!$A$1:$I$89,5,0)</f>
        <v>133.29000000000002</v>
      </c>
      <c r="DQ60" s="14">
        <f t="shared" si="43"/>
        <v>34.755472404632187</v>
      </c>
      <c r="DR60" s="22">
        <f t="shared" si="16"/>
        <v>292.67919777140111</v>
      </c>
      <c r="DS60" s="60">
        <f t="shared" si="17"/>
        <v>586.01253110473442</v>
      </c>
      <c r="DT60" s="60">
        <f ca="1">AVERAGE(OFFSET($DS$3,0,0,'Données projet'!$E$14+1,1))-AVERAGE(OFFSET($H$3,0,0,'Données projet'!$E$14+1,1))</f>
        <v>284.71577701131588</v>
      </c>
      <c r="DU60" s="60">
        <f t="shared" si="44"/>
        <v>190.4880882944471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</v>
      </c>
      <c r="EJ60" s="13">
        <f>IF('Données projet'!$A$192&gt;35,EJ59+EI60-ER59,IF(A60&lt;'Données projet'!$A$192,$EG$205^A60,IF(A60='Données projet'!$A$192,'Données projet'!$B$192,EJ59+EI60-ER59)))</f>
        <v>242.99999999999986</v>
      </c>
      <c r="EK60" s="18">
        <f>EJ60*VLOOKUP('Données projet'!$B$15,Paramètres!$A$1:$I$89,3,0)*VLOOKUP('Données projet'!$B$15,Paramètres!$A$1:$I$89,5,0)</f>
        <v>178.16759999999988</v>
      </c>
      <c r="EL60" s="14">
        <f t="shared" si="45"/>
        <v>44.91426846875347</v>
      </c>
      <c r="EM60" s="22">
        <f t="shared" si="19"/>
        <v>388.5342542497454</v>
      </c>
      <c r="EN60" s="60">
        <f t="shared" si="20"/>
        <v>681.86758758307872</v>
      </c>
      <c r="EO60" s="60">
        <f ca="1">AVERAGE(OFFSET($EN$3,0,0,'Données projet'!$E$15+1,1))-AVERAGE(OFFSET($H$3,0,0,'Données projet'!$E$15+1,1))</f>
        <v>290.85271051443431</v>
      </c>
      <c r="EP60" s="60">
        <f t="shared" si="46"/>
        <v>318.66958823451142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0">
        <f t="shared" si="0"/>
        <v>725.91438285442098</v>
      </c>
      <c r="S61" s="60">
        <f ca="1">AVERAGE(OFFSET($R$3,0,0,'Données projet'!$E$9+1,1))-AVERAGE(OFFSET($H$3,0,0,'Données projet'!$E$9+1,1))</f>
        <v>428.8489304403459</v>
      </c>
      <c r="T61" s="60">
        <f t="shared" si="34"/>
        <v>247.01165577562966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14.839560439560435</v>
      </c>
      <c r="AI61" s="14">
        <f>IF('Données projet'!$A$62&gt;35,AI60+AH61-AQ60,IF(A61&lt;'Données projet'!$A$62,$AF$205^A61,IF(A61='Données projet'!$A$62,'Données projet'!$B$62,AI60+AH61-AQ60)))</f>
        <v>381.51758241758245</v>
      </c>
      <c r="AJ61" s="14">
        <f>AI61*VLOOKUP('Données projet'!$B$10,Paramètres!$A$1:$I$89,3,0)*VLOOKUP('Données projet'!$B$10,Paramètres!$A$1:$I$89,5,0)</f>
        <v>213.26832857142858</v>
      </c>
      <c r="AK61" s="14">
        <f t="shared" si="35"/>
        <v>52.649154508451623</v>
      </c>
      <c r="AL61" s="22">
        <f t="shared" si="4"/>
        <v>463.13961636412461</v>
      </c>
      <c r="AM61" s="60">
        <f t="shared" si="5"/>
        <v>756.47294969745792</v>
      </c>
      <c r="AN61" s="60">
        <f ca="1">AVERAGE(OFFSET($AM$3,0,0,'Données projet'!$E$10+1,1))-AVERAGE(OFFSET($H$3,0,0,'Données projet'!$E$10+1,1))</f>
        <v>323.98185264074681</v>
      </c>
      <c r="AO61" s="60">
        <f t="shared" si="36"/>
        <v>301.22207291854005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2.5629304086446516</v>
      </c>
      <c r="AV61" s="23">
        <f>EXP(-LN(2)/25)*AV60+(1-EXP(-LN(2)/25))/(LN(2)/25)*Calculateur!AQ61*Calculateur!AS61*VLOOKUP('Données projet'!$B$10,Paramètres!$A$1:$I$89,3,0)*0.475*44/12</f>
        <v>3.7945316403631919</v>
      </c>
      <c r="AW61" s="23">
        <f>EXP(-LN(2)/2)*AW60+(1-EXP(-LN(2)/2))/(LN(2)/2)*AQ61*AT61*VLOOKUP('Données projet'!$B$10,Paramètres!$A$1:$I$89,3,0)*0.475*44/12</f>
        <v>3.7157026242785771E-4</v>
      </c>
      <c r="AX61" s="23">
        <f t="shared" si="6"/>
        <v>6.3578336192702709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10.66307692307692</v>
      </c>
      <c r="BD61" s="13">
        <f>IF('Données projet'!$A$88&gt;35,BD60+BC61-BL60,IF(A61&lt;'Données projet'!$A$88,$BA$205^A61,IF(A61='Données projet'!$A$88,'Données projet'!$B$88,BD60+BC61-BL60)))</f>
        <v>321.09692307692302</v>
      </c>
      <c r="BE61" s="14">
        <f>BD61*VLOOKUP('Données projet'!$B$11,Paramètres!$A$1:$I$89,3,0)*VLOOKUP('Données projet'!$B$11,Paramètres!$A$1:$I$89,5,0)</f>
        <v>192.01595999999998</v>
      </c>
      <c r="BF61" s="14">
        <f t="shared" si="37"/>
        <v>47.985378835949042</v>
      </c>
      <c r="BG61" s="22">
        <f t="shared" si="7"/>
        <v>418.00233180594455</v>
      </c>
      <c r="BH61" s="60">
        <f t="shared" si="8"/>
        <v>711.33566513927781</v>
      </c>
      <c r="BI61" s="60">
        <f ca="1">AVERAGE(OFFSET($BH$3,0,0,'Données projet'!$E$11+1,1))-AVERAGE(OFFSET($H$3,0,0,'Données projet'!$E$11+1,1))</f>
        <v>289.12367833861299</v>
      </c>
      <c r="BJ61" s="60">
        <f t="shared" si="38"/>
        <v>229.06617320689003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2.5310272693026425E-4</v>
      </c>
      <c r="BS61" s="24">
        <f t="shared" si="9"/>
        <v>2.5310272693026425E-4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</v>
      </c>
      <c r="BY61" s="13">
        <f>IF('Données projet'!$A$114&gt;35,BY60+BX61-CG60,IF(A61&lt;'Données projet'!$A$114,$BV$205^A61,IF(A61='Données projet'!$A$114,'Données projet'!$B$114,BY60+BX61-CG60)))</f>
        <v>247.99999999999986</v>
      </c>
      <c r="BZ61" s="14">
        <f>BY61*VLOOKUP('Données projet'!$B$12,Paramètres!$A$1:$I$89,3,0)*VLOOKUP('Données projet'!$B$12,Paramètres!$A$1:$I$89,5,0)</f>
        <v>197.30879999999991</v>
      </c>
      <c r="CA61" s="14">
        <f t="shared" si="39"/>
        <v>49.152257900676076</v>
      </c>
      <c r="CB61" s="22">
        <f t="shared" si="10"/>
        <v>429.25300917701065</v>
      </c>
      <c r="CC61" s="60">
        <f t="shared" si="11"/>
        <v>722.58634251034391</v>
      </c>
      <c r="CD61" s="60">
        <f ca="1">AVERAGE(OFFSET($CC$3,0,0,'Données projet'!$E$12+1,1))-AVERAGE(OFFSET($H$3,0,0,'Données projet'!$E$12+1,1))</f>
        <v>312.53381881960331</v>
      </c>
      <c r="CE61" s="60">
        <f t="shared" si="40"/>
        <v>342.06887933351783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222.87720000000002</v>
      </c>
      <c r="CV61" s="14">
        <f t="shared" si="41"/>
        <v>54.739757243913829</v>
      </c>
      <c r="CW61" s="22">
        <f t="shared" si="13"/>
        <v>483.51620053314986</v>
      </c>
      <c r="CX61" s="60">
        <f t="shared" si="14"/>
        <v>776.84953386648317</v>
      </c>
      <c r="CY61" s="60">
        <f ca="1">AVERAGE(OFFSET($CX$3,0,0,'Données projet'!$E$13+1,1))-AVERAGE(OFFSET($H$3,0,0,'Données projet'!$E$13+1,1))</f>
        <v>475.47920969424894</v>
      </c>
      <c r="CZ61" s="60">
        <f t="shared" si="42"/>
        <v>271.73544012419364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11.076923076923084</v>
      </c>
      <c r="DO61" s="13">
        <f>IF('Données projet'!$A$166&gt;35,DO60+DN61-DW60,IF(A61&lt;'Données projet'!$A$166,$DL$205^A61,IF(A61='Données projet'!$A$166,'Données projet'!$B$166,DO60+DN61-DW60)))</f>
        <v>295.88461538461542</v>
      </c>
      <c r="DP61" s="18">
        <f>DO61*VLOOKUP('Données projet'!$B$14,Paramètres!$A$1:$I$89,3,0)*VLOOKUP('Données projet'!$B$14,Paramètres!$A$1:$I$89,5,0)</f>
        <v>138.47400000000002</v>
      </c>
      <c r="DQ61" s="14">
        <f t="shared" si="43"/>
        <v>35.947197649185291</v>
      </c>
      <c r="DR61" s="22">
        <f t="shared" si="16"/>
        <v>303.78358590566432</v>
      </c>
      <c r="DS61" s="60">
        <f t="shared" si="17"/>
        <v>597.11691923899764</v>
      </c>
      <c r="DT61" s="60">
        <f ca="1">AVERAGE(OFFSET($DS$3,0,0,'Données projet'!$E$14+1,1))-AVERAGE(OFFSET($H$3,0,0,'Données projet'!$E$14+1,1))</f>
        <v>284.71577701131588</v>
      </c>
      <c r="DU61" s="60">
        <f t="shared" si="44"/>
        <v>190.4880882944471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</v>
      </c>
      <c r="EJ61" s="13">
        <f>IF('Données projet'!$A$192&gt;35,EJ60+EI61-ER60,IF(A61&lt;'Données projet'!$A$192,$EG$205^A61,IF(A61='Données projet'!$A$192,'Données projet'!$B$192,EJ60+EI61-ER60)))</f>
        <v>247.99999999999986</v>
      </c>
      <c r="EK61" s="18">
        <f>EJ61*VLOOKUP('Données projet'!$B$15,Paramètres!$A$1:$I$89,3,0)*VLOOKUP('Données projet'!$B$15,Paramètres!$A$1:$I$89,5,0)</f>
        <v>181.8335999999999</v>
      </c>
      <c r="EL61" s="14">
        <f t="shared" si="45"/>
        <v>45.729887442143784</v>
      </c>
      <c r="EM61" s="22">
        <f t="shared" si="19"/>
        <v>396.33974062840025</v>
      </c>
      <c r="EN61" s="60">
        <f t="shared" si="20"/>
        <v>689.67307396173351</v>
      </c>
      <c r="EO61" s="60">
        <f ca="1">AVERAGE(OFFSET($EN$3,0,0,'Données projet'!$E$15+1,1))-AVERAGE(OFFSET($H$3,0,0,'Données projet'!$E$15+1,1))</f>
        <v>290.85271051443431</v>
      </c>
      <c r="EP61" s="60">
        <f t="shared" si="46"/>
        <v>318.66958823451142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0">
        <f t="shared" si="0"/>
        <v>740.51949446577237</v>
      </c>
      <c r="S62" s="60">
        <f ca="1">AVERAGE(OFFSET($R$3,0,0,'Données projet'!$E$9+1,1))-AVERAGE(OFFSET($H$3,0,0,'Données projet'!$E$9+1,1))</f>
        <v>428.8489304403459</v>
      </c>
      <c r="T62" s="60">
        <f t="shared" si="34"/>
        <v>247.01165577562966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14.839560439560435</v>
      </c>
      <c r="AI62" s="14">
        <f>IF('Données projet'!$A$62&gt;35,AI61+AH62-AQ61,IF(A62&lt;'Données projet'!$A$62,$AF$205^A62,IF(A62='Données projet'!$A$62,'Données projet'!$B$62,AI61+AH62-AQ61)))</f>
        <v>396.35714285714289</v>
      </c>
      <c r="AJ62" s="14">
        <f>AI62*VLOOKUP('Données projet'!$B$10,Paramètres!$A$1:$I$89,3,0)*VLOOKUP('Données projet'!$B$10,Paramètres!$A$1:$I$89,5,0)</f>
        <v>221.56364285714287</v>
      </c>
      <c r="AK62" s="14">
        <f t="shared" si="35"/>
        <v>54.45459555983345</v>
      </c>
      <c r="AL62" s="22">
        <f t="shared" si="4"/>
        <v>480.73176524290039</v>
      </c>
      <c r="AM62" s="60">
        <f t="shared" si="5"/>
        <v>774.06509857623371</v>
      </c>
      <c r="AN62" s="60">
        <f ca="1">AVERAGE(OFFSET($AM$3,0,0,'Données projet'!$E$10+1,1))-AVERAGE(OFFSET($H$3,0,0,'Données projet'!$E$10+1,1))</f>
        <v>323.98185264074681</v>
      </c>
      <c r="AO62" s="60">
        <f t="shared" si="36"/>
        <v>301.22207291854005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2.512672906564323</v>
      </c>
      <c r="AV62" s="23">
        <f>EXP(-LN(2)/25)*AV61+(1-EXP(-LN(2)/25))/(LN(2)/25)*Calculateur!AQ62*Calculateur!AS62*VLOOKUP('Données projet'!$B$10,Paramètres!$A$1:$I$89,3,0)*0.475*44/12</f>
        <v>3.6907699731117138</v>
      </c>
      <c r="AW62" s="23">
        <f>EXP(-LN(2)/2)*AW61+(1-EXP(-LN(2)/2))/(LN(2)/2)*AQ62*AT62*VLOOKUP('Données projet'!$B$10,Paramètres!$A$1:$I$89,3,0)*0.475*44/12</f>
        <v>2.6273985225000321E-4</v>
      </c>
      <c r="AX62" s="23">
        <f t="shared" si="6"/>
        <v>6.2037056195282867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10.66307692307692</v>
      </c>
      <c r="BD62" s="13">
        <f>IF('Données projet'!$A$88&gt;35,BD61+BC62-BL61,IF(A62&lt;'Données projet'!$A$88,$BA$205^A62,IF(A62='Données projet'!$A$88,'Données projet'!$B$88,BD61+BC62-BL61)))</f>
        <v>331.75999999999993</v>
      </c>
      <c r="BE62" s="14">
        <f>BD62*VLOOKUP('Données projet'!$B$11,Paramètres!$A$1:$I$89,3,0)*VLOOKUP('Données projet'!$B$11,Paramètres!$A$1:$I$89,5,0)</f>
        <v>198.39247999999998</v>
      </c>
      <c r="BF62" s="14">
        <f t="shared" si="37"/>
        <v>49.39071772551025</v>
      </c>
      <c r="BG62" s="22">
        <f t="shared" si="7"/>
        <v>431.55573603859693</v>
      </c>
      <c r="BH62" s="60">
        <f t="shared" si="8"/>
        <v>724.88906937193019</v>
      </c>
      <c r="BI62" s="60">
        <f ca="1">AVERAGE(OFFSET($BH$3,0,0,'Données projet'!$E$11+1,1))-AVERAGE(OFFSET($H$3,0,0,'Données projet'!$E$11+1,1))</f>
        <v>289.12367833861299</v>
      </c>
      <c r="BJ62" s="60">
        <f t="shared" si="38"/>
        <v>229.06617320689003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1.7897065454919686E-4</v>
      </c>
      <c r="BS62" s="24">
        <f t="shared" si="9"/>
        <v>1.7897065454919686E-4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</v>
      </c>
      <c r="BY62" s="13">
        <f>IF('Données projet'!$A$114&gt;35,BY61+BX62-CG61,IF(A62&lt;'Données projet'!$A$114,$BV$205^A62,IF(A62='Données projet'!$A$114,'Données projet'!$B$114,BY61+BX62-CG61)))</f>
        <v>252.99999999999986</v>
      </c>
      <c r="BZ62" s="14">
        <f>BY62*VLOOKUP('Données projet'!$B$12,Paramètres!$A$1:$I$89,3,0)*VLOOKUP('Données projet'!$B$12,Paramètres!$A$1:$I$89,5,0)</f>
        <v>201.28679999999989</v>
      </c>
      <c r="CA62" s="14">
        <f t="shared" si="39"/>
        <v>50.026861773677616</v>
      </c>
      <c r="CB62" s="22">
        <f t="shared" si="10"/>
        <v>437.70462758915488</v>
      </c>
      <c r="CC62" s="60">
        <f t="shared" si="11"/>
        <v>731.0379609224882</v>
      </c>
      <c r="CD62" s="60">
        <f ca="1">AVERAGE(OFFSET($CC$3,0,0,'Données projet'!$E$12+1,1))-AVERAGE(OFFSET($H$3,0,0,'Données projet'!$E$12+1,1))</f>
        <v>312.53381881960331</v>
      </c>
      <c r="CE62" s="60">
        <f t="shared" si="40"/>
        <v>342.06887933351783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230.58360000000002</v>
      </c>
      <c r="CV62" s="14">
        <f t="shared" si="41"/>
        <v>56.408850878327968</v>
      </c>
      <c r="CW62" s="22">
        <f t="shared" si="13"/>
        <v>499.8451852797545</v>
      </c>
      <c r="CX62" s="60">
        <f t="shared" si="14"/>
        <v>793.17851861308782</v>
      </c>
      <c r="CY62" s="60">
        <f ca="1">AVERAGE(OFFSET($CX$3,0,0,'Données projet'!$E$13+1,1))-AVERAGE(OFFSET($H$3,0,0,'Données projet'!$E$13+1,1))</f>
        <v>475.47920969424894</v>
      </c>
      <c r="CZ62" s="60">
        <f t="shared" si="42"/>
        <v>271.73544012419364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11.076923076923084</v>
      </c>
      <c r="DO62" s="13">
        <f>IF('Données projet'!$A$166&gt;35,DO61+DN62-DW61,IF(A62&lt;'Données projet'!$A$166,$DL$205^A62,IF(A62='Données projet'!$A$166,'Données projet'!$B$166,DO61+DN62-DW61)))</f>
        <v>306.96153846153851</v>
      </c>
      <c r="DP62" s="18">
        <f>DO62*VLOOKUP('Données projet'!$B$14,Paramètres!$A$1:$I$89,3,0)*VLOOKUP('Données projet'!$B$14,Paramètres!$A$1:$I$89,5,0)</f>
        <v>143.65800000000002</v>
      </c>
      <c r="DQ62" s="14">
        <f t="shared" si="43"/>
        <v>37.133739822996013</v>
      </c>
      <c r="DR62" s="22">
        <f t="shared" si="16"/>
        <v>314.87894685838472</v>
      </c>
      <c r="DS62" s="60">
        <f t="shared" si="17"/>
        <v>608.21228019171804</v>
      </c>
      <c r="DT62" s="60">
        <f ca="1">AVERAGE(OFFSET($DS$3,0,0,'Données projet'!$E$14+1,1))-AVERAGE(OFFSET($H$3,0,0,'Données projet'!$E$14+1,1))</f>
        <v>284.71577701131588</v>
      </c>
      <c r="DU62" s="60">
        <f t="shared" si="44"/>
        <v>190.4880882944471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</v>
      </c>
      <c r="EJ62" s="13">
        <f>IF('Données projet'!$A$192&gt;35,EJ61+EI62-ER61,IF(A62&lt;'Données projet'!$A$192,$EG$205^A62,IF(A62='Données projet'!$A$192,'Données projet'!$B$192,EJ61+EI62-ER61)))</f>
        <v>252.99999999999986</v>
      </c>
      <c r="EK62" s="18">
        <f>EJ62*VLOOKUP('Données projet'!$B$15,Paramètres!$A$1:$I$89,3,0)*VLOOKUP('Données projet'!$B$15,Paramètres!$A$1:$I$89,5,0)</f>
        <v>185.4995999999999</v>
      </c>
      <c r="EL62" s="14">
        <f t="shared" si="45"/>
        <v>46.543594449249014</v>
      </c>
      <c r="EM62" s="22">
        <f t="shared" si="19"/>
        <v>404.1418969991085</v>
      </c>
      <c r="EN62" s="60">
        <f t="shared" si="20"/>
        <v>697.47523033244181</v>
      </c>
      <c r="EO62" s="60">
        <f ca="1">AVERAGE(OFFSET($EN$3,0,0,'Données projet'!$E$15+1,1))-AVERAGE(OFFSET($H$3,0,0,'Données projet'!$E$15+1,1))</f>
        <v>290.85271051443431</v>
      </c>
      <c r="EP62" s="60">
        <f t="shared" si="46"/>
        <v>318.66958823451142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0">
        <f t="shared" si="0"/>
        <v>755.11439815081053</v>
      </c>
      <c r="S63" s="60">
        <f ca="1">AVERAGE(OFFSET($R$3,0,0,'Données projet'!$E$9+1,1))-AVERAGE(OFFSET($H$3,0,0,'Données projet'!$E$9+1,1))</f>
        <v>428.8489304403459</v>
      </c>
      <c r="T63" s="60">
        <f t="shared" si="34"/>
        <v>247.01165577562966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14.839560439560435</v>
      </c>
      <c r="AI63" s="14">
        <f>IF('Données projet'!$A$62&gt;35,AI62+AH63-AQ62,IF(A63&lt;'Données projet'!$A$62,$AF$205^A63,IF(A63='Données projet'!$A$62,'Données projet'!$B$62,AI62+AH63-AQ62)))</f>
        <v>411.19670329670333</v>
      </c>
      <c r="AJ63" s="14">
        <f>AI63*VLOOKUP('Données projet'!$B$10,Paramètres!$A$1:$I$89,3,0)*VLOOKUP('Données projet'!$B$10,Paramètres!$A$1:$I$89,5,0)</f>
        <v>229.85895714285718</v>
      </c>
      <c r="AK63" s="14">
        <f t="shared" si="35"/>
        <v>56.252183679167004</v>
      </c>
      <c r="AL63" s="22">
        <f t="shared" si="4"/>
        <v>498.31023693169209</v>
      </c>
      <c r="AM63" s="60">
        <f t="shared" si="5"/>
        <v>791.64357026502535</v>
      </c>
      <c r="AN63" s="60">
        <f ca="1">AVERAGE(OFFSET($AM$3,0,0,'Données projet'!$E$10+1,1))-AVERAGE(OFFSET($H$3,0,0,'Données projet'!$E$10+1,1))</f>
        <v>323.98185264074681</v>
      </c>
      <c r="AO63" s="60">
        <f t="shared" si="36"/>
        <v>301.22207291854005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2.4634009234457399</v>
      </c>
      <c r="AV63" s="23">
        <f>EXP(-LN(2)/25)*AV62+(1-EXP(-LN(2)/25))/(LN(2)/25)*Calculateur!AQ63*Calculateur!AS63*VLOOKUP('Données projet'!$B$10,Paramètres!$A$1:$I$89,3,0)*0.475*44/12</f>
        <v>3.5898456741078166</v>
      </c>
      <c r="AW63" s="23">
        <f>EXP(-LN(2)/2)*AW62+(1-EXP(-LN(2)/2))/(LN(2)/2)*AQ63*AT63*VLOOKUP('Données projet'!$B$10,Paramètres!$A$1:$I$89,3,0)*0.475*44/12</f>
        <v>1.8578513121392885E-4</v>
      </c>
      <c r="AX63" s="23">
        <f t="shared" si="6"/>
        <v>6.0534323826847709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342.42307692307691</v>
      </c>
      <c r="BB63" s="13">
        <f>VLOOKUP(A63,'Données projet'!$A$87:$I$107,9,0)</f>
        <v>10.66307692307692</v>
      </c>
      <c r="BC63" s="13">
        <f t="array" ref="BC63">INDEX(BB:BB,MIN(IF(ISNUMBER(BB63:BB259),ROW(BB63:BB259),"")))</f>
        <v>10.66307692307692</v>
      </c>
      <c r="BD63" s="13">
        <f>IF('Données projet'!$A$88&gt;35,BD62+BC63-BL62,IF(A63&lt;'Données projet'!$A$88,$BA$205^A63,IF(A63='Données projet'!$A$88,'Données projet'!$B$88,BD62+BC63-BL62)))</f>
        <v>342.42307692307685</v>
      </c>
      <c r="BE63" s="14">
        <f>BD63*VLOOKUP('Données projet'!$B$11,Paramètres!$A$1:$I$89,3,0)*VLOOKUP('Données projet'!$B$11,Paramètres!$A$1:$I$89,5,0)</f>
        <v>204.76899999999998</v>
      </c>
      <c r="BF63" s="14">
        <f t="shared" si="37"/>
        <v>50.790807822253974</v>
      </c>
      <c r="BG63" s="22">
        <f t="shared" si="7"/>
        <v>445.09999862375895</v>
      </c>
      <c r="BH63" s="60">
        <f t="shared" si="8"/>
        <v>738.43333195709226</v>
      </c>
      <c r="BI63" s="60">
        <f ca="1">AVERAGE(OFFSET($BH$3,0,0,'Données projet'!$E$11+1,1))-AVERAGE(OFFSET($H$3,0,0,'Données projet'!$E$11+1,1))</f>
        <v>289.12367833861299</v>
      </c>
      <c r="BJ63" s="60">
        <f t="shared" si="38"/>
        <v>229.06617320689003</v>
      </c>
      <c r="BK63" s="16">
        <f>IF(ISNA(VLOOKUP(A63,'Données projet'!$A$87:$I$107,3,0)),0,VLOOKUP(A63,'Données projet'!$A$87:$I$107,3,0))</f>
        <v>6</v>
      </c>
      <c r="BL63" s="16">
        <f>IF(ISNA(VLOOKUP(A63,'Données projet'!$A$87:$I$107,4,0)),0,VLOOKUP(A63,'Données projet'!$A$87:$I$107,4,0))</f>
        <v>54.261538461538464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1.2655136346513213E-4</v>
      </c>
      <c r="BS63" s="24">
        <f t="shared" si="9"/>
        <v>1.2655136346513213E-4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258</v>
      </c>
      <c r="BW63" s="13">
        <f>VLOOKUP(A63,'Données projet'!$A$113:$I$133,9,0)</f>
        <v>5</v>
      </c>
      <c r="BX63" s="13">
        <f t="array" ref="BX63">INDEX(BW:BW,MIN(IF(ISNUMBER(BW63:BW259),ROW(BW63:BW259),"")))</f>
        <v>5</v>
      </c>
      <c r="BY63" s="13">
        <f>IF('Données projet'!$A$114&gt;35,BY62+BX63-CG62,IF(A63&lt;'Données projet'!$A$114,$BV$205^A63,IF(A63='Données projet'!$A$114,'Données projet'!$B$114,BY62+BX63-CG62)))</f>
        <v>257.99999999999989</v>
      </c>
      <c r="BZ63" s="14">
        <f>BY63*VLOOKUP('Données projet'!$B$12,Paramètres!$A$1:$I$89,3,0)*VLOOKUP('Données projet'!$B$12,Paramètres!$A$1:$I$89,5,0)</f>
        <v>205.26479999999995</v>
      </c>
      <c r="CA63" s="14">
        <f t="shared" si="39"/>
        <v>50.899455886133694</v>
      </c>
      <c r="CB63" s="22">
        <f t="shared" si="10"/>
        <v>446.1527456683495</v>
      </c>
      <c r="CC63" s="60">
        <f t="shared" si="11"/>
        <v>739.48607900168281</v>
      </c>
      <c r="CD63" s="60">
        <f ca="1">AVERAGE(OFFSET($CC$3,0,0,'Données projet'!$E$12+1,1))-AVERAGE(OFFSET($H$3,0,0,'Données projet'!$E$12+1,1))</f>
        <v>312.53381881960331</v>
      </c>
      <c r="CE63" s="60">
        <f t="shared" si="40"/>
        <v>342.06887933351783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25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238.29000000000002</v>
      </c>
      <c r="CV63" s="14">
        <f t="shared" si="41"/>
        <v>58.071462681001513</v>
      </c>
      <c r="CW63" s="22">
        <f t="shared" si="13"/>
        <v>516.16288083607753</v>
      </c>
      <c r="CX63" s="60">
        <f t="shared" si="14"/>
        <v>809.49621416941091</v>
      </c>
      <c r="CY63" s="60">
        <f ca="1">AVERAGE(OFFSET($CX$3,0,0,'Données projet'!$E$13+1,1))-AVERAGE(OFFSET($H$3,0,0,'Données projet'!$E$13+1,1))</f>
        <v>475.47920969424894</v>
      </c>
      <c r="CZ63" s="60">
        <f t="shared" si="42"/>
        <v>271.73544012419364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11.076923076923084</v>
      </c>
      <c r="DO63" s="13">
        <f>IF('Données projet'!$A$166&gt;35,DO62+DN63-DW62,IF(A63&lt;'Données projet'!$A$166,$DL$205^A63,IF(A63='Données projet'!$A$166,'Données projet'!$B$166,DO62+DN63-DW62)))</f>
        <v>318.0384615384616</v>
      </c>
      <c r="DP63" s="18">
        <f>DO63*VLOOKUP('Données projet'!$B$14,Paramètres!$A$1:$I$89,3,0)*VLOOKUP('Données projet'!$B$14,Paramètres!$A$1:$I$89,5,0)</f>
        <v>148.84200000000004</v>
      </c>
      <c r="DQ63" s="14">
        <f t="shared" si="43"/>
        <v>38.315307385764029</v>
      </c>
      <c r="DR63" s="22">
        <f t="shared" si="16"/>
        <v>325.96564369687235</v>
      </c>
      <c r="DS63" s="60">
        <f t="shared" si="17"/>
        <v>619.29897703020561</v>
      </c>
      <c r="DT63" s="60">
        <f ca="1">AVERAGE(OFFSET($DS$3,0,0,'Données projet'!$E$14+1,1))-AVERAGE(OFFSET($H$3,0,0,'Données projet'!$E$14+1,1))</f>
        <v>284.71577701131588</v>
      </c>
      <c r="DU63" s="60">
        <f t="shared" si="44"/>
        <v>190.4880882944471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258</v>
      </c>
      <c r="EH63" s="13">
        <f>VLOOKUP(A63,'Données projet'!$A$191:$I$211,9,0)</f>
        <v>5</v>
      </c>
      <c r="EI63" s="13">
        <f t="array" ref="EI63">INDEX(EH:EH,MIN(IF(ISNUMBER(EH63:EH259),ROW(EH63:EH259),"")))</f>
        <v>5</v>
      </c>
      <c r="EJ63" s="13">
        <f>IF('Données projet'!$A$192&gt;35,EJ62+EI63-ER62,IF(A63&lt;'Données projet'!$A$192,$EG$205^A63,IF(A63='Données projet'!$A$192,'Données projet'!$B$192,EJ62+EI63-ER62)))</f>
        <v>257.99999999999989</v>
      </c>
      <c r="EK63" s="18">
        <f>EJ63*VLOOKUP('Données projet'!$B$15,Paramètres!$A$1:$I$89,3,0)*VLOOKUP('Données projet'!$B$15,Paramètres!$A$1:$I$89,5,0)</f>
        <v>189.1655999999999</v>
      </c>
      <c r="EL63" s="14">
        <f t="shared" si="45"/>
        <v>47.355431631295275</v>
      </c>
      <c r="EM63" s="22">
        <f t="shared" si="19"/>
        <v>411.94079675783905</v>
      </c>
      <c r="EN63" s="60">
        <f t="shared" si="20"/>
        <v>705.27413009117231</v>
      </c>
      <c r="EO63" s="60">
        <f ca="1">AVERAGE(OFFSET($EN$3,0,0,'Données projet'!$E$15+1,1))-AVERAGE(OFFSET($H$3,0,0,'Données projet'!$E$15+1,1))</f>
        <v>290.85271051443431</v>
      </c>
      <c r="EP63" s="60">
        <f t="shared" si="46"/>
        <v>318.66958823451142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25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0">
        <f t="shared" si="0"/>
        <v>688.19859268339724</v>
      </c>
      <c r="S64" s="60">
        <f ca="1">AVERAGE(OFFSET($R$3,0,0,'Données projet'!$E$9+1,1))-AVERAGE(OFFSET($H$3,0,0,'Données projet'!$E$9+1,1))</f>
        <v>428.8489304403459</v>
      </c>
      <c r="T64" s="60">
        <f t="shared" si="34"/>
        <v>247.01165577562966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14.839560439560435</v>
      </c>
      <c r="AI64" s="14">
        <f>IF('Données projet'!$A$62&gt;35,AI63+AH64-AQ63,IF(A64&lt;'Données projet'!$A$62,$AF$205^A64,IF(A64='Données projet'!$A$62,'Données projet'!$B$62,AI63+AH64-AQ63)))</f>
        <v>426.03626373626378</v>
      </c>
      <c r="AJ64" s="14">
        <f>AI64*VLOOKUP('Données projet'!$B$10,Paramètres!$A$1:$I$89,3,0)*VLOOKUP('Données projet'!$B$10,Paramètres!$A$1:$I$89,5,0)</f>
        <v>238.15427142857146</v>
      </c>
      <c r="AK64" s="14">
        <f t="shared" si="35"/>
        <v>58.042234732541061</v>
      </c>
      <c r="AL64" s="22">
        <f t="shared" si="4"/>
        <v>515.87558156393777</v>
      </c>
      <c r="AM64" s="60">
        <f t="shared" si="5"/>
        <v>809.20891489727114</v>
      </c>
      <c r="AN64" s="60">
        <f ca="1">AVERAGE(OFFSET($AM$3,0,0,'Données projet'!$E$10+1,1))-AVERAGE(OFFSET($H$3,0,0,'Données projet'!$E$10+1,1))</f>
        <v>323.98185264074681</v>
      </c>
      <c r="AO64" s="60">
        <f t="shared" si="36"/>
        <v>301.22207291854005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2.4150951338631703</v>
      </c>
      <c r="AV64" s="23">
        <f>EXP(-LN(2)/25)*AV63+(1-EXP(-LN(2)/25))/(LN(2)/25)*Calculateur!AQ64*Calculateur!AS64*VLOOKUP('Données projet'!$B$10,Paramètres!$A$1:$I$89,3,0)*0.475*44/12</f>
        <v>3.4916811553675591</v>
      </c>
      <c r="AW64" s="23">
        <f>EXP(-LN(2)/2)*AW63+(1-EXP(-LN(2)/2))/(LN(2)/2)*AQ64*AT64*VLOOKUP('Données projet'!$B$10,Paramètres!$A$1:$I$89,3,0)*0.475*44/12</f>
        <v>1.3136992612500161E-4</v>
      </c>
      <c r="AX64" s="23">
        <f t="shared" si="6"/>
        <v>5.9069076591568539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9.1830769230769249</v>
      </c>
      <c r="BD64" s="13">
        <f>IF('Données projet'!$A$88&gt;35,BD63+BC64-BL63,IF(A64&lt;'Données projet'!$A$88,$BA$205^A64,IF(A64='Données projet'!$A$88,'Données projet'!$B$88,BD63+BC64-BL63)))</f>
        <v>297.34461538461534</v>
      </c>
      <c r="BE64" s="14">
        <f>BD64*VLOOKUP('Données projet'!$B$11,Paramètres!$A$1:$I$89,3,0)*VLOOKUP('Données projet'!$B$11,Paramètres!$A$1:$I$89,5,0)</f>
        <v>177.81207999999998</v>
      </c>
      <c r="BF64" s="14">
        <f t="shared" si="37"/>
        <v>44.835068353066951</v>
      </c>
      <c r="BG64" s="22">
        <f t="shared" si="7"/>
        <v>387.77711671492489</v>
      </c>
      <c r="BH64" s="60">
        <f t="shared" si="8"/>
        <v>681.11045004825814</v>
      </c>
      <c r="BI64" s="60">
        <f ca="1">AVERAGE(OFFSET($BH$3,0,0,'Données projet'!$E$11+1,1))-AVERAGE(OFFSET($H$3,0,0,'Données projet'!$E$11+1,1))</f>
        <v>289.12367833861299</v>
      </c>
      <c r="BJ64" s="60">
        <f t="shared" si="38"/>
        <v>229.06617320689003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8.9485327274598428E-5</v>
      </c>
      <c r="BS64" s="24">
        <f t="shared" si="9"/>
        <v>8.9485327274598428E-5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4.4000000000000004</v>
      </c>
      <c r="BY64" s="13">
        <f>IF('Données projet'!$A$114&gt;35,BY63+BX64-CG63,IF(A64&lt;'Données projet'!$A$114,$BV$205^A64,IF(A64='Données projet'!$A$114,'Données projet'!$B$114,BY63+BX64-CG63)))</f>
        <v>237.39999999999986</v>
      </c>
      <c r="BZ64" s="14">
        <f>BY64*VLOOKUP('Données projet'!$B$12,Paramètres!$A$1:$I$89,3,0)*VLOOKUP('Données projet'!$B$12,Paramètres!$A$1:$I$89,5,0)</f>
        <v>188.87543999999988</v>
      </c>
      <c r="CA64" s="14">
        <f t="shared" si="39"/>
        <v>47.291242769027726</v>
      </c>
      <c r="CB64" s="22">
        <f t="shared" si="10"/>
        <v>411.32363915605634</v>
      </c>
      <c r="CC64" s="60">
        <f t="shared" si="11"/>
        <v>704.65697248938966</v>
      </c>
      <c r="CD64" s="60">
        <f ca="1">AVERAGE(OFFSET($CC$3,0,0,'Données projet'!$E$12+1,1))-AVERAGE(OFFSET($H$3,0,0,'Données projet'!$E$12+1,1))</f>
        <v>312.53381881960331</v>
      </c>
      <c r="CE64" s="60">
        <f t="shared" si="40"/>
        <v>342.06887933351783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203.00279999999995</v>
      </c>
      <c r="CV64" s="14">
        <f t="shared" si="41"/>
        <v>50.403518824343074</v>
      </c>
      <c r="CW64" s="22">
        <f t="shared" si="13"/>
        <v>441.3493386190641</v>
      </c>
      <c r="CX64" s="60">
        <f t="shared" si="14"/>
        <v>734.68267195239741</v>
      </c>
      <c r="CY64" s="60">
        <f ca="1">AVERAGE(OFFSET($CX$3,0,0,'Données projet'!$E$13+1,1))-AVERAGE(OFFSET($H$3,0,0,'Données projet'!$E$13+1,1))</f>
        <v>475.47920969424894</v>
      </c>
      <c r="CZ64" s="60">
        <f t="shared" si="42"/>
        <v>271.73544012419364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>
        <f>VLOOKUP(A64,'Données projet'!$A$165:$I$185,2,0)</f>
        <v>329.11538461538464</v>
      </c>
      <c r="DM64" s="13">
        <f>VLOOKUP(A64,'Données projet'!$A$165:$I$185,9,0)</f>
        <v>11.076923076923084</v>
      </c>
      <c r="DN64" s="13">
        <f t="array" ref="DN64">INDEX(DM:DM,MIN(IF(ISNUMBER(DM64:DM260),ROW(DM64:DM260),"")))</f>
        <v>11.076923076923084</v>
      </c>
      <c r="DO64" s="13">
        <f>IF('Données projet'!$A$166&gt;35,DO63+DN64-DW63,IF(A64&lt;'Données projet'!$A$166,$DL$205^A64,IF(A64='Données projet'!$A$166,'Données projet'!$B$166,DO63+DN64-DW63)))</f>
        <v>329.1153846153847</v>
      </c>
      <c r="DP64" s="18">
        <f>DO64*VLOOKUP('Données projet'!$B$14,Paramètres!$A$1:$I$89,3,0)*VLOOKUP('Données projet'!$B$14,Paramètres!$A$1:$I$89,5,0)</f>
        <v>154.02600000000004</v>
      </c>
      <c r="DQ64" s="14">
        <f t="shared" si="43"/>
        <v>39.492093452898274</v>
      </c>
      <c r="DR64" s="22">
        <f t="shared" si="16"/>
        <v>337.04401276379787</v>
      </c>
      <c r="DS64" s="60">
        <f t="shared" si="17"/>
        <v>630.37734609713118</v>
      </c>
      <c r="DT64" s="60">
        <f ca="1">AVERAGE(OFFSET($DS$3,0,0,'Données projet'!$E$14+1,1))-AVERAGE(OFFSET($H$3,0,0,'Données projet'!$E$14+1,1))</f>
        <v>284.71577701131588</v>
      </c>
      <c r="DU64" s="60">
        <f t="shared" si="44"/>
        <v>190.4880882944471</v>
      </c>
      <c r="DV64" s="16">
        <f>IF(ISNA(VLOOKUP(A64,'Données projet'!$A$165:$I$185,3,0)),0,VLOOKUP(A64,'Données projet'!$A$165:$I$185,3,0))</f>
        <v>2</v>
      </c>
      <c r="DW64" s="16">
        <f>IF(ISNA(VLOOKUP(A64,'Données projet'!$A$165:$I$185,4,0)),0,VLOOKUP(A64,'Données projet'!$A$165:$I$185,4,0))</f>
        <v>94.76153846153845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4.4000000000000004</v>
      </c>
      <c r="EJ64" s="13">
        <f>IF('Données projet'!$A$192&gt;35,EJ63+EI64-ER63,IF(A64&lt;'Données projet'!$A$192,$EG$205^A64,IF(A64='Données projet'!$A$192,'Données projet'!$B$192,EJ63+EI64-ER63)))</f>
        <v>237.39999999999986</v>
      </c>
      <c r="EK64" s="18">
        <f>EJ64*VLOOKUP('Données projet'!$B$15,Paramètres!$A$1:$I$89,3,0)*VLOOKUP('Données projet'!$B$15,Paramètres!$A$1:$I$89,5,0)</f>
        <v>174.06167999999991</v>
      </c>
      <c r="EL64" s="14">
        <f t="shared" si="45"/>
        <v>43.998450960214953</v>
      </c>
      <c r="EM64" s="22">
        <f t="shared" si="19"/>
        <v>379.78806142237414</v>
      </c>
      <c r="EN64" s="60">
        <f t="shared" si="20"/>
        <v>673.12139475570746</v>
      </c>
      <c r="EO64" s="60">
        <f ca="1">AVERAGE(OFFSET($EN$3,0,0,'Données projet'!$E$15+1,1))-AVERAGE(OFFSET($H$3,0,0,'Données projet'!$E$15+1,1))</f>
        <v>290.85271051443431</v>
      </c>
      <c r="EP64" s="60">
        <f t="shared" si="46"/>
        <v>318.66958823451142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0">
        <f t="shared" si="0"/>
        <v>702.06203699024263</v>
      </c>
      <c r="S65" s="60">
        <f ca="1">AVERAGE(OFFSET($R$3,0,0,'Données projet'!$E$9+1,1))-AVERAGE(OFFSET($H$3,0,0,'Données projet'!$E$9+1,1))</f>
        <v>428.8489304403459</v>
      </c>
      <c r="T65" s="60">
        <f t="shared" si="34"/>
        <v>247.01165577562966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14.839560439560435</v>
      </c>
      <c r="AI65" s="14">
        <f>IF('Données projet'!$A$62&gt;35,AI64+AH65-AQ64,IF(A65&lt;'Données projet'!$A$62,$AF$205^A65,IF(A65='Données projet'!$A$62,'Données projet'!$B$62,AI64+AH65-AQ64)))</f>
        <v>440.87582417582422</v>
      </c>
      <c r="AJ65" s="14">
        <f>AI65*VLOOKUP('Données projet'!$B$10,Paramètres!$A$1:$I$89,3,0)*VLOOKUP('Données projet'!$B$10,Paramètres!$A$1:$I$89,5,0)</f>
        <v>246.44958571428575</v>
      </c>
      <c r="AK65" s="14">
        <f t="shared" si="35"/>
        <v>59.825041333918982</v>
      </c>
      <c r="AL65" s="22">
        <f t="shared" si="4"/>
        <v>533.42830877562324</v>
      </c>
      <c r="AM65" s="60">
        <f t="shared" si="5"/>
        <v>826.76164210895649</v>
      </c>
      <c r="AN65" s="60">
        <f ca="1">AVERAGE(OFFSET($AM$3,0,0,'Données projet'!$E$10+1,1))-AVERAGE(OFFSET($H$3,0,0,'Données projet'!$E$10+1,1))</f>
        <v>323.98185264074681</v>
      </c>
      <c r="AO65" s="60">
        <f t="shared" si="36"/>
        <v>301.22207291854005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2.3677365913506923</v>
      </c>
      <c r="AV65" s="23">
        <f>EXP(-LN(2)/25)*AV64+(1-EXP(-LN(2)/25))/(LN(2)/25)*Calculateur!AQ65*Calculateur!AS65*VLOOKUP('Données projet'!$B$10,Paramètres!$A$1:$I$89,3,0)*0.475*44/12</f>
        <v>3.3962009505545017</v>
      </c>
      <c r="AW65" s="23">
        <f>EXP(-LN(2)/2)*AW64+(1-EXP(-LN(2)/2))/(LN(2)/2)*AQ65*AT65*VLOOKUP('Données projet'!$B$10,Paramètres!$A$1:$I$89,3,0)*0.475*44/12</f>
        <v>9.2892565606964426E-5</v>
      </c>
      <c r="AX65" s="23">
        <f t="shared" si="6"/>
        <v>5.7640304344708007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9.1830769230769249</v>
      </c>
      <c r="BD65" s="13">
        <f>IF('Données projet'!$A$88&gt;35,BD64+BC65-BL64,IF(A65&lt;'Données projet'!$A$88,$BA$205^A65,IF(A65='Données projet'!$A$88,'Données projet'!$B$88,BD64+BC65-BL64)))</f>
        <v>306.52769230769229</v>
      </c>
      <c r="BE65" s="14">
        <f>BD65*VLOOKUP('Données projet'!$B$11,Paramètres!$A$1:$I$89,3,0)*VLOOKUP('Données projet'!$B$11,Paramètres!$A$1:$I$89,5,0)</f>
        <v>183.30356</v>
      </c>
      <c r="BF65" s="14">
        <f t="shared" si="37"/>
        <v>46.056387641494027</v>
      </c>
      <c r="BG65" s="22">
        <f t="shared" si="7"/>
        <v>399.46857547560211</v>
      </c>
      <c r="BH65" s="60">
        <f t="shared" si="8"/>
        <v>692.80190880893542</v>
      </c>
      <c r="BI65" s="60">
        <f ca="1">AVERAGE(OFFSET($BH$3,0,0,'Données projet'!$E$11+1,1))-AVERAGE(OFFSET($H$3,0,0,'Données projet'!$E$11+1,1))</f>
        <v>289.12367833861299</v>
      </c>
      <c r="BJ65" s="60">
        <f t="shared" si="38"/>
        <v>229.06617320689003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6.3275681732566063E-5</v>
      </c>
      <c r="BS65" s="24">
        <f t="shared" si="9"/>
        <v>6.3275681732566063E-5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4.4000000000000004</v>
      </c>
      <c r="BY65" s="13">
        <f>IF('Données projet'!$A$114&gt;35,BY64+BX65-CG64,IF(A65&lt;'Données projet'!$A$114,$BV$205^A65,IF(A65='Données projet'!$A$114,'Données projet'!$B$114,BY64+BX65-CG64)))</f>
        <v>241.79999999999987</v>
      </c>
      <c r="BZ65" s="14">
        <f>BY65*VLOOKUP('Données projet'!$B$12,Paramètres!$A$1:$I$89,3,0)*VLOOKUP('Données projet'!$B$12,Paramètres!$A$1:$I$89,5,0)</f>
        <v>192.37607999999992</v>
      </c>
      <c r="CA65" s="14">
        <f t="shared" si="39"/>
        <v>48.064889828485896</v>
      </c>
      <c r="CB65" s="22">
        <f t="shared" si="10"/>
        <v>418.76802245127942</v>
      </c>
      <c r="CC65" s="60">
        <f t="shared" si="11"/>
        <v>712.10135578461268</v>
      </c>
      <c r="CD65" s="60">
        <f ca="1">AVERAGE(OFFSET($CC$3,0,0,'Données projet'!$E$12+1,1))-AVERAGE(OFFSET($H$3,0,0,'Données projet'!$E$12+1,1))</f>
        <v>312.53381881960331</v>
      </c>
      <c r="CE65" s="60">
        <f t="shared" si="40"/>
        <v>342.06887933351783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210.30359999999996</v>
      </c>
      <c r="CV65" s="14">
        <f t="shared" si="41"/>
        <v>52.001924357524459</v>
      </c>
      <c r="CW65" s="22">
        <f t="shared" si="13"/>
        <v>456.84878825602163</v>
      </c>
      <c r="CX65" s="60">
        <f t="shared" si="14"/>
        <v>750.18212158935489</v>
      </c>
      <c r="CY65" s="60">
        <f ca="1">AVERAGE(OFFSET($CX$3,0,0,'Données projet'!$E$13+1,1))-AVERAGE(OFFSET($H$3,0,0,'Données projet'!$E$13+1,1))</f>
        <v>475.47920969424894</v>
      </c>
      <c r="CZ65" s="60">
        <f t="shared" si="42"/>
        <v>271.73544012419364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10.171794871794864</v>
      </c>
      <c r="DO65" s="13">
        <f>IF('Données projet'!$A$166&gt;35,DO64+DN65-DW64,IF(A65&lt;'Données projet'!$A$166,$DL$205^A65,IF(A65='Données projet'!$A$166,'Données projet'!$B$166,DO64+DN65-DW64)))</f>
        <v>244.52564102564111</v>
      </c>
      <c r="DP65" s="18">
        <f>DO65*VLOOKUP('Données projet'!$B$14,Paramètres!$A$1:$I$89,3,0)*VLOOKUP('Données projet'!$B$14,Paramètres!$A$1:$I$89,5,0)</f>
        <v>114.43800000000003</v>
      </c>
      <c r="DQ65" s="14">
        <f t="shared" si="43"/>
        <v>30.374192839349661</v>
      </c>
      <c r="DR65" s="22">
        <f t="shared" si="16"/>
        <v>252.21456919520065</v>
      </c>
      <c r="DS65" s="60">
        <f t="shared" si="17"/>
        <v>545.547902528534</v>
      </c>
      <c r="DT65" s="60">
        <f ca="1">AVERAGE(OFFSET($DS$3,0,0,'Données projet'!$E$14+1,1))-AVERAGE(OFFSET($H$3,0,0,'Données projet'!$E$14+1,1))</f>
        <v>284.71577701131588</v>
      </c>
      <c r="DU65" s="60">
        <f t="shared" si="44"/>
        <v>190.4880882944471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4.4000000000000004</v>
      </c>
      <c r="EJ65" s="13">
        <f>IF('Données projet'!$A$192&gt;35,EJ64+EI65-ER64,IF(A65&lt;'Données projet'!$A$192,$EG$205^A65,IF(A65='Données projet'!$A$192,'Données projet'!$B$192,EJ64+EI65-ER64)))</f>
        <v>241.79999999999987</v>
      </c>
      <c r="EK65" s="18">
        <f>EJ65*VLOOKUP('Données projet'!$B$15,Paramètres!$A$1:$I$89,3,0)*VLOOKUP('Données projet'!$B$15,Paramètres!$A$1:$I$89,5,0)</f>
        <v>177.28775999999991</v>
      </c>
      <c r="EL65" s="14">
        <f t="shared" si="45"/>
        <v>44.718230568721658</v>
      </c>
      <c r="EM65" s="22">
        <f t="shared" si="19"/>
        <v>386.66043357385666</v>
      </c>
      <c r="EN65" s="60">
        <f t="shared" si="20"/>
        <v>679.99376690718998</v>
      </c>
      <c r="EO65" s="60">
        <f ca="1">AVERAGE(OFFSET($EN$3,0,0,'Données projet'!$E$15+1,1))-AVERAGE(OFFSET($H$3,0,0,'Données projet'!$E$15+1,1))</f>
        <v>290.85271051443431</v>
      </c>
      <c r="EP65" s="60">
        <f t="shared" si="46"/>
        <v>318.66958823451142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0">
        <f t="shared" si="0"/>
        <v>715.91532773426115</v>
      </c>
      <c r="S66" s="60">
        <f ca="1">AVERAGE(OFFSET($R$3,0,0,'Données projet'!$E$9+1,1))-AVERAGE(OFFSET($H$3,0,0,'Données projet'!$E$9+1,1))</f>
        <v>428.8489304403459</v>
      </c>
      <c r="T66" s="60">
        <f t="shared" si="34"/>
        <v>247.01165577562966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455.71538461538455</v>
      </c>
      <c r="AG66" s="13">
        <f>VLOOKUP(A66,'Données projet'!$A$61:$I$81,9,0)</f>
        <v>14.839560439560435</v>
      </c>
      <c r="AH66" s="13">
        <f t="array" ref="AH66">INDEX(AG:AG,MIN(IF(ISNUMBER(AG66:AG262),ROW(AG66:AG262),"")))</f>
        <v>14.839560439560435</v>
      </c>
      <c r="AI66" s="14">
        <f>IF('Données projet'!$A$62&gt;35,AI65+AH66-AQ65,IF(A66&lt;'Données projet'!$A$62,$AF$205^A66,IF(A66='Données projet'!$A$62,'Données projet'!$B$62,AI65+AH66-AQ65)))</f>
        <v>455.71538461538466</v>
      </c>
      <c r="AJ66" s="14">
        <f>AI66*VLOOKUP('Données projet'!$B$10,Paramètres!$A$1:$I$89,3,0)*VLOOKUP('Données projet'!$B$10,Paramètres!$A$1:$I$89,5,0)</f>
        <v>254.74490000000003</v>
      </c>
      <c r="AK66" s="14">
        <f t="shared" si="35"/>
        <v>61.600875281297732</v>
      </c>
      <c r="AL66" s="22">
        <f t="shared" si="4"/>
        <v>550.96889194826019</v>
      </c>
      <c r="AM66" s="60">
        <f t="shared" si="5"/>
        <v>844.30222528159356</v>
      </c>
      <c r="AN66" s="60">
        <f ca="1">AVERAGE(OFFSET($AM$3,0,0,'Données projet'!$E$10+1,1))-AVERAGE(OFFSET($H$3,0,0,'Données projet'!$E$10+1,1))</f>
        <v>323.98185264074681</v>
      </c>
      <c r="AO66" s="60">
        <f t="shared" si="36"/>
        <v>301.22207291854005</v>
      </c>
      <c r="AP66" s="16">
        <f>IF(ISNA(VLOOKUP(A66,'Données projet'!$A$61:$I$81,3,0)),0,VLOOKUP(A66,'Données projet'!$A$61:$I$81,3,0))</f>
        <v>7</v>
      </c>
      <c r="AQ66" s="16">
        <f>IF(ISNA(VLOOKUP(A66,'Données projet'!$A$61:$I$81,4,0)),0,VLOOKUP(A66,'Données projet'!$A$61:$I$81,4,0))</f>
        <v>79.723076923076917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2.3213067209710254</v>
      </c>
      <c r="AV66" s="23">
        <f>EXP(-LN(2)/25)*AV65+(1-EXP(-LN(2)/25))/(LN(2)/25)*Calculateur!AQ66*Calculateur!AS66*VLOOKUP('Données projet'!$B$10,Paramètres!$A$1:$I$89,3,0)*0.475*44/12</f>
        <v>3.303331656963143</v>
      </c>
      <c r="AW66" s="23">
        <f>EXP(-LN(2)/2)*AW65+(1-EXP(-LN(2)/2))/(LN(2)/2)*AQ66*AT66*VLOOKUP('Données projet'!$B$10,Paramètres!$A$1:$I$89,3,0)*0.475*44/12</f>
        <v>6.5684963062500804E-5</v>
      </c>
      <c r="AX66" s="23">
        <f t="shared" si="6"/>
        <v>5.6247040628972309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9.1830769230769249</v>
      </c>
      <c r="BD66" s="13">
        <f>IF('Données projet'!$A$88&gt;35,BD65+BC66-BL65,IF(A66&lt;'Données projet'!$A$88,$BA$205^A66,IF(A66='Données projet'!$A$88,'Données projet'!$B$88,BD65+BC66-BL65)))</f>
        <v>315.71076923076919</v>
      </c>
      <c r="BE66" s="14">
        <f>BD66*VLOOKUP('Données projet'!$B$11,Paramètres!$A$1:$I$89,3,0)*VLOOKUP('Données projet'!$B$11,Paramètres!$A$1:$I$89,5,0)</f>
        <v>188.79504</v>
      </c>
      <c r="BF66" s="14">
        <f t="shared" si="37"/>
        <v>47.273454743056831</v>
      </c>
      <c r="BG66" s="22">
        <f t="shared" si="7"/>
        <v>411.15262834415722</v>
      </c>
      <c r="BH66" s="60">
        <f t="shared" si="8"/>
        <v>704.48596167749054</v>
      </c>
      <c r="BI66" s="60">
        <f ca="1">AVERAGE(OFFSET($BH$3,0,0,'Données projet'!$E$11+1,1))-AVERAGE(OFFSET($H$3,0,0,'Données projet'!$E$11+1,1))</f>
        <v>289.12367833861299</v>
      </c>
      <c r="BJ66" s="60">
        <f t="shared" si="38"/>
        <v>229.06617320689003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4.4742663637299214E-5</v>
      </c>
      <c r="BS66" s="24">
        <f t="shared" si="9"/>
        <v>4.4742663637299214E-5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4.4000000000000004</v>
      </c>
      <c r="BY66" s="13">
        <f>IF('Données projet'!$A$114&gt;35,BY65+BX66-CG65,IF(A66&lt;'Données projet'!$A$114,$BV$205^A66,IF(A66='Données projet'!$A$114,'Données projet'!$B$114,BY65+BX66-CG65)))</f>
        <v>246.19999999999987</v>
      </c>
      <c r="BZ66" s="14">
        <f>BY66*VLOOKUP('Données projet'!$B$12,Paramètres!$A$1:$I$89,3,0)*VLOOKUP('Données projet'!$B$12,Paramètres!$A$1:$I$89,5,0)</f>
        <v>195.87671999999992</v>
      </c>
      <c r="CA66" s="14">
        <f t="shared" si="39"/>
        <v>48.836899853879942</v>
      </c>
      <c r="CB66" s="22">
        <f t="shared" si="10"/>
        <v>426.20955457884071</v>
      </c>
      <c r="CC66" s="60">
        <f t="shared" si="11"/>
        <v>719.54288791217402</v>
      </c>
      <c r="CD66" s="60">
        <f ca="1">AVERAGE(OFFSET($CC$3,0,0,'Données projet'!$E$12+1,1))-AVERAGE(OFFSET($H$3,0,0,'Données projet'!$E$12+1,1))</f>
        <v>312.53381881960331</v>
      </c>
      <c r="CE66" s="60">
        <f t="shared" si="40"/>
        <v>342.06887933351783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217.60439999999994</v>
      </c>
      <c r="CV66" s="14">
        <f t="shared" si="41"/>
        <v>53.593882578706356</v>
      </c>
      <c r="CW66" s="22">
        <f t="shared" si="13"/>
        <v>472.33700882458015</v>
      </c>
      <c r="CX66" s="60">
        <f t="shared" si="14"/>
        <v>765.67034215791341</v>
      </c>
      <c r="CY66" s="60">
        <f ca="1">AVERAGE(OFFSET($CX$3,0,0,'Données projet'!$E$13+1,1))-AVERAGE(OFFSET($H$3,0,0,'Données projet'!$E$13+1,1))</f>
        <v>475.47920969424894</v>
      </c>
      <c r="CZ66" s="60">
        <f t="shared" si="42"/>
        <v>271.73544012419364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10.171794871794864</v>
      </c>
      <c r="DO66" s="13">
        <f>IF('Données projet'!$A$166&gt;35,DO65+DN66-DW65,IF(A66&lt;'Données projet'!$A$166,$DL$205^A66,IF(A66='Données projet'!$A$166,'Données projet'!$B$166,DO65+DN66-DW65)))</f>
        <v>254.69743589743598</v>
      </c>
      <c r="DP66" s="18">
        <f>DO66*VLOOKUP('Données projet'!$B$14,Paramètres!$A$1:$I$89,3,0)*VLOOKUP('Données projet'!$B$14,Paramètres!$A$1:$I$89,5,0)</f>
        <v>119.19840000000003</v>
      </c>
      <c r="DQ66" s="14">
        <f t="shared" si="43"/>
        <v>31.48796639098763</v>
      </c>
      <c r="DR66" s="22">
        <f t="shared" si="16"/>
        <v>262.44542146430354</v>
      </c>
      <c r="DS66" s="60">
        <f t="shared" si="17"/>
        <v>555.77875479763679</v>
      </c>
      <c r="DT66" s="60">
        <f ca="1">AVERAGE(OFFSET($DS$3,0,0,'Données projet'!$E$14+1,1))-AVERAGE(OFFSET($H$3,0,0,'Données projet'!$E$14+1,1))</f>
        <v>284.71577701131588</v>
      </c>
      <c r="DU66" s="60">
        <f t="shared" si="44"/>
        <v>190.4880882944471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4.4000000000000004</v>
      </c>
      <c r="EJ66" s="13">
        <f>IF('Données projet'!$A$192&gt;35,EJ65+EI66-ER65,IF(A66&lt;'Données projet'!$A$192,$EG$205^A66,IF(A66='Données projet'!$A$192,'Données projet'!$B$192,EJ65+EI66-ER65)))</f>
        <v>246.19999999999987</v>
      </c>
      <c r="EK66" s="18">
        <f>EJ66*VLOOKUP('Données projet'!$B$15,Paramètres!$A$1:$I$89,3,0)*VLOOKUP('Données projet'!$B$15,Paramètres!$A$1:$I$89,5,0)</f>
        <v>180.5138399999999</v>
      </c>
      <c r="EL66" s="14">
        <f t="shared" si="45"/>
        <v>45.43648712647358</v>
      </c>
      <c r="EM66" s="22">
        <f t="shared" si="19"/>
        <v>393.53015307860801</v>
      </c>
      <c r="EN66" s="60">
        <f t="shared" si="20"/>
        <v>686.86348641194127</v>
      </c>
      <c r="EO66" s="60">
        <f ca="1">AVERAGE(OFFSET($EN$3,0,0,'Données projet'!$E$15+1,1))-AVERAGE(OFFSET($H$3,0,0,'Données projet'!$E$15+1,1))</f>
        <v>290.85271051443431</v>
      </c>
      <c r="EP66" s="60">
        <f t="shared" si="46"/>
        <v>318.66958823451142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0">
        <f t="shared" ref="R67:R130" si="55">Q67+(I67+J67)*44/12</f>
        <v>729.75884463141938</v>
      </c>
      <c r="S67" s="60">
        <f ca="1">AVERAGE(OFFSET($R$3,0,0,'Données projet'!$E$9+1,1))-AVERAGE(OFFSET($H$3,0,0,'Données projet'!$E$9+1,1))</f>
        <v>428.8489304403459</v>
      </c>
      <c r="T67" s="60">
        <f t="shared" si="34"/>
        <v>247.01165577562966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13.373076923076932</v>
      </c>
      <c r="AI67" s="14">
        <f>IF('Données projet'!$A$62&gt;35,AI66+AH67-AQ66,IF(A67&lt;'Données projet'!$A$62,$AF$205^A67,IF(A67='Données projet'!$A$62,'Données projet'!$B$62,AI66+AH67-AQ66)))</f>
        <v>389.3653846153847</v>
      </c>
      <c r="AJ67" s="14">
        <f>AI67*VLOOKUP('Données projet'!$B$10,Paramètres!$A$1:$I$89,3,0)*VLOOKUP('Données projet'!$B$10,Paramètres!$A$1:$I$89,5,0)</f>
        <v>217.65525000000002</v>
      </c>
      <c r="AK67" s="14">
        <f t="shared" si="35"/>
        <v>53.604948518581054</v>
      </c>
      <c r="AL67" s="22">
        <f t="shared" si="4"/>
        <v>472.44484575319535</v>
      </c>
      <c r="AM67" s="60">
        <f t="shared" si="5"/>
        <v>765.77817908652867</v>
      </c>
      <c r="AN67" s="60">
        <f ca="1">AVERAGE(OFFSET($AM$3,0,0,'Données projet'!$E$10+1,1))-AVERAGE(OFFSET($H$3,0,0,'Données projet'!$E$10+1,1))</f>
        <v>323.98185264074681</v>
      </c>
      <c r="AO67" s="60">
        <f t="shared" si="36"/>
        <v>301.22207291854005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2.2757873120300789</v>
      </c>
      <c r="AV67" s="23">
        <f>EXP(-LN(2)/25)*AV66+(1-EXP(-LN(2)/25))/(LN(2)/25)*Calculateur!AQ67*Calculateur!AS67*VLOOKUP('Données projet'!$B$10,Paramètres!$A$1:$I$89,3,0)*0.475*44/12</f>
        <v>3.2130018790888237</v>
      </c>
      <c r="AW67" s="23">
        <f>EXP(-LN(2)/2)*AW66+(1-EXP(-LN(2)/2))/(LN(2)/2)*AQ67*AT67*VLOOKUP('Données projet'!$B$10,Paramètres!$A$1:$I$89,3,0)*0.475*44/12</f>
        <v>4.6446282803482213E-5</v>
      </c>
      <c r="AX67" s="23">
        <f t="shared" si="6"/>
        <v>5.4888356374017064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9.1830769230769249</v>
      </c>
      <c r="BD67" s="13">
        <f>IF('Données projet'!$A$88&gt;35,BD66+BC67-BL66,IF(A67&lt;'Données projet'!$A$88,$BA$205^A67,IF(A67='Données projet'!$A$88,'Données projet'!$B$88,BD66+BC67-BL66)))</f>
        <v>324.89384615384608</v>
      </c>
      <c r="BE67" s="14">
        <f>BD67*VLOOKUP('Données projet'!$B$11,Paramètres!$A$1:$I$89,3,0)*VLOOKUP('Données projet'!$B$11,Paramètres!$A$1:$I$89,5,0)</f>
        <v>194.28651999999997</v>
      </c>
      <c r="BF67" s="14">
        <f t="shared" si="37"/>
        <v>48.486407543748122</v>
      </c>
      <c r="BG67" s="22">
        <f t="shared" si="7"/>
        <v>422.82951547202788</v>
      </c>
      <c r="BH67" s="60">
        <f t="shared" si="8"/>
        <v>716.16284880536114</v>
      </c>
      <c r="BI67" s="60">
        <f ca="1">AVERAGE(OFFSET($BH$3,0,0,'Données projet'!$E$11+1,1))-AVERAGE(OFFSET($H$3,0,0,'Données projet'!$E$11+1,1))</f>
        <v>289.12367833861299</v>
      </c>
      <c r="BJ67" s="60">
        <f t="shared" si="38"/>
        <v>229.06617320689003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3.1637840866283031E-5</v>
      </c>
      <c r="BS67" s="24">
        <f t="shared" si="9"/>
        <v>3.1637840866283031E-5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4.4000000000000004</v>
      </c>
      <c r="BY67" s="13">
        <f>IF('Données projet'!$A$114&gt;35,BY66+BX67-CG66,IF(A67&lt;'Données projet'!$A$114,$BV$205^A67,IF(A67='Données projet'!$A$114,'Données projet'!$B$114,BY66+BX67-CG66)))</f>
        <v>250.59999999999988</v>
      </c>
      <c r="BZ67" s="14">
        <f>BY67*VLOOKUP('Données projet'!$B$12,Paramètres!$A$1:$I$89,3,0)*VLOOKUP('Données projet'!$B$12,Paramètres!$A$1:$I$89,5,0)</f>
        <v>199.37735999999992</v>
      </c>
      <c r="CA67" s="14">
        <f t="shared" si="39"/>
        <v>49.607305476717762</v>
      </c>
      <c r="CB67" s="22">
        <f t="shared" si="10"/>
        <v>433.64829237194999</v>
      </c>
      <c r="CC67" s="60">
        <f t="shared" si="11"/>
        <v>726.98162570528325</v>
      </c>
      <c r="CD67" s="60">
        <f ca="1">AVERAGE(OFFSET($CC$3,0,0,'Données projet'!$E$12+1,1))-AVERAGE(OFFSET($H$3,0,0,'Données projet'!$E$12+1,1))</f>
        <v>312.53381881960331</v>
      </c>
      <c r="CE67" s="60">
        <f t="shared" si="40"/>
        <v>342.06887933351783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224.90519999999995</v>
      </c>
      <c r="CV67" s="14">
        <f t="shared" si="41"/>
        <v>55.17963460003309</v>
      </c>
      <c r="CW67" s="22">
        <f t="shared" si="13"/>
        <v>487.81442026172425</v>
      </c>
      <c r="CX67" s="60">
        <f t="shared" si="14"/>
        <v>781.14775359505757</v>
      </c>
      <c r="CY67" s="60">
        <f ca="1">AVERAGE(OFFSET($CX$3,0,0,'Données projet'!$E$13+1,1))-AVERAGE(OFFSET($H$3,0,0,'Données projet'!$E$13+1,1))</f>
        <v>475.47920969424894</v>
      </c>
      <c r="CZ67" s="60">
        <f t="shared" si="42"/>
        <v>271.73544012419364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10.171794871794864</v>
      </c>
      <c r="DO67" s="13">
        <f>IF('Données projet'!$A$166&gt;35,DO66+DN67-DW66,IF(A67&lt;'Données projet'!$A$166,$DL$205^A67,IF(A67='Données projet'!$A$166,'Données projet'!$B$166,DO66+DN67-DW66)))</f>
        <v>264.86923076923085</v>
      </c>
      <c r="DP67" s="18">
        <f>DO67*VLOOKUP('Données projet'!$B$14,Paramètres!$A$1:$I$89,3,0)*VLOOKUP('Données projet'!$B$14,Paramètres!$A$1:$I$89,5,0)</f>
        <v>123.95880000000004</v>
      </c>
      <c r="DQ67" s="14">
        <f t="shared" si="43"/>
        <v>32.596572974307513</v>
      </c>
      <c r="DR67" s="22">
        <f t="shared" si="16"/>
        <v>272.66727459691896</v>
      </c>
      <c r="DS67" s="60">
        <f t="shared" si="17"/>
        <v>566.00060793025227</v>
      </c>
      <c r="DT67" s="60">
        <f ca="1">AVERAGE(OFFSET($DS$3,0,0,'Données projet'!$E$14+1,1))-AVERAGE(OFFSET($H$3,0,0,'Données projet'!$E$14+1,1))</f>
        <v>284.71577701131588</v>
      </c>
      <c r="DU67" s="60">
        <f t="shared" si="44"/>
        <v>190.4880882944471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4.4000000000000004</v>
      </c>
      <c r="EJ67" s="13">
        <f>IF('Données projet'!$A$192&gt;35,EJ66+EI67-ER66,IF(A67&lt;'Données projet'!$A$192,$EG$205^A67,IF(A67='Données projet'!$A$192,'Données projet'!$B$192,EJ66+EI67-ER66)))</f>
        <v>250.59999999999988</v>
      </c>
      <c r="EK67" s="18">
        <f>EJ67*VLOOKUP('Données projet'!$B$15,Paramètres!$A$1:$I$89,3,0)*VLOOKUP('Données projet'!$B$15,Paramètres!$A$1:$I$89,5,0)</f>
        <v>183.7399199999999</v>
      </c>
      <c r="EL67" s="14">
        <f t="shared" si="45"/>
        <v>46.153250992914103</v>
      </c>
      <c r="EM67" s="22">
        <f t="shared" si="19"/>
        <v>400.39727281265851</v>
      </c>
      <c r="EN67" s="60">
        <f t="shared" si="20"/>
        <v>693.73060614599183</v>
      </c>
      <c r="EO67" s="60">
        <f ca="1">AVERAGE(OFFSET($EN$3,0,0,'Données projet'!$E$15+1,1))-AVERAGE(OFFSET($H$3,0,0,'Données projet'!$E$15+1,1))</f>
        <v>290.85271051443431</v>
      </c>
      <c r="EP67" s="60">
        <f t="shared" si="46"/>
        <v>318.66958823451142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0">
        <f t="shared" si="55"/>
        <v>743.59294134580057</v>
      </c>
      <c r="S68" s="60">
        <f ca="1">AVERAGE(OFFSET($R$3,0,0,'Données projet'!$E$9+1,1))-AVERAGE(OFFSET($H$3,0,0,'Données projet'!$E$9+1,1))</f>
        <v>428.8489304403459</v>
      </c>
      <c r="T68" s="60">
        <f t="shared" si="34"/>
        <v>247.01165577562966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13.373076923076932</v>
      </c>
      <c r="AI68" s="14">
        <f>IF('Données projet'!$A$62&gt;35,AI67+AH68-AQ67,IF(A68&lt;'Données projet'!$A$62,$AF$205^A68,IF(A68='Données projet'!$A$62,'Données projet'!$B$62,AI67+AH68-AQ67)))</f>
        <v>402.73846153846165</v>
      </c>
      <c r="AJ68" s="14">
        <f>AI68*VLOOKUP('Données projet'!$B$10,Paramètres!$A$1:$I$89,3,0)*VLOOKUP('Données projet'!$B$10,Paramètres!$A$1:$I$89,5,0)</f>
        <v>225.13080000000008</v>
      </c>
      <c r="AK68" s="14">
        <f t="shared" si="35"/>
        <v>55.228539095259954</v>
      </c>
      <c r="AL68" s="22">
        <f t="shared" ref="AL68:AL131" si="58">(AJ68+AK68)*0.475*44/12</f>
        <v>488.29251559091125</v>
      </c>
      <c r="AM68" s="60">
        <f t="shared" ref="AM68:AM131" si="59">AL68+(AD68+AE68)*44/12</f>
        <v>781.62584892424456</v>
      </c>
      <c r="AN68" s="60">
        <f ca="1">AVERAGE(OFFSET($AM$3,0,0,'Données projet'!$E$10+1,1))-AVERAGE(OFFSET($H$3,0,0,'Données projet'!$E$10+1,1))</f>
        <v>323.98185264074681</v>
      </c>
      <c r="AO68" s="60">
        <f t="shared" si="36"/>
        <v>301.22207291854005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2.2311605109343664</v>
      </c>
      <c r="AV68" s="23">
        <f>EXP(-LN(2)/25)*AV67+(1-EXP(-LN(2)/25))/(LN(2)/25)*Calculateur!AQ68*Calculateur!AS68*VLOOKUP('Données projet'!$B$10,Paramètres!$A$1:$I$89,3,0)*0.475*44/12</f>
        <v>3.1251421737407146</v>
      </c>
      <c r="AW68" s="23">
        <f>EXP(-LN(2)/2)*AW67+(1-EXP(-LN(2)/2))/(LN(2)/2)*AQ68*AT68*VLOOKUP('Données projet'!$B$10,Paramètres!$A$1:$I$89,3,0)*0.475*44/12</f>
        <v>3.2842481531250402E-5</v>
      </c>
      <c r="AX68" s="23">
        <f t="shared" ref="AX68:AX131" si="60">SUM(AU68:AW68)</f>
        <v>5.3563355271566122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9.1830769230769249</v>
      </c>
      <c r="BD68" s="13">
        <f>IF('Données projet'!$A$88&gt;35,BD67+BC68-BL67,IF(A68&lt;'Données projet'!$A$88,$BA$205^A68,IF(A68='Données projet'!$A$88,'Données projet'!$B$88,BD67+BC68-BL67)))</f>
        <v>334.07692307692298</v>
      </c>
      <c r="BE68" s="14">
        <f>BD68*VLOOKUP('Données projet'!$B$11,Paramètres!$A$1:$I$89,3,0)*VLOOKUP('Données projet'!$B$11,Paramètres!$A$1:$I$89,5,0)</f>
        <v>199.77799999999996</v>
      </c>
      <c r="BF68" s="14">
        <f t="shared" si="37"/>
        <v>49.695375691492842</v>
      </c>
      <c r="BG68" s="22">
        <f t="shared" ref="BG68:BG131" si="61">(BE68+BF68)*0.475*44/12</f>
        <v>434.4994626626833</v>
      </c>
      <c r="BH68" s="60">
        <f t="shared" ref="BH68:BH131" si="62">BG68+(AY68+AZ68)*44/12</f>
        <v>727.83279599601656</v>
      </c>
      <c r="BI68" s="60">
        <f ca="1">AVERAGE(OFFSET($BH$3,0,0,'Données projet'!$E$11+1,1))-AVERAGE(OFFSET($H$3,0,0,'Données projet'!$E$11+1,1))</f>
        <v>289.12367833861299</v>
      </c>
      <c r="BJ68" s="60">
        <f t="shared" si="38"/>
        <v>229.06617320689003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2.2371331818649607E-5</v>
      </c>
      <c r="BS68" s="24">
        <f t="shared" ref="BS68:BS131" si="63">SUM(BP68:BR68)</f>
        <v>2.2371331818649607E-5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255</v>
      </c>
      <c r="BW68" s="13">
        <f>VLOOKUP(A68,'Données projet'!$A$113:$I$133,9,0)</f>
        <v>4.4000000000000004</v>
      </c>
      <c r="BX68" s="13">
        <f t="array" ref="BX68">INDEX(BW:BW,MIN(IF(ISNUMBER(BW68:BW264),ROW(BW68:BW264),"")))</f>
        <v>4.4000000000000004</v>
      </c>
      <c r="BY68" s="13">
        <f>IF('Données projet'!$A$114&gt;35,BY67+BX68-CG67,IF(A68&lt;'Données projet'!$A$114,$BV$205^A68,IF(A68='Données projet'!$A$114,'Données projet'!$B$114,BY67+BX68-CG67)))</f>
        <v>254.99999999999989</v>
      </c>
      <c r="BZ68" s="14">
        <f>BY68*VLOOKUP('Données projet'!$B$12,Paramètres!$A$1:$I$89,3,0)*VLOOKUP('Données projet'!$B$12,Paramètres!$A$1:$I$89,5,0)</f>
        <v>202.87799999999993</v>
      </c>
      <c r="CA68" s="14">
        <f t="shared" si="39"/>
        <v>50.376138116990084</v>
      </c>
      <c r="CB68" s="22">
        <f t="shared" ref="CB68:CB131" si="64">(BZ68+CA68)*0.475*44/12</f>
        <v>441.08429055375763</v>
      </c>
      <c r="CC68" s="60">
        <f t="shared" ref="CC68:CC131" si="65">CB68+(BT68+BU68)*44/12</f>
        <v>734.41762388709094</v>
      </c>
      <c r="CD68" s="60">
        <f ca="1">AVERAGE(OFFSET($CC$3,0,0,'Données projet'!$E$12+1,1))-AVERAGE(OFFSET($H$3,0,0,'Données projet'!$E$12+1,1))</f>
        <v>312.53381881960331</v>
      </c>
      <c r="CE68" s="60">
        <f t="shared" si="40"/>
        <v>342.06887933351783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232.2059999999999</v>
      </c>
      <c r="CV68" s="14">
        <f t="shared" si="41"/>
        <v>56.759404991217522</v>
      </c>
      <c r="CW68" s="22">
        <f t="shared" ref="CW68:CW131" si="67">(CU68+CV68)*0.475*44/12</f>
        <v>503.281413693037</v>
      </c>
      <c r="CX68" s="60">
        <f t="shared" ref="CX68:CX131" si="68">CW68+(CO68+CP68)*44/12</f>
        <v>796.61474702637031</v>
      </c>
      <c r="CY68" s="60">
        <f ca="1">AVERAGE(OFFSET($CX$3,0,0,'Données projet'!$E$13+1,1))-AVERAGE(OFFSET($H$3,0,0,'Données projet'!$E$13+1,1))</f>
        <v>475.47920969424894</v>
      </c>
      <c r="CZ68" s="60">
        <f t="shared" si="42"/>
        <v>271.73544012419364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10.171794871794864</v>
      </c>
      <c r="DO68" s="13">
        <f>IF('Données projet'!$A$166&gt;35,DO67+DN68-DW67,IF(A68&lt;'Données projet'!$A$166,$DL$205^A68,IF(A68='Données projet'!$A$166,'Données projet'!$B$166,DO67+DN68-DW67)))</f>
        <v>275.04102564102573</v>
      </c>
      <c r="DP68" s="18">
        <f>DO68*VLOOKUP('Données projet'!$B$14,Paramètres!$A$1:$I$89,3,0)*VLOOKUP('Données projet'!$B$14,Paramètres!$A$1:$I$89,5,0)</f>
        <v>128.71920000000006</v>
      </c>
      <c r="DQ68" s="14">
        <f t="shared" si="43"/>
        <v>33.700233730079567</v>
      </c>
      <c r="DR68" s="22">
        <f t="shared" ref="DR68:DR131" si="70">(DP68+DQ68)*0.475*44/12</f>
        <v>282.88051374655532</v>
      </c>
      <c r="DS68" s="60">
        <f t="shared" ref="DS68:DS131" si="71">DR68+(DJ68+DK68)*44/12</f>
        <v>576.21384707988864</v>
      </c>
      <c r="DT68" s="60">
        <f ca="1">AVERAGE(OFFSET($DS$3,0,0,'Données projet'!$E$14+1,1))-AVERAGE(OFFSET($H$3,0,0,'Données projet'!$E$14+1,1))</f>
        <v>284.71577701131588</v>
      </c>
      <c r="DU68" s="60">
        <f t="shared" si="44"/>
        <v>190.4880882944471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255</v>
      </c>
      <c r="EH68" s="13">
        <f>VLOOKUP(A68,'Données projet'!$A$191:$I$211,9,0)</f>
        <v>4.4000000000000004</v>
      </c>
      <c r="EI68" s="13">
        <f t="array" ref="EI68">INDEX(EH:EH,MIN(IF(ISNUMBER(EH68:EH264),ROW(EH68:EH264),"")))</f>
        <v>4.4000000000000004</v>
      </c>
      <c r="EJ68" s="13">
        <f>IF('Données projet'!$A$192&gt;35,EJ67+EI68-ER67,IF(A68&lt;'Données projet'!$A$192,$EG$205^A68,IF(A68='Données projet'!$A$192,'Données projet'!$B$192,EJ67+EI68-ER67)))</f>
        <v>254.99999999999989</v>
      </c>
      <c r="EK68" s="18">
        <f>EJ68*VLOOKUP('Données projet'!$B$15,Paramètres!$A$1:$I$89,3,0)*VLOOKUP('Données projet'!$B$15,Paramètres!$A$1:$I$89,5,0)</f>
        <v>186.96599999999992</v>
      </c>
      <c r="EL68" s="14">
        <f t="shared" si="45"/>
        <v>46.868551400324606</v>
      </c>
      <c r="EM68" s="22">
        <f t="shared" ref="EM68:EM131" si="73">(EK68+EL68)*0.475*44/12</f>
        <v>407.26184368889852</v>
      </c>
      <c r="EN68" s="60">
        <f t="shared" ref="EN68:EN131" si="74">EM68+(EE68+EF68)*44/12</f>
        <v>700.59517702223184</v>
      </c>
      <c r="EO68" s="60">
        <f ca="1">AVERAGE(OFFSET($EN$3,0,0,'Données projet'!$E$15+1,1))-AVERAGE(OFFSET($H$3,0,0,'Données projet'!$E$15+1,1))</f>
        <v>290.85271051443431</v>
      </c>
      <c r="EP68" s="60">
        <f t="shared" si="46"/>
        <v>318.66958823451142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0">
        <f t="shared" si="55"/>
        <v>756.65012524226813</v>
      </c>
      <c r="S69" s="60">
        <f ca="1">AVERAGE(OFFSET($R$3,0,0,'Données projet'!$E$9+1,1))-AVERAGE(OFFSET($H$3,0,0,'Données projet'!$E$9+1,1))</f>
        <v>428.8489304403459</v>
      </c>
      <c r="T69" s="60">
        <f t="shared" ref="T69:T132" si="88">$T$3</f>
        <v>247.01165577562966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13.373076923076932</v>
      </c>
      <c r="AI69" s="14">
        <f>IF('Données projet'!$A$62&gt;35,AI68+AH69-AQ68,IF(A69&lt;'Données projet'!$A$62,$AF$205^A69,IF(A69='Données projet'!$A$62,'Données projet'!$B$62,AI68+AH69-AQ68)))</f>
        <v>416.1115384615386</v>
      </c>
      <c r="AJ69" s="14">
        <f>AI69*VLOOKUP('Données projet'!$B$10,Paramètres!$A$1:$I$89,3,0)*VLOOKUP('Données projet'!$B$10,Paramètres!$A$1:$I$89,5,0)</f>
        <v>232.60635000000008</v>
      </c>
      <c r="AK69" s="14">
        <f t="shared" ref="AK69:AK132" si="89">EXP(-1.0587+0.8836*LN(AJ69)+0.284)</f>
        <v>56.845865220702599</v>
      </c>
      <c r="AL69" s="22">
        <f t="shared" si="58"/>
        <v>504.12927484272382</v>
      </c>
      <c r="AM69" s="60">
        <f t="shared" si="59"/>
        <v>797.46260817605707</v>
      </c>
      <c r="AN69" s="60">
        <f ca="1">AVERAGE(OFFSET($AM$3,0,0,'Données projet'!$E$10+1,1))-AVERAGE(OFFSET($H$3,0,0,'Données projet'!$E$10+1,1))</f>
        <v>323.98185264074681</v>
      </c>
      <c r="AO69" s="60">
        <f t="shared" ref="AO69:AO132" si="90">$AO$3</f>
        <v>301.22207291854005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2.1874088141884802</v>
      </c>
      <c r="AV69" s="23">
        <f>EXP(-LN(2)/25)*AV68+(1-EXP(-LN(2)/25))/(LN(2)/25)*Calculateur!AQ69*Calculateur!AS69*VLOOKUP('Données projet'!$B$10,Paramètres!$A$1:$I$89,3,0)*0.475*44/12</f>
        <v>3.0396849966556903</v>
      </c>
      <c r="AW69" s="23">
        <f>EXP(-LN(2)/2)*AW68+(1-EXP(-LN(2)/2))/(LN(2)/2)*AQ69*AT69*VLOOKUP('Données projet'!$B$10,Paramètres!$A$1:$I$89,3,0)*0.475*44/12</f>
        <v>2.3223141401741107E-5</v>
      </c>
      <c r="AX69" s="23">
        <f t="shared" si="60"/>
        <v>5.2271170339855724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9.1830769230769249</v>
      </c>
      <c r="BD69" s="13">
        <f>IF('Données projet'!$A$88&gt;35,BD68+BC69-BL68,IF(A69&lt;'Données projet'!$A$88,$BA$205^A69,IF(A69='Données projet'!$A$88,'Données projet'!$B$88,BD68+BC69-BL68)))</f>
        <v>343.25999999999988</v>
      </c>
      <c r="BE69" s="14">
        <f>BD69*VLOOKUP('Données projet'!$B$11,Paramètres!$A$1:$I$89,3,0)*VLOOKUP('Données projet'!$B$11,Paramètres!$A$1:$I$89,5,0)</f>
        <v>205.26947999999996</v>
      </c>
      <c r="BF69" s="14">
        <f t="shared" ref="BF69:BF132" si="91">EXP(-1.0587+0.8836*LN(BE69)+0.284)</f>
        <v>50.900481301079942</v>
      </c>
      <c r="BG69" s="22">
        <f t="shared" si="61"/>
        <v>446.16268259938084</v>
      </c>
      <c r="BH69" s="60">
        <f t="shared" si="62"/>
        <v>739.49601593271416</v>
      </c>
      <c r="BI69" s="60">
        <f ca="1">AVERAGE(OFFSET($BH$3,0,0,'Données projet'!$E$11+1,1))-AVERAGE(OFFSET($H$3,0,0,'Données projet'!$E$11+1,1))</f>
        <v>289.12367833861299</v>
      </c>
      <c r="BJ69" s="60">
        <f t="shared" ref="BJ69:BJ132" si="92">$BJ$3</f>
        <v>229.06617320689003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1.5818920433141516E-5</v>
      </c>
      <c r="BS69" s="24">
        <f t="shared" si="63"/>
        <v>1.5818920433141516E-5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3.8</v>
      </c>
      <c r="BY69" s="13">
        <f>IF('Données projet'!$A$114&gt;35,BY68+BX69-CG68,IF(A69&lt;'Données projet'!$A$114,$BV$205^A69,IF(A69='Données projet'!$A$114,'Données projet'!$B$114,BY68+BX69-CG68)))</f>
        <v>258.7999999999999</v>
      </c>
      <c r="BZ69" s="14">
        <f>BY69*VLOOKUP('Données projet'!$B$12,Paramètres!$A$1:$I$89,3,0)*VLOOKUP('Données projet'!$B$12,Paramètres!$A$1:$I$89,5,0)</f>
        <v>205.90127999999993</v>
      </c>
      <c r="CA69" s="14">
        <f t="shared" ref="CA69:CA132" si="93">EXP(-1.0587+0.8836*LN(BZ69)+0.284)</f>
        <v>51.038887365811213</v>
      </c>
      <c r="CB69" s="22">
        <f t="shared" si="64"/>
        <v>447.50412482878772</v>
      </c>
      <c r="CC69" s="60">
        <f t="shared" si="65"/>
        <v>740.83745816212104</v>
      </c>
      <c r="CD69" s="60">
        <f ca="1">AVERAGE(OFFSET($CC$3,0,0,'Données projet'!$E$12+1,1))-AVERAGE(OFFSET($H$3,0,0,'Données projet'!$E$12+1,1))</f>
        <v>312.53381881960331</v>
      </c>
      <c r="CE69" s="60">
        <f t="shared" ref="CE69:CE132" si="94">$CE$3</f>
        <v>342.06887933351783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239.10119999999995</v>
      </c>
      <c r="CV69" s="14">
        <f t="shared" ref="CV69:CV132" si="95">EXP(-1.0587+0.8836*LN(CU69)+0.284)</f>
        <v>58.246107075777331</v>
      </c>
      <c r="CW69" s="22">
        <f t="shared" si="67"/>
        <v>517.87989315697871</v>
      </c>
      <c r="CX69" s="60">
        <f t="shared" si="68"/>
        <v>811.21322649031208</v>
      </c>
      <c r="CY69" s="60">
        <f ca="1">AVERAGE(OFFSET($CX$3,0,0,'Données projet'!$E$13+1,1))-AVERAGE(OFFSET($H$3,0,0,'Données projet'!$E$13+1,1))</f>
        <v>475.47920969424894</v>
      </c>
      <c r="CZ69" s="60">
        <f t="shared" ref="CZ69:CZ132" si="96">$CZ$3</f>
        <v>271.73544012419364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10.171794871794864</v>
      </c>
      <c r="DO69" s="13">
        <f>IF('Données projet'!$A$166&gt;35,DO68+DN69-DW68,IF(A69&lt;'Données projet'!$A$166,$DL$205^A69,IF(A69='Données projet'!$A$166,'Données projet'!$B$166,DO68+DN69-DW68)))</f>
        <v>285.2128205128206</v>
      </c>
      <c r="DP69" s="18">
        <f>DO69*VLOOKUP('Données projet'!$B$14,Paramètres!$A$1:$I$89,3,0)*VLOOKUP('Données projet'!$B$14,Paramètres!$A$1:$I$89,5,0)</f>
        <v>133.47960000000003</v>
      </c>
      <c r="DQ69" s="14">
        <f t="shared" ref="DQ69:DQ132" si="97">EXP(-1.0587+0.8836*LN(DP69)+0.284)</f>
        <v>34.799152515460499</v>
      </c>
      <c r="DR69" s="22">
        <f t="shared" si="70"/>
        <v>293.08549396442709</v>
      </c>
      <c r="DS69" s="60">
        <f t="shared" si="71"/>
        <v>586.41882729776034</v>
      </c>
      <c r="DT69" s="60">
        <f ca="1">AVERAGE(OFFSET($DS$3,0,0,'Données projet'!$E$14+1,1))-AVERAGE(OFFSET($H$3,0,0,'Données projet'!$E$14+1,1))</f>
        <v>284.71577701131588</v>
      </c>
      <c r="DU69" s="60">
        <f t="shared" ref="DU69:DU132" si="98">$DU$3</f>
        <v>190.4880882944471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3.8</v>
      </c>
      <c r="EJ69" s="13">
        <f>IF('Données projet'!$A$192&gt;35,EJ68+EI69-ER68,IF(A69&lt;'Données projet'!$A$192,$EG$205^A69,IF(A69='Données projet'!$A$192,'Données projet'!$B$192,EJ68+EI69-ER68)))</f>
        <v>258.7999999999999</v>
      </c>
      <c r="EK69" s="18">
        <f>EJ69*VLOOKUP('Données projet'!$B$15,Paramètres!$A$1:$I$89,3,0)*VLOOKUP('Données projet'!$B$15,Paramètres!$A$1:$I$89,5,0)</f>
        <v>189.75215999999992</v>
      </c>
      <c r="EL69" s="14">
        <f t="shared" ref="EL69:EL132" si="99">EXP(-1.0587+0.8836*LN(EK69)+0.284)</f>
        <v>47.48515478428709</v>
      </c>
      <c r="EM69" s="22">
        <f t="shared" si="73"/>
        <v>413.18832324929986</v>
      </c>
      <c r="EN69" s="60">
        <f t="shared" si="74"/>
        <v>706.52165658263311</v>
      </c>
      <c r="EO69" s="60">
        <f ca="1">AVERAGE(OFFSET($EN$3,0,0,'Données projet'!$E$15+1,1))-AVERAGE(OFFSET($H$3,0,0,'Données projet'!$E$15+1,1))</f>
        <v>290.85271051443431</v>
      </c>
      <c r="EP69" s="60">
        <f t="shared" ref="EP69:EP132" si="100">$EP$3</f>
        <v>318.66958823451142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0">
        <f t="shared" si="55"/>
        <v>769.69946190259475</v>
      </c>
      <c r="S70" s="60">
        <f ca="1">AVERAGE(OFFSET($R$3,0,0,'Données projet'!$E$9+1,1))-AVERAGE(OFFSET($H$3,0,0,'Données projet'!$E$9+1,1))</f>
        <v>428.8489304403459</v>
      </c>
      <c r="T70" s="60">
        <f t="shared" si="88"/>
        <v>247.01165577562966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13.373076923076932</v>
      </c>
      <c r="AI70" s="14">
        <f>IF('Données projet'!$A$62&gt;35,AI69+AH70-AQ69,IF(A70&lt;'Données projet'!$A$62,$AF$205^A70,IF(A70='Données projet'!$A$62,'Données projet'!$B$62,AI69+AH70-AQ69)))</f>
        <v>429.48461538461555</v>
      </c>
      <c r="AJ70" s="14">
        <f>AI70*VLOOKUP('Données projet'!$B$10,Paramètres!$A$1:$I$89,3,0)*VLOOKUP('Données projet'!$B$10,Paramètres!$A$1:$I$89,5,0)</f>
        <v>240.0819000000001</v>
      </c>
      <c r="AK70" s="14">
        <f t="shared" si="89"/>
        <v>58.457151316256045</v>
      </c>
      <c r="AL70" s="22">
        <f t="shared" si="58"/>
        <v>519.95551437581287</v>
      </c>
      <c r="AM70" s="60">
        <f t="shared" si="59"/>
        <v>813.28884770914624</v>
      </c>
      <c r="AN70" s="60">
        <f ca="1">AVERAGE(OFFSET($AM$3,0,0,'Données projet'!$E$10+1,1))-AVERAGE(OFFSET($H$3,0,0,'Données projet'!$E$10+1,1))</f>
        <v>323.98185264074681</v>
      </c>
      <c r="AO70" s="60">
        <f t="shared" si="90"/>
        <v>301.22207291854005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2.1445150615298805</v>
      </c>
      <c r="AV70" s="23">
        <f>EXP(-LN(2)/25)*AV69+(1-EXP(-LN(2)/25))/(LN(2)/25)*Calculateur!AQ70*Calculateur!AS70*VLOOKUP('Données projet'!$B$10,Paramètres!$A$1:$I$89,3,0)*0.475*44/12</f>
        <v>2.9565646505720538</v>
      </c>
      <c r="AW70" s="23">
        <f>EXP(-LN(2)/2)*AW69+(1-EXP(-LN(2)/2))/(LN(2)/2)*AQ70*AT70*VLOOKUP('Données projet'!$B$10,Paramètres!$A$1:$I$89,3,0)*0.475*44/12</f>
        <v>1.6421240765625201E-5</v>
      </c>
      <c r="AX70" s="23">
        <f t="shared" si="60"/>
        <v>5.1010961333426996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9.1830769230769249</v>
      </c>
      <c r="BD70" s="13">
        <f>IF('Données projet'!$A$88&gt;35,BD69+BC70-BL69,IF(A70&lt;'Données projet'!$A$88,$BA$205^A70,IF(A70='Données projet'!$A$88,'Données projet'!$B$88,BD69+BC70-BL69)))</f>
        <v>352.44307692307677</v>
      </c>
      <c r="BE70" s="14">
        <f>BD70*VLOOKUP('Données projet'!$B$11,Paramètres!$A$1:$I$89,3,0)*VLOOKUP('Données projet'!$B$11,Paramètres!$A$1:$I$89,5,0)</f>
        <v>210.76095999999993</v>
      </c>
      <c r="BF70" s="14">
        <f t="shared" si="91"/>
        <v>52.101839581538208</v>
      </c>
      <c r="BG70" s="22">
        <f t="shared" si="61"/>
        <v>457.81937593784551</v>
      </c>
      <c r="BH70" s="60">
        <f t="shared" si="62"/>
        <v>751.15270927117876</v>
      </c>
      <c r="BI70" s="60">
        <f ca="1">AVERAGE(OFFSET($BH$3,0,0,'Données projet'!$E$11+1,1))-AVERAGE(OFFSET($H$3,0,0,'Données projet'!$E$11+1,1))</f>
        <v>289.12367833861299</v>
      </c>
      <c r="BJ70" s="60">
        <f t="shared" si="92"/>
        <v>229.06617320689003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1.1185665909324803E-5</v>
      </c>
      <c r="BS70" s="24">
        <f t="shared" si="63"/>
        <v>1.1185665909324803E-5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3.8</v>
      </c>
      <c r="BY70" s="13">
        <f>IF('Données projet'!$A$114&gt;35,BY69+BX70-CG69,IF(A70&lt;'Données projet'!$A$114,$BV$205^A70,IF(A70='Données projet'!$A$114,'Données projet'!$B$114,BY69+BX70-CG69)))</f>
        <v>262.59999999999991</v>
      </c>
      <c r="BZ70" s="14">
        <f>BY70*VLOOKUP('Données projet'!$B$12,Paramètres!$A$1:$I$89,3,0)*VLOOKUP('Données projet'!$B$12,Paramètres!$A$1:$I$89,5,0)</f>
        <v>208.92455999999996</v>
      </c>
      <c r="CA70" s="14">
        <f t="shared" si="93"/>
        <v>51.700504821714368</v>
      </c>
      <c r="CB70" s="22">
        <f t="shared" si="64"/>
        <v>453.92198789781906</v>
      </c>
      <c r="CC70" s="60">
        <f t="shared" si="65"/>
        <v>747.25532123115238</v>
      </c>
      <c r="CD70" s="60">
        <f ca="1">AVERAGE(OFFSET($CC$3,0,0,'Données projet'!$E$12+1,1))-AVERAGE(OFFSET($H$3,0,0,'Données projet'!$E$12+1,1))</f>
        <v>312.53381881960331</v>
      </c>
      <c r="CE70" s="60">
        <f t="shared" si="94"/>
        <v>342.06887933351783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245.99639999999997</v>
      </c>
      <c r="CV70" s="14">
        <f t="shared" si="95"/>
        <v>59.72782632026442</v>
      </c>
      <c r="CW70" s="22">
        <f t="shared" si="67"/>
        <v>532.46969417446041</v>
      </c>
      <c r="CX70" s="60">
        <f t="shared" si="68"/>
        <v>825.80302750779379</v>
      </c>
      <c r="CY70" s="60">
        <f ca="1">AVERAGE(OFFSET($CX$3,0,0,'Données projet'!$E$13+1,1))-AVERAGE(OFFSET($H$3,0,0,'Données projet'!$E$13+1,1))</f>
        <v>475.47920969424894</v>
      </c>
      <c r="CZ70" s="60">
        <f t="shared" si="96"/>
        <v>271.73544012419364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>
        <f>VLOOKUP(A70,'Données projet'!$A$165:$I$185,2,0)</f>
        <v>295.38461538461536</v>
      </c>
      <c r="DM70" s="13">
        <f>VLOOKUP(A70,'Données projet'!$A$165:$I$185,9,0)</f>
        <v>10.171794871794864</v>
      </c>
      <c r="DN70" s="13">
        <f t="array" ref="DN70">INDEX(DM:DM,MIN(IF(ISNUMBER(DM70:DM266),ROW(DM70:DM266),"")))</f>
        <v>10.171794871794864</v>
      </c>
      <c r="DO70" s="13">
        <f>IF('Données projet'!$A$166&gt;35,DO69+DN70-DW69,IF(A70&lt;'Données projet'!$A$166,$DL$205^A70,IF(A70='Données projet'!$A$166,'Données projet'!$B$166,DO69+DN70-DW69)))</f>
        <v>295.38461538461547</v>
      </c>
      <c r="DP70" s="18">
        <f>DO70*VLOOKUP('Données projet'!$B$14,Paramètres!$A$1:$I$89,3,0)*VLOOKUP('Données projet'!$B$14,Paramètres!$A$1:$I$89,5,0)</f>
        <v>138.24000000000004</v>
      </c>
      <c r="DQ70" s="14">
        <f t="shared" si="97"/>
        <v>35.893517822631601</v>
      </c>
      <c r="DR70" s="22">
        <f t="shared" si="70"/>
        <v>303.28254354108338</v>
      </c>
      <c r="DS70" s="60">
        <f t="shared" si="71"/>
        <v>596.6158768744167</v>
      </c>
      <c r="DT70" s="60">
        <f ca="1">AVERAGE(OFFSET($DS$3,0,0,'Données projet'!$E$14+1,1))-AVERAGE(OFFSET($H$3,0,0,'Données projet'!$E$14+1,1))</f>
        <v>284.71577701131588</v>
      </c>
      <c r="DU70" s="60">
        <f t="shared" si="98"/>
        <v>190.4880882944471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3.8</v>
      </c>
      <c r="EJ70" s="13">
        <f>IF('Données projet'!$A$192&gt;35,EJ69+EI70-ER69,IF(A70&lt;'Données projet'!$A$192,$EG$205^A70,IF(A70='Données projet'!$A$192,'Données projet'!$B$192,EJ69+EI70-ER69)))</f>
        <v>262.59999999999991</v>
      </c>
      <c r="EK70" s="18">
        <f>EJ70*VLOOKUP('Données projet'!$B$15,Paramètres!$A$1:$I$89,3,0)*VLOOKUP('Données projet'!$B$15,Paramètres!$A$1:$I$89,5,0)</f>
        <v>192.53831999999994</v>
      </c>
      <c r="EL70" s="14">
        <f t="shared" si="99"/>
        <v>48.100705179740942</v>
      </c>
      <c r="EM70" s="22">
        <f t="shared" si="73"/>
        <v>419.11296885471535</v>
      </c>
      <c r="EN70" s="60">
        <f t="shared" si="74"/>
        <v>712.44630218804866</v>
      </c>
      <c r="EO70" s="60">
        <f ca="1">AVERAGE(OFFSET($EN$3,0,0,'Données projet'!$E$15+1,1))-AVERAGE(OFFSET($H$3,0,0,'Données projet'!$E$15+1,1))</f>
        <v>290.85271051443431</v>
      </c>
      <c r="EP70" s="60">
        <f t="shared" si="100"/>
        <v>318.66958823451142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0">
        <f t="shared" si="55"/>
        <v>782.74119655001107</v>
      </c>
      <c r="S71" s="60">
        <f ca="1">AVERAGE(OFFSET($R$3,0,0,'Données projet'!$E$9+1,1))-AVERAGE(OFFSET($H$3,0,0,'Données projet'!$E$9+1,1))</f>
        <v>428.8489304403459</v>
      </c>
      <c r="T71" s="60">
        <f t="shared" si="88"/>
        <v>247.01165577562966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13.373076923076932</v>
      </c>
      <c r="AI71" s="14">
        <f>IF('Données projet'!$A$62&gt;35,AI70+AH71-AQ70,IF(A71&lt;'Données projet'!$A$62,$AF$205^A71,IF(A71='Données projet'!$A$62,'Données projet'!$B$62,AI70+AH71-AQ70)))</f>
        <v>442.8576923076925</v>
      </c>
      <c r="AJ71" s="14">
        <f>AI71*VLOOKUP('Données projet'!$B$10,Paramètres!$A$1:$I$89,3,0)*VLOOKUP('Données projet'!$B$10,Paramètres!$A$1:$I$89,5,0)</f>
        <v>247.5574500000001</v>
      </c>
      <c r="AK71" s="14">
        <f t="shared" si="89"/>
        <v>60.062607033562486</v>
      </c>
      <c r="AL71" s="22">
        <f t="shared" si="58"/>
        <v>535.7715993334549</v>
      </c>
      <c r="AM71" s="60">
        <f t="shared" si="59"/>
        <v>829.10493266678827</v>
      </c>
      <c r="AN71" s="60">
        <f ca="1">AVERAGE(OFFSET($AM$3,0,0,'Données projet'!$E$10+1,1))-AVERAGE(OFFSET($H$3,0,0,'Données projet'!$E$10+1,1))</f>
        <v>323.98185264074681</v>
      </c>
      <c r="AO71" s="60">
        <f t="shared" si="90"/>
        <v>301.22207291854005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2.1024624291983103</v>
      </c>
      <c r="AV71" s="23">
        <f>EXP(-LN(2)/25)*AV70+(1-EXP(-LN(2)/25))/(LN(2)/25)*Calculateur!AQ71*Calculateur!AS71*VLOOKUP('Données projet'!$B$10,Paramètres!$A$1:$I$89,3,0)*0.475*44/12</f>
        <v>2.8757172347231834</v>
      </c>
      <c r="AW71" s="23">
        <f>EXP(-LN(2)/2)*AW70+(1-EXP(-LN(2)/2))/(LN(2)/2)*AQ71*AT71*VLOOKUP('Données projet'!$B$10,Paramètres!$A$1:$I$89,3,0)*0.475*44/12</f>
        <v>1.1611570700870553E-5</v>
      </c>
      <c r="AX71" s="23">
        <f t="shared" si="60"/>
        <v>4.9781912754921942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9.1830769230769249</v>
      </c>
      <c r="BD71" s="13">
        <f>IF('Données projet'!$A$88&gt;35,BD70+BC71-BL70,IF(A71&lt;'Données projet'!$A$88,$BA$205^A71,IF(A71='Données projet'!$A$88,'Données projet'!$B$88,BD70+BC71-BL70)))</f>
        <v>361.62615384615367</v>
      </c>
      <c r="BE71" s="14">
        <f>BD71*VLOOKUP('Données projet'!$B$11,Paramètres!$A$1:$I$89,3,0)*VLOOKUP('Données projet'!$B$11,Paramètres!$A$1:$I$89,5,0)</f>
        <v>216.25243999999989</v>
      </c>
      <c r="BF71" s="14">
        <f t="shared" si="91"/>
        <v>53.299559396285737</v>
      </c>
      <c r="BG71" s="22">
        <f t="shared" si="61"/>
        <v>469.46973228186403</v>
      </c>
      <c r="BH71" s="60">
        <f t="shared" si="62"/>
        <v>762.80306561519728</v>
      </c>
      <c r="BI71" s="60">
        <f ca="1">AVERAGE(OFFSET($BH$3,0,0,'Données projet'!$E$11+1,1))-AVERAGE(OFFSET($H$3,0,0,'Données projet'!$E$11+1,1))</f>
        <v>289.12367833861299</v>
      </c>
      <c r="BJ71" s="60">
        <f t="shared" si="92"/>
        <v>229.06617320689003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7.9094602165707578E-6</v>
      </c>
      <c r="BS71" s="24">
        <f t="shared" si="63"/>
        <v>7.9094602165707578E-6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3.8</v>
      </c>
      <c r="BY71" s="13">
        <f>IF('Données projet'!$A$114&gt;35,BY70+BX71-CG70,IF(A71&lt;'Données projet'!$A$114,$BV$205^A71,IF(A71='Données projet'!$A$114,'Données projet'!$B$114,BY70+BX71-CG70)))</f>
        <v>266.39999999999992</v>
      </c>
      <c r="BZ71" s="14">
        <f>BY71*VLOOKUP('Données projet'!$B$12,Paramètres!$A$1:$I$89,3,0)*VLOOKUP('Données projet'!$B$12,Paramètres!$A$1:$I$89,5,0)</f>
        <v>211.94783999999996</v>
      </c>
      <c r="CA71" s="14">
        <f t="shared" si="93"/>
        <v>52.361008754780862</v>
      </c>
      <c r="CB71" s="22">
        <f t="shared" si="64"/>
        <v>460.33791158124319</v>
      </c>
      <c r="CC71" s="60">
        <f t="shared" si="65"/>
        <v>753.6712449145765</v>
      </c>
      <c r="CD71" s="60">
        <f ca="1">AVERAGE(OFFSET($CC$3,0,0,'Données projet'!$E$12+1,1))-AVERAGE(OFFSET($H$3,0,0,'Données projet'!$E$12+1,1))</f>
        <v>312.53381881960331</v>
      </c>
      <c r="CE71" s="60">
        <f t="shared" si="94"/>
        <v>342.06887933351783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252.89159999999998</v>
      </c>
      <c r="CV71" s="14">
        <f t="shared" si="95"/>
        <v>61.204718436590312</v>
      </c>
      <c r="CW71" s="22">
        <f t="shared" si="67"/>
        <v>547.05108794372802</v>
      </c>
      <c r="CX71" s="60">
        <f t="shared" si="68"/>
        <v>840.38442127706139</v>
      </c>
      <c r="CY71" s="60">
        <f ca="1">AVERAGE(OFFSET($CX$3,0,0,'Données projet'!$E$13+1,1))-AVERAGE(OFFSET($H$3,0,0,'Données projet'!$E$13+1,1))</f>
        <v>475.47920969424894</v>
      </c>
      <c r="CZ71" s="60">
        <f t="shared" si="96"/>
        <v>271.73544012419364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10.457692307692307</v>
      </c>
      <c r="DO71" s="13">
        <f>IF('Données projet'!$A$166&gt;35,DO70+DN71-DW70,IF(A71&lt;'Données projet'!$A$166,$DL$205^A71,IF(A71='Données projet'!$A$166,'Données projet'!$B$166,DO70+DN71-DW70)))</f>
        <v>305.84230769230777</v>
      </c>
      <c r="DP71" s="18">
        <f>DO71*VLOOKUP('Données projet'!$B$14,Paramètres!$A$1:$I$89,3,0)*VLOOKUP('Données projet'!$B$14,Paramètres!$A$1:$I$89,5,0)</f>
        <v>143.13420000000002</v>
      </c>
      <c r="DQ71" s="14">
        <f t="shared" si="97"/>
        <v>37.014078899239095</v>
      </c>
      <c r="DR71" s="22">
        <f t="shared" si="70"/>
        <v>313.7582524161748</v>
      </c>
      <c r="DS71" s="60">
        <f t="shared" si="71"/>
        <v>607.09158574950811</v>
      </c>
      <c r="DT71" s="60">
        <f ca="1">AVERAGE(OFFSET($DS$3,0,0,'Données projet'!$E$14+1,1))-AVERAGE(OFFSET($H$3,0,0,'Données projet'!$E$14+1,1))</f>
        <v>284.71577701131588</v>
      </c>
      <c r="DU71" s="60">
        <f t="shared" si="98"/>
        <v>190.4880882944471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3.8</v>
      </c>
      <c r="EJ71" s="13">
        <f>IF('Données projet'!$A$192&gt;35,EJ70+EI71-ER70,IF(A71&lt;'Données projet'!$A$192,$EG$205^A71,IF(A71='Données projet'!$A$192,'Données projet'!$B$192,EJ70+EI71-ER70)))</f>
        <v>266.39999999999992</v>
      </c>
      <c r="EK71" s="18">
        <f>EJ71*VLOOKUP('Données projet'!$B$15,Paramètres!$A$1:$I$89,3,0)*VLOOKUP('Données projet'!$B$15,Paramètres!$A$1:$I$89,5,0)</f>
        <v>195.32447999999994</v>
      </c>
      <c r="EL71" s="14">
        <f t="shared" si="99"/>
        <v>48.715219584659224</v>
      </c>
      <c r="EM71" s="22">
        <f t="shared" si="73"/>
        <v>425.03581010994799</v>
      </c>
      <c r="EN71" s="60">
        <f t="shared" si="74"/>
        <v>718.36914344328125</v>
      </c>
      <c r="EO71" s="60">
        <f ca="1">AVERAGE(OFFSET($EN$3,0,0,'Données projet'!$E$15+1,1))-AVERAGE(OFFSET($H$3,0,0,'Données projet'!$E$15+1,1))</f>
        <v>290.85271051443431</v>
      </c>
      <c r="EP71" s="60">
        <f t="shared" si="100"/>
        <v>318.66958823451142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0">
        <f t="shared" si="55"/>
        <v>795.77556027438573</v>
      </c>
      <c r="S72" s="60">
        <f ca="1">AVERAGE(OFFSET($R$3,0,0,'Données projet'!$E$9+1,1))-AVERAGE(OFFSET($H$3,0,0,'Données projet'!$E$9+1,1))</f>
        <v>428.8489304403459</v>
      </c>
      <c r="T72" s="60">
        <f t="shared" si="88"/>
        <v>247.01165577562966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456.23076923076923</v>
      </c>
      <c r="AG72" s="13">
        <f>VLOOKUP(A72,'Données projet'!$A$61:$I$81,9,0)</f>
        <v>13.373076923076932</v>
      </c>
      <c r="AH72" s="13">
        <f t="array" ref="AH72">INDEX(AG:AG,MIN(IF(ISNUMBER(AG72:AG268),ROW(AG72:AG268),"")))</f>
        <v>13.373076923076932</v>
      </c>
      <c r="AI72" s="14">
        <f>IF('Données projet'!$A$62&gt;35,AI71+AH72-AQ71,IF(A72&lt;'Données projet'!$A$62,$AF$205^A72,IF(A72='Données projet'!$A$62,'Données projet'!$B$62,AI71+AH72-AQ71)))</f>
        <v>456.23076923076945</v>
      </c>
      <c r="AJ72" s="14">
        <f>AI72*VLOOKUP('Données projet'!$B$10,Paramètres!$A$1:$I$89,3,0)*VLOOKUP('Données projet'!$B$10,Paramètres!$A$1:$I$89,5,0)</f>
        <v>255.03300000000013</v>
      </c>
      <c r="AK72" s="14">
        <f t="shared" si="89"/>
        <v>61.662428642904949</v>
      </c>
      <c r="AL72" s="22">
        <f t="shared" si="58"/>
        <v>551.57787155305971</v>
      </c>
      <c r="AM72" s="60">
        <f t="shared" si="59"/>
        <v>844.91120488639308</v>
      </c>
      <c r="AN72" s="60">
        <f ca="1">AVERAGE(OFFSET($AM$3,0,0,'Données projet'!$E$10+1,1))-AVERAGE(OFFSET($H$3,0,0,'Données projet'!$E$10+1,1))</f>
        <v>323.98185264074681</v>
      </c>
      <c r="AO72" s="60">
        <f t="shared" si="90"/>
        <v>301.22207291854005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2.0612344233371891</v>
      </c>
      <c r="AV72" s="23">
        <f>EXP(-LN(2)/25)*AV71+(1-EXP(-LN(2)/25))/(LN(2)/25)*Calculateur!AQ72*Calculateur!AS72*VLOOKUP('Données projet'!$B$10,Paramètres!$A$1:$I$89,3,0)*0.475*44/12</f>
        <v>2.7970805957122811</v>
      </c>
      <c r="AW72" s="23">
        <f>EXP(-LN(2)/2)*AW71+(1-EXP(-LN(2)/2))/(LN(2)/2)*AQ72*AT72*VLOOKUP('Données projet'!$B$10,Paramètres!$A$1:$I$89,3,0)*0.475*44/12</f>
        <v>8.2106203828126005E-6</v>
      </c>
      <c r="AX72" s="23">
        <f t="shared" si="60"/>
        <v>4.8583232296698533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9.1830769230769249</v>
      </c>
      <c r="BD72" s="13">
        <f>IF('Données projet'!$A$88&gt;35,BD71+BC72-BL71,IF(A72&lt;'Données projet'!$A$88,$BA$205^A72,IF(A72='Données projet'!$A$88,'Données projet'!$B$88,BD71+BC72-BL71)))</f>
        <v>370.80923076923057</v>
      </c>
      <c r="BE72" s="14">
        <f>BD72*VLOOKUP('Données projet'!$B$11,Paramètres!$A$1:$I$89,3,0)*VLOOKUP('Données projet'!$B$11,Paramètres!$A$1:$I$89,5,0)</f>
        <v>221.74391999999989</v>
      </c>
      <c r="BF72" s="14">
        <f t="shared" si="91"/>
        <v>54.493743764780973</v>
      </c>
      <c r="BG72" s="22">
        <f t="shared" si="61"/>
        <v>481.11393105699329</v>
      </c>
      <c r="BH72" s="60">
        <f t="shared" si="62"/>
        <v>774.44726439032661</v>
      </c>
      <c r="BI72" s="60">
        <f ca="1">AVERAGE(OFFSET($BH$3,0,0,'Données projet'!$E$11+1,1))-AVERAGE(OFFSET($H$3,0,0,'Données projet'!$E$11+1,1))</f>
        <v>289.12367833861299</v>
      </c>
      <c r="BJ72" s="60">
        <f t="shared" si="92"/>
        <v>229.06617320689003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5.5928329546624017E-6</v>
      </c>
      <c r="BS72" s="24">
        <f t="shared" si="63"/>
        <v>5.5928329546624017E-6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3.8</v>
      </c>
      <c r="BY72" s="13">
        <f>IF('Données projet'!$A$114&gt;35,BY71+BX72-CG71,IF(A72&lt;'Données projet'!$A$114,$BV$205^A72,IF(A72='Données projet'!$A$114,'Données projet'!$B$114,BY71+BX72-CG71)))</f>
        <v>270.19999999999993</v>
      </c>
      <c r="BZ72" s="14">
        <f>BY72*VLOOKUP('Données projet'!$B$12,Paramètres!$A$1:$I$89,3,0)*VLOOKUP('Données projet'!$B$12,Paramètres!$A$1:$I$89,5,0)</f>
        <v>214.97111999999996</v>
      </c>
      <c r="CA72" s="14">
        <f t="shared" si="93"/>
        <v>53.020416883940428</v>
      </c>
      <c r="CB72" s="22">
        <f t="shared" si="64"/>
        <v>466.75192673952944</v>
      </c>
      <c r="CC72" s="60">
        <f t="shared" si="65"/>
        <v>760.08526007286275</v>
      </c>
      <c r="CD72" s="60">
        <f ca="1">AVERAGE(OFFSET($CC$3,0,0,'Données projet'!$E$12+1,1))-AVERAGE(OFFSET($H$3,0,0,'Données projet'!$E$12+1,1))</f>
        <v>312.53381881960331</v>
      </c>
      <c r="CE72" s="60">
        <f t="shared" si="94"/>
        <v>342.06887933351783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259.78679999999997</v>
      </c>
      <c r="CV72" s="14">
        <f t="shared" si="95"/>
        <v>62.676930162260739</v>
      </c>
      <c r="CW72" s="22">
        <f t="shared" si="67"/>
        <v>561.62433003260401</v>
      </c>
      <c r="CX72" s="60">
        <f t="shared" si="68"/>
        <v>854.95766336593738</v>
      </c>
      <c r="CY72" s="60">
        <f ca="1">AVERAGE(OFFSET($CX$3,0,0,'Données projet'!$E$13+1,1))-AVERAGE(OFFSET($H$3,0,0,'Données projet'!$E$13+1,1))</f>
        <v>475.47920969424894</v>
      </c>
      <c r="CZ72" s="60">
        <f t="shared" si="96"/>
        <v>271.73544012419364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10.457692307692307</v>
      </c>
      <c r="DO72" s="13">
        <f>IF('Données projet'!$A$166&gt;35,DO71+DN72-DW71,IF(A72&lt;'Données projet'!$A$166,$DL$205^A72,IF(A72='Données projet'!$A$166,'Données projet'!$B$166,DO71+DN72-DW71)))</f>
        <v>316.30000000000007</v>
      </c>
      <c r="DP72" s="18">
        <f>DO72*VLOOKUP('Données projet'!$B$14,Paramètres!$A$1:$I$89,3,0)*VLOOKUP('Données projet'!$B$14,Paramètres!$A$1:$I$89,5,0)</f>
        <v>148.02840000000003</v>
      </c>
      <c r="DQ72" s="14">
        <f t="shared" si="97"/>
        <v>38.130188005693356</v>
      </c>
      <c r="DR72" s="22">
        <f t="shared" si="70"/>
        <v>324.22620744324928</v>
      </c>
      <c r="DS72" s="60">
        <f t="shared" si="71"/>
        <v>617.55954077658259</v>
      </c>
      <c r="DT72" s="60">
        <f ca="1">AVERAGE(OFFSET($DS$3,0,0,'Données projet'!$E$14+1,1))-AVERAGE(OFFSET($H$3,0,0,'Données projet'!$E$14+1,1))</f>
        <v>284.71577701131588</v>
      </c>
      <c r="DU72" s="60">
        <f t="shared" si="98"/>
        <v>190.4880882944471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3.8</v>
      </c>
      <c r="EJ72" s="13">
        <f>IF('Données projet'!$A$192&gt;35,EJ71+EI72-ER71,IF(A72&lt;'Données projet'!$A$192,$EG$205^A72,IF(A72='Données projet'!$A$192,'Données projet'!$B$192,EJ71+EI72-ER71)))</f>
        <v>270.19999999999993</v>
      </c>
      <c r="EK72" s="18">
        <f>EJ72*VLOOKUP('Données projet'!$B$15,Paramètres!$A$1:$I$89,3,0)*VLOOKUP('Données projet'!$B$15,Paramètres!$A$1:$I$89,5,0)</f>
        <v>198.11063999999993</v>
      </c>
      <c r="EL72" s="14">
        <f t="shared" si="99"/>
        <v>49.328714484239143</v>
      </c>
      <c r="EM72" s="22">
        <f t="shared" si="73"/>
        <v>430.95687572671636</v>
      </c>
      <c r="EN72" s="60">
        <f t="shared" si="74"/>
        <v>724.29020906004962</v>
      </c>
      <c r="EO72" s="60">
        <f ca="1">AVERAGE(OFFSET($EN$3,0,0,'Données projet'!$E$15+1,1))-AVERAGE(OFFSET($H$3,0,0,'Données projet'!$E$15+1,1))</f>
        <v>290.85271051443431</v>
      </c>
      <c r="EP72" s="60">
        <f t="shared" si="100"/>
        <v>318.66958823451142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0">
        <f t="shared" si="55"/>
        <v>808.80277120001347</v>
      </c>
      <c r="S73" s="60">
        <f ca="1">AVERAGE(OFFSET($R$3,0,0,'Données projet'!$E$9+1,1))-AVERAGE(OFFSET($H$3,0,0,'Données projet'!$E$9+1,1))</f>
        <v>428.8489304403459</v>
      </c>
      <c r="T73" s="60">
        <f t="shared" si="88"/>
        <v>247.01165577562966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469.06923076923073</v>
      </c>
      <c r="AG73" s="13">
        <f>VLOOKUP(A73,'Données projet'!$A$61:$I$81,9,0)</f>
        <v>12.838461538461502</v>
      </c>
      <c r="AH73" s="13">
        <f t="array" ref="AH73">INDEX(AG:AG,MIN(IF(ISNUMBER(AG73:AG269),ROW(AG73:AG269),"")))</f>
        <v>12.838461538461502</v>
      </c>
      <c r="AI73" s="14">
        <f>IF('Données projet'!$A$62&gt;35,AI72+AH73-AQ72,IF(A73&lt;'Données projet'!$A$62,$AF$205^A73,IF(A73='Données projet'!$A$62,'Données projet'!$B$62,AI72+AH73-AQ72)))</f>
        <v>469.06923076923096</v>
      </c>
      <c r="AJ73" s="14">
        <f>AI73*VLOOKUP('Données projet'!$B$10,Paramètres!$A$1:$I$89,3,0)*VLOOKUP('Données projet'!$B$10,Paramètres!$A$1:$I$89,5,0)</f>
        <v>262.20970000000011</v>
      </c>
      <c r="AK73" s="14">
        <f t="shared" si="89"/>
        <v>63.193164452376678</v>
      </c>
      <c r="AL73" s="22">
        <f t="shared" si="58"/>
        <v>566.74332225455612</v>
      </c>
      <c r="AM73" s="60">
        <f t="shared" si="59"/>
        <v>860.07665558788949</v>
      </c>
      <c r="AN73" s="60">
        <f ca="1">AVERAGE(OFFSET($AM$3,0,0,'Données projet'!$E$10+1,1))-AVERAGE(OFFSET($H$3,0,0,'Données projet'!$E$10+1,1))</f>
        <v>323.98185264074681</v>
      </c>
      <c r="AO73" s="60">
        <f t="shared" si="90"/>
        <v>301.22207291854005</v>
      </c>
      <c r="AP73" s="16">
        <f>IF(ISNA(VLOOKUP(A73,'Données projet'!$A$61:$I$81,3,0)),0,VLOOKUP(A73,'Données projet'!$A$61:$I$81,3,0))</f>
        <v>8</v>
      </c>
      <c r="AQ73" s="16">
        <f>IF(ISNA(VLOOKUP(A73,'Données projet'!$A$61:$I$81,4,0)),0,VLOOKUP(A73,'Données projet'!$A$61:$I$81,4,0))</f>
        <v>469.06923076923073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2.020814873524404</v>
      </c>
      <c r="AV73" s="23">
        <f>EXP(-LN(2)/25)*AV72+(1-EXP(-LN(2)/25))/(LN(2)/25)*Calculateur!AQ73*Calculateur!AS73*VLOOKUP('Données projet'!$B$10,Paramètres!$A$1:$I$89,3,0)*0.475*44/12</f>
        <v>2.7205942797304532</v>
      </c>
      <c r="AW73" s="23">
        <f>EXP(-LN(2)/2)*AW72+(1-EXP(-LN(2)/2))/(LN(2)/2)*AQ73*AT73*VLOOKUP('Données projet'!$B$10,Paramètres!$A$1:$I$89,3,0)*0.475*44/12</f>
        <v>5.8057853504352766E-6</v>
      </c>
      <c r="AX73" s="23">
        <f t="shared" si="60"/>
        <v>4.741414959040207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379.99230769230769</v>
      </c>
      <c r="BB73" s="13">
        <f>VLOOKUP(A73,'Données projet'!$A$87:$I$107,9,0)</f>
        <v>9.1830769230769249</v>
      </c>
      <c r="BC73" s="13">
        <f t="array" ref="BC73">INDEX(BB:BB,MIN(IF(ISNUMBER(BB73:BB269),ROW(BB73:BB269),"")))</f>
        <v>9.1830769230769249</v>
      </c>
      <c r="BD73" s="13">
        <f>IF('Données projet'!$A$88&gt;35,BD72+BC73-BL72,IF(A73&lt;'Données projet'!$A$88,$BA$205^A73,IF(A73='Données projet'!$A$88,'Données projet'!$B$88,BD72+BC73-BL72)))</f>
        <v>379.99230769230746</v>
      </c>
      <c r="BE73" s="14">
        <f>BD73*VLOOKUP('Données projet'!$B$11,Paramètres!$A$1:$I$89,3,0)*VLOOKUP('Données projet'!$B$11,Paramètres!$A$1:$I$89,5,0)</f>
        <v>227.23539999999988</v>
      </c>
      <c r="BF73" s="14">
        <f t="shared" si="91"/>
        <v>55.684490313081348</v>
      </c>
      <c r="BG73" s="22">
        <f t="shared" si="61"/>
        <v>492.75214229528314</v>
      </c>
      <c r="BH73" s="60">
        <f t="shared" si="62"/>
        <v>786.08547562861645</v>
      </c>
      <c r="BI73" s="60">
        <f ca="1">AVERAGE(OFFSET($BH$3,0,0,'Données projet'!$E$11+1,1))-AVERAGE(OFFSET($H$3,0,0,'Données projet'!$E$11+1,1))</f>
        <v>289.12367833861299</v>
      </c>
      <c r="BJ73" s="60">
        <f t="shared" si="92"/>
        <v>229.06617320689003</v>
      </c>
      <c r="BK73" s="16">
        <f>IF(ISNA(VLOOKUP(A73,'Données projet'!$A$87:$I$107,3,0)),0,VLOOKUP(A73,'Données projet'!$A$87:$I$107,3,0))</f>
        <v>7</v>
      </c>
      <c r="BL73" s="16">
        <f>IF(ISNA(VLOOKUP(A73,'Données projet'!$A$87:$I$107,4,0)),0,VLOOKUP(A73,'Données projet'!$A$87:$I$107,4,0))</f>
        <v>52.669230769230765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3.9547301082853789E-6</v>
      </c>
      <c r="BS73" s="24">
        <f t="shared" si="63"/>
        <v>3.9547301082853789E-6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274</v>
      </c>
      <c r="BW73" s="13">
        <f>VLOOKUP(A73,'Données projet'!$A$113:$I$133,9,0)</f>
        <v>3.8</v>
      </c>
      <c r="BX73" s="13">
        <f t="array" ref="BX73">INDEX(BW:BW,MIN(IF(ISNUMBER(BW73:BW269),ROW(BW73:BW269),"")))</f>
        <v>3.8</v>
      </c>
      <c r="BY73" s="13">
        <f>IF('Données projet'!$A$114&gt;35,BY72+BX73-CG72,IF(A73&lt;'Données projet'!$A$114,$BV$205^A73,IF(A73='Données projet'!$A$114,'Données projet'!$B$114,BY72+BX73-CG72)))</f>
        <v>273.99999999999994</v>
      </c>
      <c r="BZ73" s="14">
        <f>BY73*VLOOKUP('Données projet'!$B$12,Paramètres!$A$1:$I$89,3,0)*VLOOKUP('Données projet'!$B$12,Paramètres!$A$1:$I$89,5,0)</f>
        <v>217.99439999999998</v>
      </c>
      <c r="CA73" s="14">
        <f t="shared" si="93"/>
        <v>53.678746401110374</v>
      </c>
      <c r="CB73" s="22">
        <f t="shared" si="64"/>
        <v>473.16406331526713</v>
      </c>
      <c r="CC73" s="60">
        <f t="shared" si="65"/>
        <v>766.49739664860044</v>
      </c>
      <c r="CD73" s="60">
        <f ca="1">AVERAGE(OFFSET($CC$3,0,0,'Données projet'!$E$12+1,1))-AVERAGE(OFFSET($H$3,0,0,'Données projet'!$E$12+1,1))</f>
        <v>312.53381881960331</v>
      </c>
      <c r="CE73" s="60">
        <f t="shared" si="94"/>
        <v>342.06887933351783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266.68199999999996</v>
      </c>
      <c r="CV73" s="14">
        <f t="shared" si="95"/>
        <v>64.144600001897771</v>
      </c>
      <c r="CW73" s="22">
        <f t="shared" si="67"/>
        <v>576.189661669972</v>
      </c>
      <c r="CX73" s="60">
        <f t="shared" si="68"/>
        <v>869.52299500330537</v>
      </c>
      <c r="CY73" s="60">
        <f ca="1">AVERAGE(OFFSET($CX$3,0,0,'Données projet'!$E$13+1,1))-AVERAGE(OFFSET($H$3,0,0,'Données projet'!$E$13+1,1))</f>
        <v>475.47920969424894</v>
      </c>
      <c r="CZ73" s="60">
        <f t="shared" si="96"/>
        <v>271.73544012419364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10.457692307692307</v>
      </c>
      <c r="DO73" s="13">
        <f>IF('Données projet'!$A$166&gt;35,DO72+DN73-DW72,IF(A73&lt;'Données projet'!$A$166,$DL$205^A73,IF(A73='Données projet'!$A$166,'Données projet'!$B$166,DO72+DN73-DW72)))</f>
        <v>326.75769230769237</v>
      </c>
      <c r="DP73" s="18">
        <f>DO73*VLOOKUP('Données projet'!$B$14,Paramètres!$A$1:$I$89,3,0)*VLOOKUP('Données projet'!$B$14,Paramètres!$A$1:$I$89,5,0)</f>
        <v>152.92260000000002</v>
      </c>
      <c r="DQ73" s="14">
        <f t="shared" si="97"/>
        <v>39.242009213831587</v>
      </c>
      <c r="DR73" s="22">
        <f t="shared" si="70"/>
        <v>334.68669438075665</v>
      </c>
      <c r="DS73" s="60">
        <f t="shared" si="71"/>
        <v>628.02002771409002</v>
      </c>
      <c r="DT73" s="60">
        <f ca="1">AVERAGE(OFFSET($DS$3,0,0,'Données projet'!$E$14+1,1))-AVERAGE(OFFSET($H$3,0,0,'Données projet'!$E$14+1,1))</f>
        <v>284.71577701131588</v>
      </c>
      <c r="DU73" s="60">
        <f t="shared" si="98"/>
        <v>190.4880882944471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274</v>
      </c>
      <c r="EH73" s="13">
        <f>VLOOKUP(A73,'Données projet'!$A$191:$I$211,9,0)</f>
        <v>3.8</v>
      </c>
      <c r="EI73" s="13">
        <f t="array" ref="EI73">INDEX(EH:EH,MIN(IF(ISNUMBER(EH73:EH269),ROW(EH73:EH269),"")))</f>
        <v>3.8</v>
      </c>
      <c r="EJ73" s="13">
        <f>IF('Données projet'!$A$192&gt;35,EJ72+EI73-ER72,IF(A73&lt;'Données projet'!$A$192,$EG$205^A73,IF(A73='Données projet'!$A$192,'Données projet'!$B$192,EJ72+EI73-ER72)))</f>
        <v>273.99999999999994</v>
      </c>
      <c r="EK73" s="18">
        <f>EJ73*VLOOKUP('Données projet'!$B$15,Paramètres!$A$1:$I$89,3,0)*VLOOKUP('Données projet'!$B$15,Paramètres!$A$1:$I$89,5,0)</f>
        <v>200.89679999999996</v>
      </c>
      <c r="EL73" s="14">
        <f t="shared" si="99"/>
        <v>49.941205873360218</v>
      </c>
      <c r="EM73" s="22">
        <f t="shared" si="73"/>
        <v>436.87619356276895</v>
      </c>
      <c r="EN73" s="60">
        <f t="shared" si="74"/>
        <v>730.20952689610226</v>
      </c>
      <c r="EO73" s="60">
        <f ca="1">AVERAGE(OFFSET($EN$3,0,0,'Données projet'!$E$15+1,1))-AVERAGE(OFFSET($H$3,0,0,'Données projet'!$E$15+1,1))</f>
        <v>290.85271051443431</v>
      </c>
      <c r="EP73" s="60">
        <f t="shared" si="100"/>
        <v>318.66958823451142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21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0">
        <f t="shared" si="55"/>
        <v>740.13528187395309</v>
      </c>
      <c r="S74" s="60">
        <f ca="1">AVERAGE(OFFSET($R$3,0,0,'Données projet'!$E$9+1,1))-AVERAGE(OFFSET($H$3,0,0,'Données projet'!$E$9+1,1))</f>
        <v>428.8489304403459</v>
      </c>
      <c r="T74" s="60">
        <f t="shared" si="88"/>
        <v>247.01165577562966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2.2737367544323206E-13</v>
      </c>
      <c r="AJ74" s="14">
        <f>AI74*VLOOKUP('Données projet'!$B$10,Paramètres!$A$1:$I$89,3,0)*VLOOKUP('Données projet'!$B$10,Paramètres!$A$1:$I$89,5,0)</f>
        <v>1.2710188457276673E-13</v>
      </c>
      <c r="AK74" s="14">
        <f t="shared" si="89"/>
        <v>1.856866851063998E-12</v>
      </c>
      <c r="AL74" s="22">
        <f t="shared" si="58"/>
        <v>3.4554122145673649E-12</v>
      </c>
      <c r="AM74" s="60">
        <f t="shared" si="59"/>
        <v>293.33333333333678</v>
      </c>
      <c r="AN74" s="60">
        <f ca="1">AVERAGE(OFFSET($AM$3,0,0,'Données projet'!$E$10+1,1))-AVERAGE(OFFSET($H$3,0,0,'Données projet'!$E$10+1,1))</f>
        <v>323.98185264074681</v>
      </c>
      <c r="AO74" s="60">
        <f t="shared" si="90"/>
        <v>301.22207291854005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1.9811879264299566</v>
      </c>
      <c r="AV74" s="23">
        <f>EXP(-LN(2)/25)*AV73+(1-EXP(-LN(2)/25))/(LN(2)/25)*Calculateur!AQ74*Calculateur!AS74*VLOOKUP('Données projet'!$B$10,Paramètres!$A$1:$I$89,3,0)*0.475*44/12</f>
        <v>2.6461994860813887</v>
      </c>
      <c r="AW74" s="23">
        <f>EXP(-LN(2)/2)*AW73+(1-EXP(-LN(2)/2))/(LN(2)/2)*AQ74*AT74*VLOOKUP('Données projet'!$B$10,Paramètres!$A$1:$I$89,3,0)*0.475*44/12</f>
        <v>4.1053101914063002E-6</v>
      </c>
      <c r="AX74" s="23">
        <f t="shared" si="60"/>
        <v>4.6273915178215361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7.5584615384615343</v>
      </c>
      <c r="BD74" s="13">
        <f>IF('Données projet'!$A$88&gt;35,BD73+BC74-BL73,IF(A74&lt;'Données projet'!$A$88,$BA$205^A74,IF(A74='Données projet'!$A$88,'Données projet'!$B$88,BD73+BC74-BL73)))</f>
        <v>334.88153846153824</v>
      </c>
      <c r="BE74" s="14">
        <f>BD74*VLOOKUP('Données projet'!$B$11,Paramètres!$A$1:$I$89,3,0)*VLOOKUP('Données projet'!$B$11,Paramètres!$A$1:$I$89,5,0)</f>
        <v>200.25915999999989</v>
      </c>
      <c r="BF74" s="14">
        <f t="shared" si="91"/>
        <v>49.801118956127333</v>
      </c>
      <c r="BG74" s="22">
        <f t="shared" si="61"/>
        <v>435.52165251525486</v>
      </c>
      <c r="BH74" s="60">
        <f t="shared" si="62"/>
        <v>728.85498584858817</v>
      </c>
      <c r="BI74" s="60">
        <f ca="1">AVERAGE(OFFSET($BH$3,0,0,'Données projet'!$E$11+1,1))-AVERAGE(OFFSET($H$3,0,0,'Données projet'!$E$11+1,1))</f>
        <v>289.12367833861299</v>
      </c>
      <c r="BJ74" s="60">
        <f t="shared" si="92"/>
        <v>229.06617320689003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2.7964164773312009E-6</v>
      </c>
      <c r="BS74" s="24">
        <f t="shared" si="63"/>
        <v>2.7964164773312009E-6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</v>
      </c>
      <c r="BY74" s="13">
        <f>IF('Données projet'!$A$114&gt;35,BY73+BX74-CG73,IF(A74&lt;'Données projet'!$A$114,$BV$205^A74,IF(A74='Données projet'!$A$114,'Données projet'!$B$114,BY73+BX74-CG73)))</f>
        <v>256.39999999999992</v>
      </c>
      <c r="BZ74" s="14">
        <f>BY74*VLOOKUP('Données projet'!$B$12,Paramètres!$A$1:$I$89,3,0)*VLOOKUP('Données projet'!$B$12,Paramètres!$A$1:$I$89,5,0)</f>
        <v>203.99183999999994</v>
      </c>
      <c r="CA74" s="14">
        <f t="shared" si="93"/>
        <v>50.620441749347997</v>
      </c>
      <c r="CB74" s="22">
        <f t="shared" si="64"/>
        <v>443.449724046781</v>
      </c>
      <c r="CC74" s="60">
        <f t="shared" si="65"/>
        <v>736.78305738011431</v>
      </c>
      <c r="CD74" s="60">
        <f ca="1">AVERAGE(OFFSET($CC$3,0,0,'Données projet'!$E$12+1,1))-AVERAGE(OFFSET($H$3,0,0,'Données projet'!$E$12+1,1))</f>
        <v>312.53381881960331</v>
      </c>
      <c r="CE74" s="60">
        <f t="shared" si="94"/>
        <v>342.06887933351783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230.38079999999994</v>
      </c>
      <c r="CV74" s="14">
        <f t="shared" si="95"/>
        <v>56.365011465139979</v>
      </c>
      <c r="CW74" s="22">
        <f t="shared" si="67"/>
        <v>499.41562163511867</v>
      </c>
      <c r="CX74" s="60">
        <f t="shared" si="68"/>
        <v>792.74895496845193</v>
      </c>
      <c r="CY74" s="60">
        <f ca="1">AVERAGE(OFFSET($CX$3,0,0,'Données projet'!$E$13+1,1))-AVERAGE(OFFSET($H$3,0,0,'Données projet'!$E$13+1,1))</f>
        <v>475.47920969424894</v>
      </c>
      <c r="CZ74" s="60">
        <f t="shared" si="96"/>
        <v>271.73544012419364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10.457692307692307</v>
      </c>
      <c r="DO74" s="13">
        <f>IF('Données projet'!$A$166&gt;35,DO73+DN74-DW73,IF(A74&lt;'Données projet'!$A$166,$DL$205^A74,IF(A74='Données projet'!$A$166,'Données projet'!$B$166,DO73+DN74-DW73)))</f>
        <v>337.21538461538466</v>
      </c>
      <c r="DP74" s="18">
        <f>DO74*VLOOKUP('Données projet'!$B$14,Paramètres!$A$1:$I$89,3,0)*VLOOKUP('Données projet'!$B$14,Paramètres!$A$1:$I$89,5,0)</f>
        <v>157.81680000000003</v>
      </c>
      <c r="DQ74" s="14">
        <f t="shared" si="97"/>
        <v>40.34969549714323</v>
      </c>
      <c r="DR74" s="22">
        <f t="shared" si="70"/>
        <v>345.13997965752452</v>
      </c>
      <c r="DS74" s="60">
        <f t="shared" si="71"/>
        <v>638.47331299085783</v>
      </c>
      <c r="DT74" s="60">
        <f ca="1">AVERAGE(OFFSET($DS$3,0,0,'Données projet'!$E$14+1,1))-AVERAGE(OFFSET($H$3,0,0,'Données projet'!$E$14+1,1))</f>
        <v>284.71577701131588</v>
      </c>
      <c r="DU74" s="60">
        <f t="shared" si="98"/>
        <v>190.4880882944471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3.4</v>
      </c>
      <c r="EJ74" s="13">
        <f>IF('Données projet'!$A$192&gt;35,EJ73+EI74-ER73,IF(A74&lt;'Données projet'!$A$192,$EG$205^A74,IF(A74='Données projet'!$A$192,'Données projet'!$B$192,EJ73+EI74-ER73)))</f>
        <v>256.39999999999992</v>
      </c>
      <c r="EK74" s="18">
        <f>EJ74*VLOOKUP('Données projet'!$B$15,Paramètres!$A$1:$I$89,3,0)*VLOOKUP('Données projet'!$B$15,Paramètres!$A$1:$I$89,5,0)</f>
        <v>187.99247999999994</v>
      </c>
      <c r="EL74" s="14">
        <f t="shared" si="99"/>
        <v>47.095844674053957</v>
      </c>
      <c r="EM74" s="22">
        <f t="shared" si="73"/>
        <v>409.44549880731051</v>
      </c>
      <c r="EN74" s="60">
        <f t="shared" si="74"/>
        <v>702.77883214064377</v>
      </c>
      <c r="EO74" s="60">
        <f ca="1">AVERAGE(OFFSET($EN$3,0,0,'Données projet'!$E$15+1,1))-AVERAGE(OFFSET($H$3,0,0,'Données projet'!$E$15+1,1))</f>
        <v>290.85271051443431</v>
      </c>
      <c r="EP74" s="60">
        <f t="shared" si="100"/>
        <v>318.66958823451142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0">
        <f t="shared" si="55"/>
        <v>752.04261652954642</v>
      </c>
      <c r="S75" s="60">
        <f ca="1">AVERAGE(OFFSET($R$3,0,0,'Données projet'!$E$9+1,1))-AVERAGE(OFFSET($H$3,0,0,'Données projet'!$E$9+1,1))</f>
        <v>428.8489304403459</v>
      </c>
      <c r="T75" s="60">
        <f t="shared" si="88"/>
        <v>247.01165577562966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2.2737367544323206E-13</v>
      </c>
      <c r="AJ75" s="14">
        <f>AI75*VLOOKUP('Données projet'!$B$10,Paramètres!$A$1:$I$89,3,0)*VLOOKUP('Données projet'!$B$10,Paramètres!$A$1:$I$89,5,0)</f>
        <v>1.2710188457276673E-13</v>
      </c>
      <c r="AK75" s="14">
        <f t="shared" si="89"/>
        <v>1.856866851063998E-12</v>
      </c>
      <c r="AL75" s="22">
        <f t="shared" si="58"/>
        <v>3.4554122145673649E-12</v>
      </c>
      <c r="AM75" s="60">
        <f t="shared" si="59"/>
        <v>293.33333333333678</v>
      </c>
      <c r="AN75" s="60">
        <f ca="1">AVERAGE(OFFSET($AM$3,0,0,'Données projet'!$E$10+1,1))-AVERAGE(OFFSET($H$3,0,0,'Données projet'!$E$10+1,1))</f>
        <v>323.98185264074681</v>
      </c>
      <c r="AO75" s="60">
        <f t="shared" si="90"/>
        <v>301.22207291854005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1.9423380395979801</v>
      </c>
      <c r="AV75" s="23">
        <f>EXP(-LN(2)/25)*AV74+(1-EXP(-LN(2)/25))/(LN(2)/25)*Calculateur!AQ75*Calculateur!AS75*VLOOKUP('Données projet'!$B$10,Paramètres!$A$1:$I$89,3,0)*0.475*44/12</f>
        <v>2.5738390219769101</v>
      </c>
      <c r="AW75" s="23">
        <f>EXP(-LN(2)/2)*AW74+(1-EXP(-LN(2)/2))/(LN(2)/2)*AQ75*AT75*VLOOKUP('Données projet'!$B$10,Paramètres!$A$1:$I$89,3,0)*0.475*44/12</f>
        <v>2.9028926752176383E-6</v>
      </c>
      <c r="AX75" s="23">
        <f t="shared" si="60"/>
        <v>4.5161799644675655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7.5584615384615343</v>
      </c>
      <c r="BD75" s="13">
        <f>IF('Données projet'!$A$88&gt;35,BD74+BC75-BL74,IF(A75&lt;'Données projet'!$A$88,$BA$205^A75,IF(A75='Données projet'!$A$88,'Données projet'!$B$88,BD74+BC75-BL74)))</f>
        <v>342.43999999999977</v>
      </c>
      <c r="BE75" s="14">
        <f>BD75*VLOOKUP('Données projet'!$B$11,Paramètres!$A$1:$I$89,3,0)*VLOOKUP('Données projet'!$B$11,Paramètres!$A$1:$I$89,5,0)</f>
        <v>204.77911999999986</v>
      </c>
      <c r="BF75" s="14">
        <f t="shared" si="91"/>
        <v>50.79302579334589</v>
      </c>
      <c r="BG75" s="22">
        <f t="shared" si="61"/>
        <v>445.12148725674388</v>
      </c>
      <c r="BH75" s="60">
        <f t="shared" si="62"/>
        <v>738.45482059007713</v>
      </c>
      <c r="BI75" s="60">
        <f ca="1">AVERAGE(OFFSET($BH$3,0,0,'Données projet'!$E$11+1,1))-AVERAGE(OFFSET($H$3,0,0,'Données projet'!$E$11+1,1))</f>
        <v>289.12367833861299</v>
      </c>
      <c r="BJ75" s="60">
        <f t="shared" si="92"/>
        <v>229.06617320689003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1.9773650541426895E-6</v>
      </c>
      <c r="BS75" s="24">
        <f t="shared" si="63"/>
        <v>1.9773650541426895E-6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</v>
      </c>
      <c r="BY75" s="13">
        <f>IF('Données projet'!$A$114&gt;35,BY74+BX75-CG74,IF(A75&lt;'Données projet'!$A$114,$BV$205^A75,IF(A75='Données projet'!$A$114,'Données projet'!$B$114,BY74+BX75-CG74)))</f>
        <v>259.7999999999999</v>
      </c>
      <c r="BZ75" s="14">
        <f>BY75*VLOOKUP('Données projet'!$B$12,Paramètres!$A$1:$I$89,3,0)*VLOOKUP('Données projet'!$B$12,Paramètres!$A$1:$I$89,5,0)</f>
        <v>206.69687999999994</v>
      </c>
      <c r="CA75" s="14">
        <f t="shared" si="93"/>
        <v>51.213106197404436</v>
      </c>
      <c r="CB75" s="22">
        <f t="shared" si="64"/>
        <v>449.1932259604792</v>
      </c>
      <c r="CC75" s="60">
        <f t="shared" si="65"/>
        <v>742.52655929381251</v>
      </c>
      <c r="CD75" s="60">
        <f ca="1">AVERAGE(OFFSET($CC$3,0,0,'Données projet'!$E$12+1,1))-AVERAGE(OFFSET($H$3,0,0,'Données projet'!$E$12+1,1))</f>
        <v>312.53381881960331</v>
      </c>
      <c r="CE75" s="60">
        <f t="shared" si="94"/>
        <v>342.06887933351783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236.66759999999994</v>
      </c>
      <c r="CV75" s="14">
        <f t="shared" si="95"/>
        <v>57.721965974560838</v>
      </c>
      <c r="CW75" s="22">
        <f t="shared" si="67"/>
        <v>512.72849407235992</v>
      </c>
      <c r="CX75" s="60">
        <f t="shared" si="68"/>
        <v>806.06182740569329</v>
      </c>
      <c r="CY75" s="60">
        <f ca="1">AVERAGE(OFFSET($CX$3,0,0,'Données projet'!$E$13+1,1))-AVERAGE(OFFSET($H$3,0,0,'Données projet'!$E$13+1,1))</f>
        <v>475.47920969424894</v>
      </c>
      <c r="CZ75" s="60">
        <f t="shared" si="96"/>
        <v>271.73544012419364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10.457692307692307</v>
      </c>
      <c r="DO75" s="13">
        <f>IF('Données projet'!$A$166&gt;35,DO74+DN75-DW74,IF(A75&lt;'Données projet'!$A$166,$DL$205^A75,IF(A75='Données projet'!$A$166,'Données projet'!$B$166,DO74+DN75-DW74)))</f>
        <v>347.67307692307696</v>
      </c>
      <c r="DP75" s="18">
        <f>DO75*VLOOKUP('Données projet'!$B$14,Paramètres!$A$1:$I$89,3,0)*VLOOKUP('Données projet'!$B$14,Paramètres!$A$1:$I$89,5,0)</f>
        <v>162.71100000000001</v>
      </c>
      <c r="DQ75" s="14">
        <f t="shared" si="97"/>
        <v>41.453389802140954</v>
      </c>
      <c r="DR75" s="22">
        <f t="shared" si="70"/>
        <v>355.58631223872879</v>
      </c>
      <c r="DS75" s="60">
        <f t="shared" si="71"/>
        <v>648.91964557206211</v>
      </c>
      <c r="DT75" s="60">
        <f ca="1">AVERAGE(OFFSET($DS$3,0,0,'Données projet'!$E$14+1,1))-AVERAGE(OFFSET($H$3,0,0,'Données projet'!$E$14+1,1))</f>
        <v>284.71577701131588</v>
      </c>
      <c r="DU75" s="60">
        <f t="shared" si="98"/>
        <v>190.4880882944471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3.4</v>
      </c>
      <c r="EJ75" s="13">
        <f>IF('Données projet'!$A$192&gt;35,EJ74+EI75-ER74,IF(A75&lt;'Données projet'!$A$192,$EG$205^A75,IF(A75='Données projet'!$A$192,'Données projet'!$B$192,EJ74+EI75-ER74)))</f>
        <v>259.7999999999999</v>
      </c>
      <c r="EK75" s="18">
        <f>EJ75*VLOOKUP('Données projet'!$B$15,Paramètres!$A$1:$I$89,3,0)*VLOOKUP('Données projet'!$B$15,Paramètres!$A$1:$I$89,5,0)</f>
        <v>190.48535999999993</v>
      </c>
      <c r="EL75" s="14">
        <f t="shared" si="99"/>
        <v>47.647243117546594</v>
      </c>
      <c r="EM75" s="22">
        <f t="shared" si="73"/>
        <v>414.74761709639353</v>
      </c>
      <c r="EN75" s="60">
        <f t="shared" si="74"/>
        <v>708.08095042972684</v>
      </c>
      <c r="EO75" s="60">
        <f ca="1">AVERAGE(OFFSET($EN$3,0,0,'Données projet'!$E$15+1,1))-AVERAGE(OFFSET($H$3,0,0,'Données projet'!$E$15+1,1))</f>
        <v>290.85271051443431</v>
      </c>
      <c r="EP75" s="60">
        <f t="shared" si="100"/>
        <v>318.66958823451142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0">
        <f t="shared" si="55"/>
        <v>763.94335289202195</v>
      </c>
      <c r="S76" s="60">
        <f ca="1">AVERAGE(OFFSET($R$3,0,0,'Données projet'!$E$9+1,1))-AVERAGE(OFFSET($H$3,0,0,'Données projet'!$E$9+1,1))</f>
        <v>428.8489304403459</v>
      </c>
      <c r="T76" s="60">
        <f t="shared" si="88"/>
        <v>247.01165577562966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2.2737367544323206E-13</v>
      </c>
      <c r="AJ76" s="14">
        <f>AI76*VLOOKUP('Données projet'!$B$10,Paramètres!$A$1:$I$89,3,0)*VLOOKUP('Données projet'!$B$10,Paramètres!$A$1:$I$89,5,0)</f>
        <v>1.2710188457276673E-13</v>
      </c>
      <c r="AK76" s="14">
        <f t="shared" si="89"/>
        <v>1.856866851063998E-12</v>
      </c>
      <c r="AL76" s="22">
        <f t="shared" si="58"/>
        <v>3.4554122145673649E-12</v>
      </c>
      <c r="AM76" s="60">
        <f t="shared" si="59"/>
        <v>293.33333333333678</v>
      </c>
      <c r="AN76" s="60">
        <f ca="1">AVERAGE(OFFSET($AM$3,0,0,'Données projet'!$E$10+1,1))-AVERAGE(OFFSET($H$3,0,0,'Données projet'!$E$10+1,1))</f>
        <v>323.98185264074681</v>
      </c>
      <c r="AO76" s="60">
        <f t="shared" si="90"/>
        <v>301.22207291854005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1.9042499753506876</v>
      </c>
      <c r="AV76" s="23">
        <f>EXP(-LN(2)/25)*AV75+(1-EXP(-LN(2)/25))/(LN(2)/25)*Calculateur!AQ76*Calculateur!AS76*VLOOKUP('Données projet'!$B$10,Paramètres!$A$1:$I$89,3,0)*0.475*44/12</f>
        <v>2.5034572585686399</v>
      </c>
      <c r="AW76" s="23">
        <f>EXP(-LN(2)/2)*AW75+(1-EXP(-LN(2)/2))/(LN(2)/2)*AQ76*AT76*VLOOKUP('Données projet'!$B$10,Paramètres!$A$1:$I$89,3,0)*0.475*44/12</f>
        <v>2.0526550957031501E-6</v>
      </c>
      <c r="AX76" s="23">
        <f t="shared" si="60"/>
        <v>4.4077092865744234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7.5584615384615343</v>
      </c>
      <c r="BD76" s="13">
        <f>IF('Données projet'!$A$88&gt;35,BD75+BC76-BL75,IF(A76&lt;'Données projet'!$A$88,$BA$205^A76,IF(A76='Données projet'!$A$88,'Données projet'!$B$88,BD75+BC76-BL75)))</f>
        <v>349.9984615384613</v>
      </c>
      <c r="BE76" s="14">
        <f>BD76*VLOOKUP('Données projet'!$B$11,Paramètres!$A$1:$I$89,3,0)*VLOOKUP('Données projet'!$B$11,Paramètres!$A$1:$I$89,5,0)</f>
        <v>209.29907999999986</v>
      </c>
      <c r="BF76" s="14">
        <f t="shared" si="91"/>
        <v>51.782387252616175</v>
      </c>
      <c r="BG76" s="22">
        <f t="shared" si="61"/>
        <v>454.71688879830623</v>
      </c>
      <c r="BH76" s="60">
        <f t="shared" si="62"/>
        <v>748.05022213163954</v>
      </c>
      <c r="BI76" s="60">
        <f ca="1">AVERAGE(OFFSET($BH$3,0,0,'Données projet'!$E$11+1,1))-AVERAGE(OFFSET($H$3,0,0,'Données projet'!$E$11+1,1))</f>
        <v>289.12367833861299</v>
      </c>
      <c r="BJ76" s="60">
        <f t="shared" si="92"/>
        <v>229.06617320689003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1.3982082386656004E-6</v>
      </c>
      <c r="BS76" s="24">
        <f t="shared" si="63"/>
        <v>1.3982082386656004E-6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</v>
      </c>
      <c r="BY76" s="13">
        <f>IF('Données projet'!$A$114&gt;35,BY75+BX76-CG75,IF(A76&lt;'Données projet'!$A$114,$BV$205^A76,IF(A76='Données projet'!$A$114,'Données projet'!$B$114,BY75+BX76-CG75)))</f>
        <v>263.19999999999987</v>
      </c>
      <c r="BZ76" s="14">
        <f>BY76*VLOOKUP('Données projet'!$B$12,Paramètres!$A$1:$I$89,3,0)*VLOOKUP('Données projet'!$B$12,Paramètres!$A$1:$I$89,5,0)</f>
        <v>209.4019199999999</v>
      </c>
      <c r="CA76" s="14">
        <f t="shared" si="93"/>
        <v>51.804868484579039</v>
      </c>
      <c r="CB76" s="22">
        <f t="shared" si="64"/>
        <v>454.93515661064163</v>
      </c>
      <c r="CC76" s="60">
        <f t="shared" si="65"/>
        <v>748.26848994397494</v>
      </c>
      <c r="CD76" s="60">
        <f ca="1">AVERAGE(OFFSET($CC$3,0,0,'Données projet'!$E$12+1,1))-AVERAGE(OFFSET($H$3,0,0,'Données projet'!$E$12+1,1))</f>
        <v>312.53381881960331</v>
      </c>
      <c r="CE76" s="60">
        <f t="shared" si="94"/>
        <v>342.06887933351783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242.95439999999994</v>
      </c>
      <c r="CV76" s="14">
        <f t="shared" si="95"/>
        <v>59.074730698078945</v>
      </c>
      <c r="CW76" s="22">
        <f t="shared" si="67"/>
        <v>526.034069299154</v>
      </c>
      <c r="CX76" s="60">
        <f t="shared" si="68"/>
        <v>819.36740263248726</v>
      </c>
      <c r="CY76" s="60">
        <f ca="1">AVERAGE(OFFSET($CX$3,0,0,'Données projet'!$E$13+1,1))-AVERAGE(OFFSET($H$3,0,0,'Données projet'!$E$13+1,1))</f>
        <v>475.47920969424894</v>
      </c>
      <c r="CZ76" s="60">
        <f t="shared" si="96"/>
        <v>271.73544012419364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>
        <f>VLOOKUP(A76,'Données projet'!$A$165:$I$185,2,0)</f>
        <v>358.1307692307692</v>
      </c>
      <c r="DM76" s="13">
        <f>VLOOKUP(A76,'Données projet'!$A$165:$I$185,9,0)</f>
        <v>10.457692307692307</v>
      </c>
      <c r="DN76" s="13">
        <f t="array" ref="DN76">INDEX(DM:DM,MIN(IF(ISNUMBER(DM76:DM272),ROW(DM76:DM272),"")))</f>
        <v>10.457692307692307</v>
      </c>
      <c r="DO76" s="13">
        <f>IF('Données projet'!$A$166&gt;35,DO75+DN76-DW75,IF(A76&lt;'Données projet'!$A$166,$DL$205^A76,IF(A76='Données projet'!$A$166,'Données projet'!$B$166,DO75+DN76-DW75)))</f>
        <v>358.13076923076926</v>
      </c>
      <c r="DP76" s="18">
        <f>DO76*VLOOKUP('Données projet'!$B$14,Paramètres!$A$1:$I$89,3,0)*VLOOKUP('Données projet'!$B$14,Paramètres!$A$1:$I$89,5,0)</f>
        <v>167.6052</v>
      </c>
      <c r="DQ76" s="14">
        <f t="shared" si="97"/>
        <v>42.553225987206737</v>
      </c>
      <c r="DR76" s="22">
        <f t="shared" si="70"/>
        <v>366.02592526105173</v>
      </c>
      <c r="DS76" s="60">
        <f t="shared" si="71"/>
        <v>659.35925859438498</v>
      </c>
      <c r="DT76" s="60">
        <f ca="1">AVERAGE(OFFSET($DS$3,0,0,'Données projet'!$E$14+1,1))-AVERAGE(OFFSET($H$3,0,0,'Données projet'!$E$14+1,1))</f>
        <v>284.71577701131588</v>
      </c>
      <c r="DU76" s="60">
        <f t="shared" si="98"/>
        <v>190.4880882944471</v>
      </c>
      <c r="DV76" s="16">
        <f>IF(ISNA(VLOOKUP(A76,'Données projet'!$A$165:$I$185,3,0)),0,VLOOKUP(A76,'Données projet'!$A$165:$I$185,3,0))</f>
        <v>3</v>
      </c>
      <c r="DW76" s="16">
        <f>IF(ISNA(VLOOKUP(A76,'Données projet'!$A$165:$I$185,4,0)),0,VLOOKUP(A76,'Données projet'!$A$165:$I$185,4,0))</f>
        <v>93.584615384615375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3.4</v>
      </c>
      <c r="EJ76" s="13">
        <f>IF('Données projet'!$A$192&gt;35,EJ75+EI76-ER75,IF(A76&lt;'Données projet'!$A$192,$EG$205^A76,IF(A76='Données projet'!$A$192,'Données projet'!$B$192,EJ75+EI76-ER75)))</f>
        <v>263.19999999999987</v>
      </c>
      <c r="EK76" s="18">
        <f>EJ76*VLOOKUP('Données projet'!$B$15,Paramètres!$A$1:$I$89,3,0)*VLOOKUP('Données projet'!$B$15,Paramètres!$A$1:$I$89,5,0)</f>
        <v>192.97823999999991</v>
      </c>
      <c r="EL76" s="14">
        <f t="shared" si="99"/>
        <v>48.197802215761044</v>
      </c>
      <c r="EM76" s="22">
        <f t="shared" si="73"/>
        <v>420.0482735257836</v>
      </c>
      <c r="EN76" s="60">
        <f t="shared" si="74"/>
        <v>713.38160685911691</v>
      </c>
      <c r="EO76" s="60">
        <f ca="1">AVERAGE(OFFSET($EN$3,0,0,'Données projet'!$E$15+1,1))-AVERAGE(OFFSET($H$3,0,0,'Données projet'!$E$15+1,1))</f>
        <v>290.85271051443431</v>
      </c>
      <c r="EP76" s="60">
        <f t="shared" si="100"/>
        <v>318.66958823451142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0">
        <f t="shared" si="55"/>
        <v>775.83768133226158</v>
      </c>
      <c r="S77" s="60">
        <f ca="1">AVERAGE(OFFSET($R$3,0,0,'Données projet'!$E$9+1,1))-AVERAGE(OFFSET($H$3,0,0,'Données projet'!$E$9+1,1))</f>
        <v>428.8489304403459</v>
      </c>
      <c r="T77" s="60">
        <f t="shared" si="88"/>
        <v>247.01165577562966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2.2737367544323206E-13</v>
      </c>
      <c r="AJ77" s="14">
        <f>AI77*VLOOKUP('Données projet'!$B$10,Paramètres!$A$1:$I$89,3,0)*VLOOKUP('Données projet'!$B$10,Paramètres!$A$1:$I$89,5,0)</f>
        <v>1.2710188457276673E-13</v>
      </c>
      <c r="AK77" s="14">
        <f t="shared" si="89"/>
        <v>1.856866851063998E-12</v>
      </c>
      <c r="AL77" s="22">
        <f t="shared" si="58"/>
        <v>3.4554122145673649E-12</v>
      </c>
      <c r="AM77" s="60">
        <f t="shared" si="59"/>
        <v>293.33333333333678</v>
      </c>
      <c r="AN77" s="60">
        <f ca="1">AVERAGE(OFFSET($AM$3,0,0,'Données projet'!$E$10+1,1))-AVERAGE(OFFSET($H$3,0,0,'Données projet'!$E$10+1,1))</f>
        <v>323.98185264074681</v>
      </c>
      <c r="AO77" s="60">
        <f t="shared" si="90"/>
        <v>301.22207291854005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1.8669087948118592</v>
      </c>
      <c r="AV77" s="23">
        <f>EXP(-LN(2)/25)*AV76+(1-EXP(-LN(2)/25))/(LN(2)/25)*Calculateur!AQ77*Calculateur!AS77*VLOOKUP('Données projet'!$B$10,Paramètres!$A$1:$I$89,3,0)*0.475*44/12</f>
        <v>2.4350000881819849</v>
      </c>
      <c r="AW77" s="23">
        <f>EXP(-LN(2)/2)*AW76+(1-EXP(-LN(2)/2))/(LN(2)/2)*AQ77*AT77*VLOOKUP('Données projet'!$B$10,Paramètres!$A$1:$I$89,3,0)*0.475*44/12</f>
        <v>1.4514463376088192E-6</v>
      </c>
      <c r="AX77" s="23">
        <f t="shared" si="60"/>
        <v>4.3019103344401817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7.5584615384615343</v>
      </c>
      <c r="BD77" s="13">
        <f>IF('Données projet'!$A$88&gt;35,BD76+BC77-BL76,IF(A77&lt;'Données projet'!$A$88,$BA$205^A77,IF(A77='Données projet'!$A$88,'Données projet'!$B$88,BD76+BC77-BL76)))</f>
        <v>357.55692307692283</v>
      </c>
      <c r="BE77" s="14">
        <f>BD77*VLOOKUP('Données projet'!$B$11,Paramètres!$A$1:$I$89,3,0)*VLOOKUP('Données projet'!$B$11,Paramètres!$A$1:$I$89,5,0)</f>
        <v>213.81903999999986</v>
      </c>
      <c r="BF77" s="14">
        <f t="shared" si="91"/>
        <v>52.769264634128973</v>
      </c>
      <c r="BG77" s="22">
        <f t="shared" si="61"/>
        <v>464.30796390444101</v>
      </c>
      <c r="BH77" s="60">
        <f t="shared" si="62"/>
        <v>757.64129723777432</v>
      </c>
      <c r="BI77" s="60">
        <f ca="1">AVERAGE(OFFSET($BH$3,0,0,'Données projet'!$E$11+1,1))-AVERAGE(OFFSET($H$3,0,0,'Données projet'!$E$11+1,1))</f>
        <v>289.12367833861299</v>
      </c>
      <c r="BJ77" s="60">
        <f t="shared" si="92"/>
        <v>229.06617320689003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9.8868252707134473E-7</v>
      </c>
      <c r="BS77" s="24">
        <f t="shared" si="63"/>
        <v>9.8868252707134473E-7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</v>
      </c>
      <c r="BY77" s="13">
        <f>IF('Données projet'!$A$114&gt;35,BY76+BX77-CG76,IF(A77&lt;'Données projet'!$A$114,$BV$205^A77,IF(A77='Données projet'!$A$114,'Données projet'!$B$114,BY76+BX77-CG76)))</f>
        <v>266.59999999999985</v>
      </c>
      <c r="BZ77" s="14">
        <f>BY77*VLOOKUP('Données projet'!$B$12,Paramètres!$A$1:$I$89,3,0)*VLOOKUP('Données projet'!$B$12,Paramètres!$A$1:$I$89,5,0)</f>
        <v>212.10695999999987</v>
      </c>
      <c r="CA77" s="14">
        <f t="shared" si="93"/>
        <v>52.395741612408194</v>
      </c>
      <c r="CB77" s="22">
        <f t="shared" si="64"/>
        <v>460.67553864161073</v>
      </c>
      <c r="CC77" s="60">
        <f t="shared" si="65"/>
        <v>754.00887197494399</v>
      </c>
      <c r="CD77" s="60">
        <f ca="1">AVERAGE(OFFSET($CC$3,0,0,'Données projet'!$E$12+1,1))-AVERAGE(OFFSET($H$3,0,0,'Données projet'!$E$12+1,1))</f>
        <v>312.53381881960331</v>
      </c>
      <c r="CE77" s="60">
        <f t="shared" si="94"/>
        <v>342.06887933351783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249.24119999999988</v>
      </c>
      <c r="CV77" s="14">
        <f t="shared" si="95"/>
        <v>60.42342651744687</v>
      </c>
      <c r="CW77" s="22">
        <f t="shared" si="67"/>
        <v>539.3325578512198</v>
      </c>
      <c r="CX77" s="60">
        <f t="shared" si="68"/>
        <v>832.66589118455317</v>
      </c>
      <c r="CY77" s="60">
        <f ca="1">AVERAGE(OFFSET($CX$3,0,0,'Données projet'!$E$13+1,1))-AVERAGE(OFFSET($H$3,0,0,'Données projet'!$E$13+1,1))</f>
        <v>475.47920969424894</v>
      </c>
      <c r="CZ77" s="60">
        <f t="shared" si="96"/>
        <v>271.73544012419364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9.4346153846153786</v>
      </c>
      <c r="DO77" s="13">
        <f>IF('Données projet'!$A$166&gt;35,DO76+DN77-DW76,IF(A77&lt;'Données projet'!$A$166,$DL$205^A77,IF(A77='Données projet'!$A$166,'Données projet'!$B$166,DO76+DN77-DW76)))</f>
        <v>273.98076923076928</v>
      </c>
      <c r="DP77" s="18">
        <f>DO77*VLOOKUP('Données projet'!$B$14,Paramètres!$A$1:$I$89,3,0)*VLOOKUP('Données projet'!$B$14,Paramètres!$A$1:$I$89,5,0)</f>
        <v>128.22300000000004</v>
      </c>
      <c r="DQ77" s="14">
        <f t="shared" si="97"/>
        <v>33.585418470094481</v>
      </c>
      <c r="DR77" s="22">
        <f t="shared" si="70"/>
        <v>281.81632883541465</v>
      </c>
      <c r="DS77" s="60">
        <f t="shared" si="71"/>
        <v>575.14966216874791</v>
      </c>
      <c r="DT77" s="60">
        <f ca="1">AVERAGE(OFFSET($DS$3,0,0,'Données projet'!$E$14+1,1))-AVERAGE(OFFSET($H$3,0,0,'Données projet'!$E$14+1,1))</f>
        <v>284.71577701131588</v>
      </c>
      <c r="DU77" s="60">
        <f t="shared" si="98"/>
        <v>190.4880882944471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3.4</v>
      </c>
      <c r="EJ77" s="13">
        <f>IF('Données projet'!$A$192&gt;35,EJ76+EI77-ER76,IF(A77&lt;'Données projet'!$A$192,$EG$205^A77,IF(A77='Données projet'!$A$192,'Données projet'!$B$192,EJ76+EI77-ER76)))</f>
        <v>266.59999999999985</v>
      </c>
      <c r="EK77" s="18">
        <f>EJ77*VLOOKUP('Données projet'!$B$15,Paramètres!$A$1:$I$89,3,0)*VLOOKUP('Données projet'!$B$15,Paramètres!$A$1:$I$89,5,0)</f>
        <v>195.47111999999987</v>
      </c>
      <c r="EL77" s="14">
        <f t="shared" si="99"/>
        <v>48.747534064963503</v>
      </c>
      <c r="EM77" s="22">
        <f t="shared" si="73"/>
        <v>425.34748916314453</v>
      </c>
      <c r="EN77" s="60">
        <f t="shared" si="74"/>
        <v>718.68082249647784</v>
      </c>
      <c r="EO77" s="60">
        <f ca="1">AVERAGE(OFFSET($EN$3,0,0,'Données projet'!$E$15+1,1))-AVERAGE(OFFSET($H$3,0,0,'Données projet'!$E$15+1,1))</f>
        <v>290.85271051443431</v>
      </c>
      <c r="EP77" s="60">
        <f t="shared" si="100"/>
        <v>318.66958823451142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0">
        <f t="shared" si="55"/>
        <v>787.72578207012918</v>
      </c>
      <c r="S78" s="60">
        <f ca="1">AVERAGE(OFFSET($R$3,0,0,'Données projet'!$E$9+1,1))-AVERAGE(OFFSET($H$3,0,0,'Données projet'!$E$9+1,1))</f>
        <v>428.8489304403459</v>
      </c>
      <c r="T78" s="60">
        <f t="shared" si="88"/>
        <v>247.01165577562966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2.2737367544323206E-13</v>
      </c>
      <c r="AJ78" s="14">
        <f>AI78*VLOOKUP('Données projet'!$B$10,Paramètres!$A$1:$I$89,3,0)*VLOOKUP('Données projet'!$B$10,Paramètres!$A$1:$I$89,5,0)</f>
        <v>1.2710188457276673E-13</v>
      </c>
      <c r="AK78" s="14">
        <f t="shared" si="89"/>
        <v>1.856866851063998E-12</v>
      </c>
      <c r="AL78" s="22">
        <f t="shared" si="58"/>
        <v>3.4554122145673649E-12</v>
      </c>
      <c r="AM78" s="60">
        <f t="shared" si="59"/>
        <v>293.33333333333678</v>
      </c>
      <c r="AN78" s="60">
        <f ca="1">AVERAGE(OFFSET($AM$3,0,0,'Données projet'!$E$10+1,1))-AVERAGE(OFFSET($H$3,0,0,'Données projet'!$E$10+1,1))</f>
        <v>323.98185264074681</v>
      </c>
      <c r="AO78" s="60">
        <f t="shared" si="90"/>
        <v>301.22207291854005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1.830299852047526</v>
      </c>
      <c r="AV78" s="23">
        <f>EXP(-LN(2)/25)*AV77+(1-EXP(-LN(2)/25))/(LN(2)/25)*Calculateur!AQ78*Calculateur!AS78*VLOOKUP('Données projet'!$B$10,Paramètres!$A$1:$I$89,3,0)*0.475*44/12</f>
        <v>2.3684148827195592</v>
      </c>
      <c r="AW78" s="23">
        <f>EXP(-LN(2)/2)*AW77+(1-EXP(-LN(2)/2))/(LN(2)/2)*AQ78*AT78*VLOOKUP('Données projet'!$B$10,Paramètres!$A$1:$I$89,3,0)*0.475*44/12</f>
        <v>1.0263275478515751E-6</v>
      </c>
      <c r="AX78" s="23">
        <f t="shared" si="60"/>
        <v>4.1987157610946335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7.5584615384615343</v>
      </c>
      <c r="BD78" s="13">
        <f>IF('Données projet'!$A$88&gt;35,BD77+BC78-BL77,IF(A78&lt;'Données projet'!$A$88,$BA$205^A78,IF(A78='Données projet'!$A$88,'Données projet'!$B$88,BD77+BC78-BL77)))</f>
        <v>365.11538461538436</v>
      </c>
      <c r="BE78" s="14">
        <f>BD78*VLOOKUP('Données projet'!$B$11,Paramètres!$A$1:$I$89,3,0)*VLOOKUP('Données projet'!$B$11,Paramètres!$A$1:$I$89,5,0)</f>
        <v>218.33899999999988</v>
      </c>
      <c r="BF78" s="14">
        <f t="shared" si="91"/>
        <v>53.753716498326504</v>
      </c>
      <c r="BG78" s="22">
        <f t="shared" si="61"/>
        <v>473.8948145679185</v>
      </c>
      <c r="BH78" s="60">
        <f t="shared" si="62"/>
        <v>767.22814790125176</v>
      </c>
      <c r="BI78" s="60">
        <f ca="1">AVERAGE(OFFSET($BH$3,0,0,'Données projet'!$E$11+1,1))-AVERAGE(OFFSET($H$3,0,0,'Données projet'!$E$11+1,1))</f>
        <v>289.12367833861299</v>
      </c>
      <c r="BJ78" s="60">
        <f t="shared" si="92"/>
        <v>229.06617320689003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6.9910411933280022E-7</v>
      </c>
      <c r="BS78" s="24">
        <f t="shared" si="63"/>
        <v>6.9910411933280022E-7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270</v>
      </c>
      <c r="BW78" s="13">
        <f>VLOOKUP(A78,'Données projet'!$A$113:$I$133,9,0)</f>
        <v>3.4</v>
      </c>
      <c r="BX78" s="13">
        <f t="array" ref="BX78">INDEX(BW:BW,MIN(IF(ISNUMBER(BW78:BW274),ROW(BW78:BW274),"")))</f>
        <v>3.4</v>
      </c>
      <c r="BY78" s="13">
        <f>IF('Données projet'!$A$114&gt;35,BY77+BX78-CG77,IF(A78&lt;'Données projet'!$A$114,$BV$205^A78,IF(A78='Données projet'!$A$114,'Données projet'!$B$114,BY77+BX78-CG77)))</f>
        <v>269.99999999999983</v>
      </c>
      <c r="BZ78" s="14">
        <f>BY78*VLOOKUP('Données projet'!$B$12,Paramètres!$A$1:$I$89,3,0)*VLOOKUP('Données projet'!$B$12,Paramètres!$A$1:$I$89,5,0)</f>
        <v>214.81199999999987</v>
      </c>
      <c r="CA78" s="14">
        <f t="shared" si="93"/>
        <v>52.985738231738011</v>
      </c>
      <c r="CB78" s="22">
        <f t="shared" si="64"/>
        <v>466.41439408694345</v>
      </c>
      <c r="CC78" s="60">
        <f t="shared" si="65"/>
        <v>759.74772742027676</v>
      </c>
      <c r="CD78" s="60">
        <f ca="1">AVERAGE(OFFSET($CC$3,0,0,'Données projet'!$E$12+1,1))-AVERAGE(OFFSET($H$3,0,0,'Données projet'!$E$12+1,1))</f>
        <v>312.53381881960331</v>
      </c>
      <c r="CE78" s="60">
        <f t="shared" si="94"/>
        <v>342.06887933351783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255.52799999999991</v>
      </c>
      <c r="CV78" s="14">
        <f t="shared" si="95"/>
        <v>61.768167868721477</v>
      </c>
      <c r="CW78" s="22">
        <f t="shared" si="67"/>
        <v>552.62415903802309</v>
      </c>
      <c r="CX78" s="60">
        <f t="shared" si="68"/>
        <v>845.95749237135647</v>
      </c>
      <c r="CY78" s="60">
        <f ca="1">AVERAGE(OFFSET($CX$3,0,0,'Données projet'!$E$13+1,1))-AVERAGE(OFFSET($H$3,0,0,'Données projet'!$E$13+1,1))</f>
        <v>475.47920969424894</v>
      </c>
      <c r="CZ78" s="60">
        <f t="shared" si="96"/>
        <v>271.73544012419364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9.4346153846153786</v>
      </c>
      <c r="DO78" s="13">
        <f>IF('Données projet'!$A$166&gt;35,DO77+DN78-DW77,IF(A78&lt;'Données projet'!$A$166,$DL$205^A78,IF(A78='Données projet'!$A$166,'Données projet'!$B$166,DO77+DN78-DW77)))</f>
        <v>283.41538461538465</v>
      </c>
      <c r="DP78" s="18">
        <f>DO78*VLOOKUP('Données projet'!$B$14,Paramètres!$A$1:$I$89,3,0)*VLOOKUP('Données projet'!$B$14,Paramètres!$A$1:$I$89,5,0)</f>
        <v>132.63840000000002</v>
      </c>
      <c r="DQ78" s="14">
        <f t="shared" si="97"/>
        <v>34.60530136679548</v>
      </c>
      <c r="DR78" s="22">
        <f t="shared" si="70"/>
        <v>291.28277988050218</v>
      </c>
      <c r="DS78" s="60">
        <f t="shared" si="71"/>
        <v>584.61611321383543</v>
      </c>
      <c r="DT78" s="60">
        <f ca="1">AVERAGE(OFFSET($DS$3,0,0,'Données projet'!$E$14+1,1))-AVERAGE(OFFSET($H$3,0,0,'Données projet'!$E$14+1,1))</f>
        <v>284.71577701131588</v>
      </c>
      <c r="DU78" s="60">
        <f t="shared" si="98"/>
        <v>190.4880882944471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270</v>
      </c>
      <c r="EH78" s="13">
        <f>VLOOKUP(A78,'Données projet'!$A$191:$I$211,9,0)</f>
        <v>3.4</v>
      </c>
      <c r="EI78" s="13">
        <f t="array" ref="EI78">INDEX(EH:EH,MIN(IF(ISNUMBER(EH78:EH274),ROW(EH78:EH274),"")))</f>
        <v>3.4</v>
      </c>
      <c r="EJ78" s="13">
        <f>IF('Données projet'!$A$192&gt;35,EJ77+EI78-ER77,IF(A78&lt;'Données projet'!$A$192,$EG$205^A78,IF(A78='Données projet'!$A$192,'Données projet'!$B$192,EJ77+EI78-ER77)))</f>
        <v>269.99999999999983</v>
      </c>
      <c r="EK78" s="18">
        <f>EJ78*VLOOKUP('Données projet'!$B$15,Paramètres!$A$1:$I$89,3,0)*VLOOKUP('Données projet'!$B$15,Paramètres!$A$1:$I$89,5,0)</f>
        <v>197.96399999999986</v>
      </c>
      <c r="EL78" s="14">
        <f t="shared" si="99"/>
        <v>49.296450435147719</v>
      </c>
      <c r="EM78" s="22">
        <f t="shared" si="73"/>
        <v>430.64528450788202</v>
      </c>
      <c r="EN78" s="60">
        <f t="shared" si="74"/>
        <v>723.97861784121528</v>
      </c>
      <c r="EO78" s="60">
        <f ca="1">AVERAGE(OFFSET($EN$3,0,0,'Données projet'!$E$15+1,1))-AVERAGE(OFFSET($H$3,0,0,'Données projet'!$E$15+1,1))</f>
        <v>290.85271051443431</v>
      </c>
      <c r="EP78" s="60">
        <f t="shared" si="100"/>
        <v>318.66958823451142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0">
        <f t="shared" si="55"/>
        <v>799.22462707153909</v>
      </c>
      <c r="S79" s="60">
        <f ca="1">AVERAGE(OFFSET($R$3,0,0,'Données projet'!$E$9+1,1))-AVERAGE(OFFSET($H$3,0,0,'Données projet'!$E$9+1,1))</f>
        <v>428.8489304403459</v>
      </c>
      <c r="T79" s="60">
        <f t="shared" si="88"/>
        <v>247.01165577562966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2.2737367544323206E-13</v>
      </c>
      <c r="AJ79" s="14">
        <f>AI79*VLOOKUP('Données projet'!$B$10,Paramètres!$A$1:$I$89,3,0)*VLOOKUP('Données projet'!$B$10,Paramètres!$A$1:$I$89,5,0)</f>
        <v>1.2710188457276673E-13</v>
      </c>
      <c r="AK79" s="14">
        <f t="shared" si="89"/>
        <v>1.856866851063998E-12</v>
      </c>
      <c r="AL79" s="22">
        <f t="shared" si="58"/>
        <v>3.4554122145673649E-12</v>
      </c>
      <c r="AM79" s="60">
        <f t="shared" si="59"/>
        <v>293.33333333333678</v>
      </c>
      <c r="AN79" s="60">
        <f ca="1">AVERAGE(OFFSET($AM$3,0,0,'Données projet'!$E$10+1,1))-AVERAGE(OFFSET($H$3,0,0,'Données projet'!$E$10+1,1))</f>
        <v>323.98185264074681</v>
      </c>
      <c r="AO79" s="60">
        <f t="shared" si="90"/>
        <v>301.22207291854005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1.7944087883215512</v>
      </c>
      <c r="AV79" s="23">
        <f>EXP(-LN(2)/25)*AV78+(1-EXP(-LN(2)/25))/(LN(2)/25)*Calculateur!AQ79*Calculateur!AS79*VLOOKUP('Données projet'!$B$10,Paramètres!$A$1:$I$89,3,0)*0.475*44/12</f>
        <v>2.3036504532020672</v>
      </c>
      <c r="AW79" s="23">
        <f>EXP(-LN(2)/2)*AW78+(1-EXP(-LN(2)/2))/(LN(2)/2)*AQ79*AT79*VLOOKUP('Données projet'!$B$10,Paramètres!$A$1:$I$89,3,0)*0.475*44/12</f>
        <v>7.2572316880440958E-7</v>
      </c>
      <c r="AX79" s="23">
        <f t="shared" si="60"/>
        <v>4.0980599672467868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7.5584615384615343</v>
      </c>
      <c r="BD79" s="13">
        <f>IF('Données projet'!$A$88&gt;35,BD78+BC79-BL78,IF(A79&lt;'Données projet'!$A$88,$BA$205^A79,IF(A79='Données projet'!$A$88,'Données projet'!$B$88,BD78+BC79-BL78)))</f>
        <v>372.67384615384589</v>
      </c>
      <c r="BE79" s="14">
        <f>BD79*VLOOKUP('Données projet'!$B$11,Paramètres!$A$1:$I$89,3,0)*VLOOKUP('Données projet'!$B$11,Paramètres!$A$1:$I$89,5,0)</f>
        <v>222.85895999999985</v>
      </c>
      <c r="BF79" s="14">
        <f t="shared" si="91"/>
        <v>54.735798842493168</v>
      </c>
      <c r="BG79" s="22">
        <f t="shared" si="61"/>
        <v>483.47753831734195</v>
      </c>
      <c r="BH79" s="60">
        <f t="shared" si="62"/>
        <v>776.81087165067527</v>
      </c>
      <c r="BI79" s="60">
        <f ca="1">AVERAGE(OFFSET($BH$3,0,0,'Données projet'!$E$11+1,1))-AVERAGE(OFFSET($H$3,0,0,'Données projet'!$E$11+1,1))</f>
        <v>289.12367833861299</v>
      </c>
      <c r="BJ79" s="60">
        <f t="shared" si="92"/>
        <v>229.06617320689003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4.9434126353567236E-7</v>
      </c>
      <c r="BS79" s="24">
        <f t="shared" si="63"/>
        <v>4.9434126353567236E-7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</v>
      </c>
      <c r="BY79" s="13">
        <f>IF('Données projet'!$A$114&gt;35,BY78+BX79-CG78,IF(A79&lt;'Données projet'!$A$114,$BV$205^A79,IF(A79='Données projet'!$A$114,'Données projet'!$B$114,BY78+BX79-CG78)))</f>
        <v>272.99999999999983</v>
      </c>
      <c r="BZ79" s="14">
        <f>BY79*VLOOKUP('Données projet'!$B$12,Paramètres!$A$1:$I$89,3,0)*VLOOKUP('Données projet'!$B$12,Paramètres!$A$1:$I$89,5,0)</f>
        <v>217.19879999999986</v>
      </c>
      <c r="CA79" s="14">
        <f t="shared" si="93"/>
        <v>53.505605420483995</v>
      </c>
      <c r="CB79" s="22">
        <f t="shared" si="64"/>
        <v>471.47683944067597</v>
      </c>
      <c r="CC79" s="60">
        <f t="shared" si="65"/>
        <v>764.81017277400929</v>
      </c>
      <c r="CD79" s="60">
        <f ca="1">AVERAGE(OFFSET($CC$3,0,0,'Données projet'!$E$12+1,1))-AVERAGE(OFFSET($H$3,0,0,'Données projet'!$E$12+1,1))</f>
        <v>312.53381881960331</v>
      </c>
      <c r="CE79" s="60">
        <f t="shared" si="94"/>
        <v>342.06887933351783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261.61199999999991</v>
      </c>
      <c r="CV79" s="14">
        <f t="shared" si="95"/>
        <v>63.065867509496442</v>
      </c>
      <c r="CW79" s="22">
        <f t="shared" si="67"/>
        <v>565.48061924570618</v>
      </c>
      <c r="CX79" s="60">
        <f t="shared" si="68"/>
        <v>858.81395257903955</v>
      </c>
      <c r="CY79" s="60">
        <f ca="1">AVERAGE(OFFSET($CX$3,0,0,'Données projet'!$E$13+1,1))-AVERAGE(OFFSET($H$3,0,0,'Données projet'!$E$13+1,1))</f>
        <v>475.47920969424894</v>
      </c>
      <c r="CZ79" s="60">
        <f t="shared" si="96"/>
        <v>271.73544012419364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9.4346153846153786</v>
      </c>
      <c r="DO79" s="13">
        <f>IF('Données projet'!$A$166&gt;35,DO78+DN79-DW78,IF(A79&lt;'Données projet'!$A$166,$DL$205^A79,IF(A79='Données projet'!$A$166,'Données projet'!$B$166,DO78+DN79-DW78)))</f>
        <v>292.85000000000002</v>
      </c>
      <c r="DP79" s="18">
        <f>DO79*VLOOKUP('Données projet'!$B$14,Paramètres!$A$1:$I$89,3,0)*VLOOKUP('Données projet'!$B$14,Paramètres!$A$1:$I$89,5,0)</f>
        <v>137.0538</v>
      </c>
      <c r="DQ79" s="14">
        <f t="shared" si="97"/>
        <v>35.621239257433281</v>
      </c>
      <c r="DR79" s="22">
        <f t="shared" si="70"/>
        <v>300.74236004002955</v>
      </c>
      <c r="DS79" s="60">
        <f t="shared" si="71"/>
        <v>594.07569337336281</v>
      </c>
      <c r="DT79" s="60">
        <f ca="1">AVERAGE(OFFSET($DS$3,0,0,'Données projet'!$E$14+1,1))-AVERAGE(OFFSET($H$3,0,0,'Données projet'!$E$14+1,1))</f>
        <v>284.71577701131588</v>
      </c>
      <c r="DU79" s="60">
        <f t="shared" si="98"/>
        <v>190.4880882944471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</v>
      </c>
      <c r="EJ79" s="13">
        <f>IF('Données projet'!$A$192&gt;35,EJ78+EI79-ER78,IF(A79&lt;'Données projet'!$A$192,$EG$205^A79,IF(A79='Données projet'!$A$192,'Données projet'!$B$192,EJ78+EI79-ER78)))</f>
        <v>272.99999999999983</v>
      </c>
      <c r="EK79" s="18">
        <f>EJ79*VLOOKUP('Données projet'!$B$15,Paramètres!$A$1:$I$89,3,0)*VLOOKUP('Données projet'!$B$15,Paramètres!$A$1:$I$89,5,0)</f>
        <v>200.16359999999989</v>
      </c>
      <c r="EL79" s="14">
        <f t="shared" si="99"/>
        <v>49.78012034252523</v>
      </c>
      <c r="EM79" s="22">
        <f t="shared" si="73"/>
        <v>435.31864626323119</v>
      </c>
      <c r="EN79" s="60">
        <f t="shared" si="74"/>
        <v>728.6519795965645</v>
      </c>
      <c r="EO79" s="60">
        <f ca="1">AVERAGE(OFFSET($EN$3,0,0,'Données projet'!$E$15+1,1))-AVERAGE(OFFSET($H$3,0,0,'Données projet'!$E$15+1,1))</f>
        <v>290.85271051443431</v>
      </c>
      <c r="EP79" s="60">
        <f t="shared" si="100"/>
        <v>318.66958823451142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0">
        <f t="shared" si="55"/>
        <v>810.71794681982283</v>
      </c>
      <c r="S80" s="60">
        <f ca="1">AVERAGE(OFFSET($R$3,0,0,'Données projet'!$E$9+1,1))-AVERAGE(OFFSET($H$3,0,0,'Données projet'!$E$9+1,1))</f>
        <v>428.8489304403459</v>
      </c>
      <c r="T80" s="60">
        <f t="shared" si="88"/>
        <v>247.01165577562966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2.2737367544323206E-13</v>
      </c>
      <c r="AJ80" s="14">
        <f>AI80*VLOOKUP('Données projet'!$B$10,Paramètres!$A$1:$I$89,3,0)*VLOOKUP('Données projet'!$B$10,Paramètres!$A$1:$I$89,5,0)</f>
        <v>1.2710188457276673E-13</v>
      </c>
      <c r="AK80" s="14">
        <f t="shared" si="89"/>
        <v>1.856866851063998E-12</v>
      </c>
      <c r="AL80" s="22">
        <f t="shared" si="58"/>
        <v>3.4554122145673649E-12</v>
      </c>
      <c r="AM80" s="60">
        <f t="shared" si="59"/>
        <v>293.33333333333678</v>
      </c>
      <c r="AN80" s="60">
        <f ca="1">AVERAGE(OFFSET($AM$3,0,0,'Données projet'!$E$10+1,1))-AVERAGE(OFFSET($H$3,0,0,'Données projet'!$E$10+1,1))</f>
        <v>323.98185264074681</v>
      </c>
      <c r="AO80" s="60">
        <f t="shared" si="90"/>
        <v>301.22207291854005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1.7592215264638553</v>
      </c>
      <c r="AV80" s="23">
        <f>EXP(-LN(2)/25)*AV79+(1-EXP(-LN(2)/25))/(LN(2)/25)*Calculateur!AQ80*Calculateur!AS80*VLOOKUP('Données projet'!$B$10,Paramètres!$A$1:$I$89,3,0)*0.475*44/12</f>
        <v>2.2406570104155445</v>
      </c>
      <c r="AW80" s="23">
        <f>EXP(-LN(2)/2)*AW79+(1-EXP(-LN(2)/2))/(LN(2)/2)*AQ80*AT80*VLOOKUP('Données projet'!$B$10,Paramètres!$A$1:$I$89,3,0)*0.475*44/12</f>
        <v>5.1316377392578753E-7</v>
      </c>
      <c r="AX80" s="23">
        <f t="shared" si="60"/>
        <v>3.999879050043174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7.5584615384615343</v>
      </c>
      <c r="BD80" s="13">
        <f>IF('Données projet'!$A$88&gt;35,BD79+BC80-BL79,IF(A80&lt;'Données projet'!$A$88,$BA$205^A80,IF(A80='Données projet'!$A$88,'Données projet'!$B$88,BD79+BC80-BL79)))</f>
        <v>380.23230769230742</v>
      </c>
      <c r="BE80" s="14">
        <f>BD80*VLOOKUP('Données projet'!$B$11,Paramètres!$A$1:$I$89,3,0)*VLOOKUP('Données projet'!$B$11,Paramètres!$A$1:$I$89,5,0)</f>
        <v>227.37891999999985</v>
      </c>
      <c r="BF80" s="14">
        <f t="shared" si="91"/>
        <v>55.715565262615499</v>
      </c>
      <c r="BG80" s="22">
        <f t="shared" si="61"/>
        <v>493.05622849905507</v>
      </c>
      <c r="BH80" s="60">
        <f t="shared" si="62"/>
        <v>786.38956183238838</v>
      </c>
      <c r="BI80" s="60">
        <f ca="1">AVERAGE(OFFSET($BH$3,0,0,'Données projet'!$E$11+1,1))-AVERAGE(OFFSET($H$3,0,0,'Données projet'!$E$11+1,1))</f>
        <v>289.12367833861299</v>
      </c>
      <c r="BJ80" s="60">
        <f t="shared" si="92"/>
        <v>229.06617320689003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3.4955205966640011E-7</v>
      </c>
      <c r="BS80" s="24">
        <f t="shared" si="63"/>
        <v>3.4955205966640011E-7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</v>
      </c>
      <c r="BY80" s="13">
        <f>IF('Données projet'!$A$114&gt;35,BY79+BX80-CG79,IF(A80&lt;'Données projet'!$A$114,$BV$205^A80,IF(A80='Données projet'!$A$114,'Données projet'!$B$114,BY79+BX80-CG79)))</f>
        <v>275.99999999999983</v>
      </c>
      <c r="BZ80" s="14">
        <f>BY80*VLOOKUP('Données projet'!$B$12,Paramètres!$A$1:$I$89,3,0)*VLOOKUP('Données projet'!$B$12,Paramètres!$A$1:$I$89,5,0)</f>
        <v>219.58559999999986</v>
      </c>
      <c r="CA80" s="14">
        <f t="shared" si="93"/>
        <v>54.024808047218499</v>
      </c>
      <c r="CB80" s="22">
        <f t="shared" si="64"/>
        <v>476.53812734890533</v>
      </c>
      <c r="CC80" s="60">
        <f t="shared" si="65"/>
        <v>769.87146068223865</v>
      </c>
      <c r="CD80" s="60">
        <f ca="1">AVERAGE(OFFSET($CC$3,0,0,'Données projet'!$E$12+1,1))-AVERAGE(OFFSET($H$3,0,0,'Données projet'!$E$12+1,1))</f>
        <v>312.53381881960331</v>
      </c>
      <c r="CE80" s="60">
        <f t="shared" si="94"/>
        <v>342.06887933351783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267.69599999999991</v>
      </c>
      <c r="CV80" s="14">
        <f t="shared" si="95"/>
        <v>64.360058723585439</v>
      </c>
      <c r="CW80" s="22">
        <f t="shared" si="67"/>
        <v>578.33096894357777</v>
      </c>
      <c r="CX80" s="60">
        <f t="shared" si="68"/>
        <v>871.66430227691103</v>
      </c>
      <c r="CY80" s="60">
        <f ca="1">AVERAGE(OFFSET($CX$3,0,0,'Données projet'!$E$13+1,1))-AVERAGE(OFFSET($H$3,0,0,'Données projet'!$E$13+1,1))</f>
        <v>475.47920969424894</v>
      </c>
      <c r="CZ80" s="60">
        <f t="shared" si="96"/>
        <v>271.73544012419364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9.4346153846153786</v>
      </c>
      <c r="DO80" s="13">
        <f>IF('Données projet'!$A$166&gt;35,DO79+DN80-DW79,IF(A80&lt;'Données projet'!$A$166,$DL$205^A80,IF(A80='Données projet'!$A$166,'Données projet'!$B$166,DO79+DN80-DW79)))</f>
        <v>302.28461538461539</v>
      </c>
      <c r="DP80" s="18">
        <f>DO80*VLOOKUP('Données projet'!$B$14,Paramètres!$A$1:$I$89,3,0)*VLOOKUP('Données projet'!$B$14,Paramètres!$A$1:$I$89,5,0)</f>
        <v>141.4692</v>
      </c>
      <c r="DQ80" s="14">
        <f t="shared" si="97"/>
        <v>36.633373814313742</v>
      </c>
      <c r="DR80" s="22">
        <f t="shared" si="70"/>
        <v>310.19531605992978</v>
      </c>
      <c r="DS80" s="60">
        <f t="shared" si="71"/>
        <v>603.52864939326309</v>
      </c>
      <c r="DT80" s="60">
        <f ca="1">AVERAGE(OFFSET($DS$3,0,0,'Données projet'!$E$14+1,1))-AVERAGE(OFFSET($H$3,0,0,'Données projet'!$E$14+1,1))</f>
        <v>284.71577701131588</v>
      </c>
      <c r="DU80" s="60">
        <f t="shared" si="98"/>
        <v>190.4880882944471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</v>
      </c>
      <c r="EJ80" s="13">
        <f>IF('Données projet'!$A$192&gt;35,EJ79+EI80-ER79,IF(A80&lt;'Données projet'!$A$192,$EG$205^A80,IF(A80='Données projet'!$A$192,'Données projet'!$B$192,EJ79+EI80-ER79)))</f>
        <v>275.99999999999983</v>
      </c>
      <c r="EK80" s="18">
        <f>EJ80*VLOOKUP('Données projet'!$B$15,Paramètres!$A$1:$I$89,3,0)*VLOOKUP('Données projet'!$B$15,Paramètres!$A$1:$I$89,5,0)</f>
        <v>202.36319999999986</v>
      </c>
      <c r="EL80" s="14">
        <f t="shared" si="99"/>
        <v>50.263171959975132</v>
      </c>
      <c r="EM80" s="22">
        <f t="shared" si="73"/>
        <v>439.99093116362309</v>
      </c>
      <c r="EN80" s="60">
        <f t="shared" si="74"/>
        <v>733.3242644969564</v>
      </c>
      <c r="EO80" s="60">
        <f ca="1">AVERAGE(OFFSET($EN$3,0,0,'Données projet'!$E$15+1,1))-AVERAGE(OFFSET($H$3,0,0,'Données projet'!$E$15+1,1))</f>
        <v>290.85271051443431</v>
      </c>
      <c r="EP80" s="60">
        <f t="shared" si="100"/>
        <v>318.66958823451142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0">
        <f t="shared" si="55"/>
        <v>822.20588134481159</v>
      </c>
      <c r="S81" s="60">
        <f ca="1">AVERAGE(OFFSET($R$3,0,0,'Données projet'!$E$9+1,1))-AVERAGE(OFFSET($H$3,0,0,'Données projet'!$E$9+1,1))</f>
        <v>428.8489304403459</v>
      </c>
      <c r="T81" s="60">
        <f t="shared" si="88"/>
        <v>247.01165577562966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2.2737367544323206E-13</v>
      </c>
      <c r="AJ81" s="14">
        <f>AI81*VLOOKUP('Données projet'!$B$10,Paramètres!$A$1:$I$89,3,0)*VLOOKUP('Données projet'!$B$10,Paramètres!$A$1:$I$89,5,0)</f>
        <v>1.2710188457276673E-13</v>
      </c>
      <c r="AK81" s="14">
        <f t="shared" si="89"/>
        <v>1.856866851063998E-12</v>
      </c>
      <c r="AL81" s="22">
        <f t="shared" si="58"/>
        <v>3.4554122145673649E-12</v>
      </c>
      <c r="AM81" s="60">
        <f t="shared" si="59"/>
        <v>293.33333333333678</v>
      </c>
      <c r="AN81" s="60">
        <f ca="1">AVERAGE(OFFSET($AM$3,0,0,'Données projet'!$E$10+1,1))-AVERAGE(OFFSET($H$3,0,0,'Données projet'!$E$10+1,1))</f>
        <v>323.98185264074681</v>
      </c>
      <c r="AO81" s="60">
        <f t="shared" si="90"/>
        <v>301.22207291854005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1.7247242653490784</v>
      </c>
      <c r="AV81" s="23">
        <f>EXP(-LN(2)/25)*AV80+(1-EXP(-LN(2)/25))/(LN(2)/25)*Calculateur!AQ81*Calculateur!AS81*VLOOKUP('Données projet'!$B$10,Paramètres!$A$1:$I$89,3,0)*0.475*44/12</f>
        <v>2.1793861266347005</v>
      </c>
      <c r="AW81" s="23">
        <f>EXP(-LN(2)/2)*AW80+(1-EXP(-LN(2)/2))/(LN(2)/2)*AQ81*AT81*VLOOKUP('Données projet'!$B$10,Paramètres!$A$1:$I$89,3,0)*0.475*44/12</f>
        <v>3.6286158440220479E-7</v>
      </c>
      <c r="AX81" s="23">
        <f t="shared" si="60"/>
        <v>3.9041107548453633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7.5584615384615343</v>
      </c>
      <c r="BD81" s="13">
        <f>IF('Données projet'!$A$88&gt;35,BD80+BC81-BL80,IF(A81&lt;'Données projet'!$A$88,$BA$205^A81,IF(A81='Données projet'!$A$88,'Données projet'!$B$88,BD80+BC81-BL80)))</f>
        <v>387.79076923076894</v>
      </c>
      <c r="BE81" s="14">
        <f>BD81*VLOOKUP('Données projet'!$B$11,Paramètres!$A$1:$I$89,3,0)*VLOOKUP('Données projet'!$B$11,Paramètres!$A$1:$I$89,5,0)</f>
        <v>231.89887999999985</v>
      </c>
      <c r="BF81" s="14">
        <f t="shared" si="91"/>
        <v>56.693067102008712</v>
      </c>
      <c r="BG81" s="22">
        <f t="shared" si="61"/>
        <v>502.63097453599829</v>
      </c>
      <c r="BH81" s="60">
        <f t="shared" si="62"/>
        <v>795.96430786933161</v>
      </c>
      <c r="BI81" s="60">
        <f ca="1">AVERAGE(OFFSET($BH$3,0,0,'Données projet'!$E$11+1,1))-AVERAGE(OFFSET($H$3,0,0,'Données projet'!$E$11+1,1))</f>
        <v>289.12367833861299</v>
      </c>
      <c r="BJ81" s="60">
        <f t="shared" si="92"/>
        <v>229.06617320689003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2.4717063176783618E-7</v>
      </c>
      <c r="BS81" s="24">
        <f t="shared" si="63"/>
        <v>2.4717063176783618E-7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</v>
      </c>
      <c r="BY81" s="13">
        <f>IF('Données projet'!$A$114&gt;35,BY80+BX81-CG80,IF(A81&lt;'Données projet'!$A$114,$BV$205^A81,IF(A81='Données projet'!$A$114,'Données projet'!$B$114,BY80+BX81-CG80)))</f>
        <v>278.99999999999983</v>
      </c>
      <c r="BZ81" s="14">
        <f>BY81*VLOOKUP('Données projet'!$B$12,Paramètres!$A$1:$I$89,3,0)*VLOOKUP('Données projet'!$B$12,Paramètres!$A$1:$I$89,5,0)</f>
        <v>221.97239999999985</v>
      </c>
      <c r="CA81" s="14">
        <f t="shared" si="93"/>
        <v>54.543354171476771</v>
      </c>
      <c r="CB81" s="22">
        <f t="shared" si="64"/>
        <v>481.59827184865503</v>
      </c>
      <c r="CC81" s="60">
        <f t="shared" si="65"/>
        <v>774.93160518198829</v>
      </c>
      <c r="CD81" s="60">
        <f ca="1">AVERAGE(OFFSET($CC$3,0,0,'Données projet'!$E$12+1,1))-AVERAGE(OFFSET($H$3,0,0,'Données projet'!$E$12+1,1))</f>
        <v>312.53381881960331</v>
      </c>
      <c r="CE81" s="60">
        <f t="shared" si="94"/>
        <v>342.06887933351783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273.77999999999992</v>
      </c>
      <c r="CV81" s="14">
        <f t="shared" si="95"/>
        <v>65.650830427167435</v>
      </c>
      <c r="CW81" s="22">
        <f t="shared" si="67"/>
        <v>591.17536299398307</v>
      </c>
      <c r="CX81" s="60">
        <f t="shared" si="68"/>
        <v>884.50869632731633</v>
      </c>
      <c r="CY81" s="60">
        <f ca="1">AVERAGE(OFFSET($CX$3,0,0,'Données projet'!$E$13+1,1))-AVERAGE(OFFSET($H$3,0,0,'Données projet'!$E$13+1,1))</f>
        <v>475.47920969424894</v>
      </c>
      <c r="CZ81" s="60">
        <f t="shared" si="96"/>
        <v>271.73544012419364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9.4346153846153786</v>
      </c>
      <c r="DO81" s="13">
        <f>IF('Données projet'!$A$166&gt;35,DO80+DN81-DW80,IF(A81&lt;'Données projet'!$A$166,$DL$205^A81,IF(A81='Données projet'!$A$166,'Données projet'!$B$166,DO80+DN81-DW80)))</f>
        <v>311.71923076923076</v>
      </c>
      <c r="DP81" s="18">
        <f>DO81*VLOOKUP('Données projet'!$B$14,Paramètres!$A$1:$I$89,3,0)*VLOOKUP('Données projet'!$B$14,Paramètres!$A$1:$I$89,5,0)</f>
        <v>145.88460000000001</v>
      </c>
      <c r="DQ81" s="14">
        <f t="shared" si="97"/>
        <v>37.641837363948753</v>
      </c>
      <c r="DR81" s="22">
        <f t="shared" si="70"/>
        <v>319.6418784088774</v>
      </c>
      <c r="DS81" s="60">
        <f t="shared" si="71"/>
        <v>612.97521174221072</v>
      </c>
      <c r="DT81" s="60">
        <f ca="1">AVERAGE(OFFSET($DS$3,0,0,'Données projet'!$E$14+1,1))-AVERAGE(OFFSET($H$3,0,0,'Données projet'!$E$14+1,1))</f>
        <v>284.71577701131588</v>
      </c>
      <c r="DU81" s="60">
        <f t="shared" si="98"/>
        <v>190.4880882944471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</v>
      </c>
      <c r="EJ81" s="13">
        <f>IF('Données projet'!$A$192&gt;35,EJ80+EI81-ER80,IF(A81&lt;'Données projet'!$A$192,$EG$205^A81,IF(A81='Données projet'!$A$192,'Données projet'!$B$192,EJ80+EI81-ER80)))</f>
        <v>278.99999999999983</v>
      </c>
      <c r="EK81" s="18">
        <f>EJ81*VLOOKUP('Données projet'!$B$15,Paramètres!$A$1:$I$89,3,0)*VLOOKUP('Données projet'!$B$15,Paramètres!$A$1:$I$89,5,0)</f>
        <v>204.56279999999987</v>
      </c>
      <c r="EL81" s="14">
        <f t="shared" si="99"/>
        <v>50.74561278586372</v>
      </c>
      <c r="EM81" s="22">
        <f t="shared" si="73"/>
        <v>444.66215226871242</v>
      </c>
      <c r="EN81" s="60">
        <f t="shared" si="74"/>
        <v>737.99548560204573</v>
      </c>
      <c r="EO81" s="60">
        <f ca="1">AVERAGE(OFFSET($EN$3,0,0,'Données projet'!$E$15+1,1))-AVERAGE(OFFSET($H$3,0,0,'Données projet'!$E$15+1,1))</f>
        <v>290.85271051443431</v>
      </c>
      <c r="EP81" s="60">
        <f t="shared" si="100"/>
        <v>318.66958823451142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0">
        <f t="shared" si="55"/>
        <v>833.68856409746058</v>
      </c>
      <c r="S82" s="60">
        <f ca="1">AVERAGE(OFFSET($R$3,0,0,'Données projet'!$E$9+1,1))-AVERAGE(OFFSET($H$3,0,0,'Données projet'!$E$9+1,1))</f>
        <v>428.8489304403459</v>
      </c>
      <c r="T82" s="60">
        <f t="shared" si="88"/>
        <v>247.01165577562966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2.2737367544323206E-13</v>
      </c>
      <c r="AJ82" s="14">
        <f>AI82*VLOOKUP('Données projet'!$B$10,Paramètres!$A$1:$I$89,3,0)*VLOOKUP('Données projet'!$B$10,Paramètres!$A$1:$I$89,5,0)</f>
        <v>1.2710188457276673E-13</v>
      </c>
      <c r="AK82" s="14">
        <f t="shared" si="89"/>
        <v>1.856866851063998E-12</v>
      </c>
      <c r="AL82" s="22">
        <f t="shared" si="58"/>
        <v>3.4554122145673649E-12</v>
      </c>
      <c r="AM82" s="60">
        <f t="shared" si="59"/>
        <v>293.33333333333678</v>
      </c>
      <c r="AN82" s="60">
        <f ca="1">AVERAGE(OFFSET($AM$3,0,0,'Données projet'!$E$10+1,1))-AVERAGE(OFFSET($H$3,0,0,'Données projet'!$E$10+1,1))</f>
        <v>323.98185264074681</v>
      </c>
      <c r="AO82" s="60">
        <f t="shared" si="90"/>
        <v>301.22207291854005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1.6909034744835107</v>
      </c>
      <c r="AV82" s="23">
        <f>EXP(-LN(2)/25)*AV81+(1-EXP(-LN(2)/25))/(LN(2)/25)*Calculateur!AQ82*Calculateur!AS82*VLOOKUP('Données projet'!$B$10,Paramètres!$A$1:$I$89,3,0)*0.475*44/12</f>
        <v>2.1197906983929391</v>
      </c>
      <c r="AW82" s="23">
        <f>EXP(-LN(2)/2)*AW81+(1-EXP(-LN(2)/2))/(LN(2)/2)*AQ82*AT82*VLOOKUP('Données projet'!$B$10,Paramètres!$A$1:$I$89,3,0)*0.475*44/12</f>
        <v>2.5658188696289376E-7</v>
      </c>
      <c r="AX82" s="23">
        <f t="shared" si="60"/>
        <v>3.8106944294583367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7.5584615384615343</v>
      </c>
      <c r="BD82" s="13">
        <f>IF('Données projet'!$A$88&gt;35,BD81+BC82-BL81,IF(A82&lt;'Données projet'!$A$88,$BA$205^A82,IF(A82='Données projet'!$A$88,'Données projet'!$B$88,BD81+BC82-BL81)))</f>
        <v>395.34923076923047</v>
      </c>
      <c r="BE82" s="14">
        <f>BD82*VLOOKUP('Données projet'!$B$11,Paramètres!$A$1:$I$89,3,0)*VLOOKUP('Données projet'!$B$11,Paramètres!$A$1:$I$89,5,0)</f>
        <v>236.41883999999985</v>
      </c>
      <c r="BF82" s="14">
        <f t="shared" si="91"/>
        <v>57.668353588027863</v>
      </c>
      <c r="BG82" s="22">
        <f t="shared" si="61"/>
        <v>512.20186216581487</v>
      </c>
      <c r="BH82" s="60">
        <f t="shared" si="62"/>
        <v>805.53519549914813</v>
      </c>
      <c r="BI82" s="60">
        <f ca="1">AVERAGE(OFFSET($BH$3,0,0,'Données projet'!$E$11+1,1))-AVERAGE(OFFSET($H$3,0,0,'Données projet'!$E$11+1,1))</f>
        <v>289.12367833861299</v>
      </c>
      <c r="BJ82" s="60">
        <f t="shared" si="92"/>
        <v>229.06617320689003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1.7477602983320005E-7</v>
      </c>
      <c r="BS82" s="24">
        <f t="shared" si="63"/>
        <v>1.7477602983320005E-7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</v>
      </c>
      <c r="BY82" s="13">
        <f>IF('Données projet'!$A$114&gt;35,BY81+BX82-CG81,IF(A82&lt;'Données projet'!$A$114,$BV$205^A82,IF(A82='Données projet'!$A$114,'Données projet'!$B$114,BY81+BX82-CG81)))</f>
        <v>281.99999999999983</v>
      </c>
      <c r="BZ82" s="14">
        <f>BY82*VLOOKUP('Données projet'!$B$12,Paramètres!$A$1:$I$89,3,0)*VLOOKUP('Données projet'!$B$12,Paramètres!$A$1:$I$89,5,0)</f>
        <v>224.35919999999987</v>
      </c>
      <c r="CA82" s="14">
        <f t="shared" si="93"/>
        <v>55.061251669487255</v>
      </c>
      <c r="CB82" s="22">
        <f t="shared" si="64"/>
        <v>486.65728665769001</v>
      </c>
      <c r="CC82" s="60">
        <f t="shared" si="65"/>
        <v>779.99061999102332</v>
      </c>
      <c r="CD82" s="60">
        <f ca="1">AVERAGE(OFFSET($CC$3,0,0,'Données projet'!$E$12+1,1))-AVERAGE(OFFSET($H$3,0,0,'Données projet'!$E$12+1,1))</f>
        <v>312.53381881960331</v>
      </c>
      <c r="CE82" s="60">
        <f t="shared" si="94"/>
        <v>342.06887933351783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279.86399999999986</v>
      </c>
      <c r="CV82" s="14">
        <f t="shared" si="95"/>
        <v>66.938267358965007</v>
      </c>
      <c r="CW82" s="22">
        <f t="shared" si="67"/>
        <v>604.01394898353044</v>
      </c>
      <c r="CX82" s="60">
        <f t="shared" si="68"/>
        <v>897.34728231686381</v>
      </c>
      <c r="CY82" s="60">
        <f ca="1">AVERAGE(OFFSET($CX$3,0,0,'Données projet'!$E$13+1,1))-AVERAGE(OFFSET($H$3,0,0,'Données projet'!$E$13+1,1))</f>
        <v>475.47920969424894</v>
      </c>
      <c r="CZ82" s="60">
        <f t="shared" si="96"/>
        <v>271.73544012419364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>
        <f>VLOOKUP(A82,'Données projet'!$A$165:$I$185,2,0)</f>
        <v>321.15384615384613</v>
      </c>
      <c r="DM82" s="13">
        <f>VLOOKUP(A82,'Données projet'!$A$165:$I$185,9,0)</f>
        <v>9.4346153846153786</v>
      </c>
      <c r="DN82" s="13">
        <f t="array" ref="DN82">INDEX(DM:DM,MIN(IF(ISNUMBER(DM82:DM278),ROW(DM82:DM278),"")))</f>
        <v>9.4346153846153786</v>
      </c>
      <c r="DO82" s="13">
        <f>IF('Données projet'!$A$166&gt;35,DO81+DN82-DW81,IF(A82&lt;'Données projet'!$A$166,$DL$205^A82,IF(A82='Données projet'!$A$166,'Données projet'!$B$166,DO81+DN82-DW81)))</f>
        <v>321.15384615384613</v>
      </c>
      <c r="DP82" s="18">
        <f>DO82*VLOOKUP('Données projet'!$B$14,Paramètres!$A$1:$I$89,3,0)*VLOOKUP('Données projet'!$B$14,Paramètres!$A$1:$I$89,5,0)</f>
        <v>150.29999999999998</v>
      </c>
      <c r="DQ82" s="14">
        <f t="shared" si="97"/>
        <v>38.646753767567567</v>
      </c>
      <c r="DR82" s="22">
        <f t="shared" si="70"/>
        <v>329.08226281184676</v>
      </c>
      <c r="DS82" s="60">
        <f t="shared" si="71"/>
        <v>622.41559614518007</v>
      </c>
      <c r="DT82" s="60">
        <f ca="1">AVERAGE(OFFSET($DS$3,0,0,'Données projet'!$E$14+1,1))-AVERAGE(OFFSET($H$3,0,0,'Données projet'!$E$14+1,1))</f>
        <v>284.71577701131588</v>
      </c>
      <c r="DU82" s="60">
        <f t="shared" si="98"/>
        <v>190.4880882944471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</v>
      </c>
      <c r="EJ82" s="13">
        <f>IF('Données projet'!$A$192&gt;35,EJ81+EI82-ER81,IF(A82&lt;'Données projet'!$A$192,$EG$205^A82,IF(A82='Données projet'!$A$192,'Données projet'!$B$192,EJ81+EI82-ER81)))</f>
        <v>281.99999999999983</v>
      </c>
      <c r="EK82" s="18">
        <f>EJ82*VLOOKUP('Données projet'!$B$15,Paramètres!$A$1:$I$89,3,0)*VLOOKUP('Données projet'!$B$15,Paramètres!$A$1:$I$89,5,0)</f>
        <v>206.76239999999987</v>
      </c>
      <c r="EL82" s="14">
        <f t="shared" si="99"/>
        <v>51.227450148013851</v>
      </c>
      <c r="EM82" s="22">
        <f t="shared" si="73"/>
        <v>449.33232234112387</v>
      </c>
      <c r="EN82" s="60">
        <f t="shared" si="74"/>
        <v>742.66565567445718</v>
      </c>
      <c r="EO82" s="60">
        <f ca="1">AVERAGE(OFFSET($EN$3,0,0,'Données projet'!$E$15+1,1))-AVERAGE(OFFSET($H$3,0,0,'Données projet'!$E$15+1,1))</f>
        <v>290.85271051443431</v>
      </c>
      <c r="EP82" s="60">
        <f t="shared" si="100"/>
        <v>318.66958823451142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0">
        <f t="shared" si="55"/>
        <v>845.16612239513029</v>
      </c>
      <c r="S83" s="60">
        <f ca="1">AVERAGE(OFFSET($R$3,0,0,'Données projet'!$E$9+1,1))-AVERAGE(OFFSET($H$3,0,0,'Données projet'!$E$9+1,1))</f>
        <v>428.8489304403459</v>
      </c>
      <c r="T83" s="60">
        <f t="shared" si="88"/>
        <v>247.01165577562966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2.2737367544323206E-13</v>
      </c>
      <c r="AJ83" s="14">
        <f>AI83*VLOOKUP('Données projet'!$B$10,Paramètres!$A$1:$I$89,3,0)*VLOOKUP('Données projet'!$B$10,Paramètres!$A$1:$I$89,5,0)</f>
        <v>1.2710188457276673E-13</v>
      </c>
      <c r="AK83" s="14">
        <f t="shared" si="89"/>
        <v>1.856866851063998E-12</v>
      </c>
      <c r="AL83" s="22">
        <f t="shared" si="58"/>
        <v>3.4554122145673649E-12</v>
      </c>
      <c r="AM83" s="60">
        <f t="shared" si="59"/>
        <v>293.33333333333678</v>
      </c>
      <c r="AN83" s="60">
        <f ca="1">AVERAGE(OFFSET($AM$3,0,0,'Données projet'!$E$10+1,1))-AVERAGE(OFFSET($H$3,0,0,'Données projet'!$E$10+1,1))</f>
        <v>323.98185264074681</v>
      </c>
      <c r="AO83" s="60">
        <f t="shared" si="90"/>
        <v>301.22207291854005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1.6577458886981713</v>
      </c>
      <c r="AV83" s="23">
        <f>EXP(-LN(2)/25)*AV82+(1-EXP(-LN(2)/25))/(LN(2)/25)*Calculateur!AQ83*Calculateur!AS83*VLOOKUP('Données projet'!$B$10,Paramètres!$A$1:$I$89,3,0)*0.475*44/12</f>
        <v>2.061824910270436</v>
      </c>
      <c r="AW83" s="23">
        <f>EXP(-LN(2)/2)*AW82+(1-EXP(-LN(2)/2))/(LN(2)/2)*AQ83*AT83*VLOOKUP('Données projet'!$B$10,Paramètres!$A$1:$I$89,3,0)*0.475*44/12</f>
        <v>1.814307922011024E-7</v>
      </c>
      <c r="AX83" s="23">
        <f t="shared" si="60"/>
        <v>3.7195709803993995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402.90769230769229</v>
      </c>
      <c r="BB83" s="13">
        <f>VLOOKUP(A83,'Données projet'!$A$87:$I$107,9,0)</f>
        <v>7.5584615384615343</v>
      </c>
      <c r="BC83" s="13">
        <f t="array" ref="BC83">INDEX(BB:BB,MIN(IF(ISNUMBER(BB83:BB279),ROW(BB83:BB279),"")))</f>
        <v>7.5584615384615343</v>
      </c>
      <c r="BD83" s="13">
        <f>IF('Données projet'!$A$88&gt;35,BD82+BC83-BL82,IF(A83&lt;'Données projet'!$A$88,$BA$205^A83,IF(A83='Données projet'!$A$88,'Données projet'!$B$88,BD82+BC83-BL82)))</f>
        <v>402.907692307692</v>
      </c>
      <c r="BE83" s="14">
        <f>BD83*VLOOKUP('Données projet'!$B$11,Paramètres!$A$1:$I$89,3,0)*VLOOKUP('Données projet'!$B$11,Paramètres!$A$1:$I$89,5,0)</f>
        <v>240.93879999999982</v>
      </c>
      <c r="BF83" s="14">
        <f t="shared" si="91"/>
        <v>58.64147195802866</v>
      </c>
      <c r="BG83" s="22">
        <f t="shared" si="61"/>
        <v>521.76897366023286</v>
      </c>
      <c r="BH83" s="60">
        <f t="shared" si="62"/>
        <v>815.10230699356612</v>
      </c>
      <c r="BI83" s="60">
        <f ca="1">AVERAGE(OFFSET($BH$3,0,0,'Données projet'!$E$11+1,1))-AVERAGE(OFFSET($H$3,0,0,'Données projet'!$E$11+1,1))</f>
        <v>289.12367833861299</v>
      </c>
      <c r="BJ83" s="60">
        <f t="shared" si="92"/>
        <v>229.06617320689003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402.90769230769229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1.2358531588391809E-7</v>
      </c>
      <c r="BS83" s="24">
        <f t="shared" si="63"/>
        <v>1.2358531588391809E-7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285</v>
      </c>
      <c r="BW83" s="13">
        <f>VLOOKUP(A83,'Données projet'!$A$113:$I$133,9,0)</f>
        <v>3</v>
      </c>
      <c r="BX83" s="13">
        <f t="array" ref="BX83">INDEX(BW:BW,MIN(IF(ISNUMBER(BW83:BW279),ROW(BW83:BW279),"")))</f>
        <v>3</v>
      </c>
      <c r="BY83" s="13">
        <f>IF('Données projet'!$A$114&gt;35,BY82+BX83-CG82,IF(A83&lt;'Données projet'!$A$114,$BV$205^A83,IF(A83='Données projet'!$A$114,'Données projet'!$B$114,BY82+BX83-CG82)))</f>
        <v>284.99999999999983</v>
      </c>
      <c r="BZ83" s="14">
        <f>BY83*VLOOKUP('Données projet'!$B$12,Paramètres!$A$1:$I$89,3,0)*VLOOKUP('Données projet'!$B$12,Paramètres!$A$1:$I$89,5,0)</f>
        <v>226.74599999999987</v>
      </c>
      <c r="CA83" s="14">
        <f t="shared" si="93"/>
        <v>55.578508240245917</v>
      </c>
      <c r="CB83" s="22">
        <f t="shared" si="64"/>
        <v>491.71518518509475</v>
      </c>
      <c r="CC83" s="60">
        <f t="shared" si="65"/>
        <v>785.04851851842807</v>
      </c>
      <c r="CD83" s="60">
        <f ca="1">AVERAGE(OFFSET($CC$3,0,0,'Données projet'!$E$12+1,1))-AVERAGE(OFFSET($H$3,0,0,'Données projet'!$E$12+1,1))</f>
        <v>312.53381881960331</v>
      </c>
      <c r="CE83" s="60">
        <f t="shared" si="94"/>
        <v>342.06887933351783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285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285.94799999999992</v>
      </c>
      <c r="CV83" s="14">
        <f t="shared" si="95"/>
        <v>68.222450362989363</v>
      </c>
      <c r="CW83" s="22">
        <f t="shared" si="67"/>
        <v>616.84686771553959</v>
      </c>
      <c r="CX83" s="60">
        <f t="shared" si="68"/>
        <v>910.18020104887296</v>
      </c>
      <c r="CY83" s="60">
        <f ca="1">AVERAGE(OFFSET($CX$3,0,0,'Données projet'!$E$13+1,1))-AVERAGE(OFFSET($H$3,0,0,'Données projet'!$E$13+1,1))</f>
        <v>475.47920969424894</v>
      </c>
      <c r="CZ83" s="60">
        <f t="shared" si="96"/>
        <v>271.73544012419364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9.6128205128205195</v>
      </c>
      <c r="DO83" s="13">
        <f>IF('Données projet'!$A$166&gt;35,DO82+DN83-DW82,IF(A83&lt;'Données projet'!$A$166,$DL$205^A83,IF(A83='Données projet'!$A$166,'Données projet'!$B$166,DO82+DN83-DW82)))</f>
        <v>330.76666666666665</v>
      </c>
      <c r="DP83" s="18">
        <f>DO83*VLOOKUP('Données projet'!$B$14,Paramètres!$A$1:$I$89,3,0)*VLOOKUP('Données projet'!$B$14,Paramètres!$A$1:$I$89,5,0)</f>
        <v>154.7988</v>
      </c>
      <c r="DQ83" s="14">
        <f t="shared" si="97"/>
        <v>39.667123391087365</v>
      </c>
      <c r="DR83" s="22">
        <f t="shared" si="70"/>
        <v>338.69481657281045</v>
      </c>
      <c r="DS83" s="60">
        <f t="shared" si="71"/>
        <v>632.02814990614377</v>
      </c>
      <c r="DT83" s="60">
        <f ca="1">AVERAGE(OFFSET($DS$3,0,0,'Données projet'!$E$14+1,1))-AVERAGE(OFFSET($H$3,0,0,'Données projet'!$E$14+1,1))</f>
        <v>284.71577701131588</v>
      </c>
      <c r="DU83" s="60">
        <f t="shared" si="98"/>
        <v>190.4880882944471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285</v>
      </c>
      <c r="EH83" s="13">
        <f>VLOOKUP(A83,'Données projet'!$A$191:$I$211,9,0)</f>
        <v>3</v>
      </c>
      <c r="EI83" s="13">
        <f t="array" ref="EI83">INDEX(EH:EH,MIN(IF(ISNUMBER(EH83:EH279),ROW(EH83:EH279),"")))</f>
        <v>3</v>
      </c>
      <c r="EJ83" s="13">
        <f>IF('Données projet'!$A$192&gt;35,EJ82+EI83-ER82,IF(A83&lt;'Données projet'!$A$192,$EG$205^A83,IF(A83='Données projet'!$A$192,'Données projet'!$B$192,EJ82+EI83-ER82)))</f>
        <v>284.99999999999983</v>
      </c>
      <c r="EK83" s="18">
        <f>EJ83*VLOOKUP('Données projet'!$B$15,Paramètres!$A$1:$I$89,3,0)*VLOOKUP('Données projet'!$B$15,Paramètres!$A$1:$I$89,5,0)</f>
        <v>208.96199999999985</v>
      </c>
      <c r="EL83" s="14">
        <f t="shared" si="99"/>
        <v>51.708691209356381</v>
      </c>
      <c r="EM83" s="22">
        <f t="shared" si="73"/>
        <v>454.00145385629543</v>
      </c>
      <c r="EN83" s="60">
        <f t="shared" si="74"/>
        <v>747.33478718962874</v>
      </c>
      <c r="EO83" s="60">
        <f ca="1">AVERAGE(OFFSET($EN$3,0,0,'Données projet'!$E$15+1,1))-AVERAGE(OFFSET($H$3,0,0,'Données projet'!$E$15+1,1))</f>
        <v>290.85271051443431</v>
      </c>
      <c r="EP83" s="60">
        <f t="shared" si="100"/>
        <v>318.66958823451142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285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0">
        <f t="shared" si="55"/>
        <v>775.45409146701161</v>
      </c>
      <c r="S84" s="60">
        <f ca="1">AVERAGE(OFFSET($R$3,0,0,'Données projet'!$E$9+1,1))-AVERAGE(OFFSET($H$3,0,0,'Données projet'!$E$9+1,1))</f>
        <v>428.8489304403459</v>
      </c>
      <c r="T84" s="60">
        <f t="shared" si="88"/>
        <v>247.01165577562966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1.2710188457276673E-13</v>
      </c>
      <c r="AK84" s="14">
        <f t="shared" si="89"/>
        <v>1.856866851063998E-12</v>
      </c>
      <c r="AL84" s="22">
        <f t="shared" si="58"/>
        <v>3.4554122145673649E-12</v>
      </c>
      <c r="AM84" s="60">
        <f t="shared" si="59"/>
        <v>293.33333333333678</v>
      </c>
      <c r="AN84" s="60">
        <f ca="1">AVERAGE(OFFSET($AM$3,0,0,'Données projet'!$E$10+1,1))-AVERAGE(OFFSET($H$3,0,0,'Données projet'!$E$10+1,1))</f>
        <v>323.98185264074681</v>
      </c>
      <c r="AO84" s="60">
        <f t="shared" si="90"/>
        <v>301.22207291854005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1.625238502945952</v>
      </c>
      <c r="AV84" s="23">
        <f>EXP(-LN(2)/25)*AV83+(1-EXP(-LN(2)/25))/(LN(2)/25)*Calculateur!AQ84*Calculateur!AS84*VLOOKUP('Données projet'!$B$10,Paramètres!$A$1:$I$89,3,0)*0.475*44/12</f>
        <v>2.0054441996724313</v>
      </c>
      <c r="AW84" s="23">
        <f>EXP(-LN(2)/2)*AW83+(1-EXP(-LN(2)/2))/(LN(2)/2)*AQ84*AT84*VLOOKUP('Données projet'!$B$10,Paramètres!$A$1:$I$89,3,0)*0.475*44/12</f>
        <v>1.2829094348144688E-7</v>
      </c>
      <c r="AX84" s="23">
        <f t="shared" si="60"/>
        <v>3.6306828309093269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-2.8421709430404007E-13</v>
      </c>
      <c r="BE84" s="14">
        <f>BD84*VLOOKUP('Données projet'!$B$11,Paramètres!$A$1:$I$89,3,0)*VLOOKUP('Données projet'!$B$11,Paramètres!$A$1:$I$89,5,0)</f>
        <v>-1.69961822393816E-13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289.12367833861299</v>
      </c>
      <c r="BJ84" s="60">
        <f t="shared" si="92"/>
        <v>229.06617320689003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8.7388014916600027E-8</v>
      </c>
      <c r="BS84" s="24">
        <f t="shared" si="63"/>
        <v>8.7388014916600027E-8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-1.7053025658242404E-13</v>
      </c>
      <c r="BZ84" s="14">
        <f>BY84*VLOOKUP('Données projet'!$B$12,Paramètres!$A$1:$I$89,3,0)*VLOOKUP('Données projet'!$B$12,Paramètres!$A$1:$I$89,5,0)</f>
        <v>-1.3567387213697657E-13</v>
      </c>
      <c r="CA84" s="14" t="e">
        <f t="shared" si="93"/>
        <v>#NUM!</v>
      </c>
      <c r="CB84" s="22" t="e">
        <f t="shared" si="64"/>
        <v>#NUM!</v>
      </c>
      <c r="CC84" s="60" t="e">
        <f t="shared" si="65"/>
        <v>#NUM!</v>
      </c>
      <c r="CD84" s="60">
        <f ca="1">AVERAGE(OFFSET($CC$3,0,0,'Données projet'!$E$12+1,1))-AVERAGE(OFFSET($H$3,0,0,'Données projet'!$E$12+1,1))</f>
        <v>312.53381881960331</v>
      </c>
      <c r="CE84" s="60">
        <f t="shared" si="94"/>
        <v>342.06887933351783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249.03839999999994</v>
      </c>
      <c r="CV84" s="14">
        <f t="shared" si="95"/>
        <v>60.379982523339947</v>
      </c>
      <c r="CW84" s="22">
        <f t="shared" si="67"/>
        <v>538.90368289481694</v>
      </c>
      <c r="CX84" s="60">
        <f t="shared" si="68"/>
        <v>832.2370162281502</v>
      </c>
      <c r="CY84" s="60">
        <f ca="1">AVERAGE(OFFSET($CX$3,0,0,'Données projet'!$E$13+1,1))-AVERAGE(OFFSET($H$3,0,0,'Données projet'!$E$13+1,1))</f>
        <v>475.47920969424894</v>
      </c>
      <c r="CZ84" s="60">
        <f t="shared" si="96"/>
        <v>271.73544012419364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9.6128205128205195</v>
      </c>
      <c r="DO84" s="13">
        <f>IF('Données projet'!$A$166&gt;35,DO83+DN84-DW83,IF(A84&lt;'Données projet'!$A$166,$DL$205^A84,IF(A84='Données projet'!$A$166,'Données projet'!$B$166,DO83+DN84-DW83)))</f>
        <v>340.37948717948717</v>
      </c>
      <c r="DP84" s="18">
        <f>DO84*VLOOKUP('Données projet'!$B$14,Paramètres!$A$1:$I$89,3,0)*VLOOKUP('Données projet'!$B$14,Paramètres!$A$1:$I$89,5,0)</f>
        <v>159.29759999999999</v>
      </c>
      <c r="DQ84" s="14">
        <f t="shared" si="97"/>
        <v>40.684046581672639</v>
      </c>
      <c r="DR84" s="22">
        <f t="shared" si="70"/>
        <v>348.30136779641316</v>
      </c>
      <c r="DS84" s="60">
        <f t="shared" si="71"/>
        <v>641.63470112974642</v>
      </c>
      <c r="DT84" s="60">
        <f ca="1">AVERAGE(OFFSET($DS$3,0,0,'Données projet'!$E$14+1,1))-AVERAGE(OFFSET($H$3,0,0,'Données projet'!$E$14+1,1))</f>
        <v>284.71577701131588</v>
      </c>
      <c r="DU84" s="60">
        <f t="shared" si="98"/>
        <v>190.4880882944471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-1.7053025658242404E-13</v>
      </c>
      <c r="EK84" s="18">
        <f>EJ84*VLOOKUP('Données projet'!$B$15,Paramètres!$A$1:$I$89,3,0)*VLOOKUP('Données projet'!$B$15,Paramètres!$A$1:$I$89,5,0)</f>
        <v>-1.250327841262333E-13</v>
      </c>
      <c r="EL84" s="14" t="e">
        <f t="shared" si="99"/>
        <v>#NUM!</v>
      </c>
      <c r="EM84" s="22" t="e">
        <f t="shared" si="73"/>
        <v>#NUM!</v>
      </c>
      <c r="EN84" s="60" t="e">
        <f t="shared" si="74"/>
        <v>#NUM!</v>
      </c>
      <c r="EO84" s="60">
        <f ca="1">AVERAGE(OFFSET($EN$3,0,0,'Données projet'!$E$15+1,1))-AVERAGE(OFFSET($H$3,0,0,'Données projet'!$E$15+1,1))</f>
        <v>290.85271051443431</v>
      </c>
      <c r="EP84" s="60">
        <f t="shared" si="100"/>
        <v>318.66958823451142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0">
        <f t="shared" si="55"/>
        <v>786.19217745579931</v>
      </c>
      <c r="S85" s="60">
        <f ca="1">AVERAGE(OFFSET($R$3,0,0,'Données projet'!$E$9+1,1))-AVERAGE(OFFSET($H$3,0,0,'Données projet'!$E$9+1,1))</f>
        <v>428.8489304403459</v>
      </c>
      <c r="T85" s="60">
        <f t="shared" si="88"/>
        <v>247.01165577562966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1.2710188457276673E-13</v>
      </c>
      <c r="AK85" s="14">
        <f t="shared" si="89"/>
        <v>1.856866851063998E-12</v>
      </c>
      <c r="AL85" s="22">
        <f t="shared" si="58"/>
        <v>3.4554122145673649E-12</v>
      </c>
      <c r="AM85" s="60">
        <f t="shared" si="59"/>
        <v>293.33333333333678</v>
      </c>
      <c r="AN85" s="60">
        <f ca="1">AVERAGE(OFFSET($AM$3,0,0,'Données projet'!$E$10+1,1))-AVERAGE(OFFSET($H$3,0,0,'Données projet'!$E$10+1,1))</f>
        <v>323.98185264074681</v>
      </c>
      <c r="AO85" s="60">
        <f t="shared" si="90"/>
        <v>301.22207291854005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1.5933685672007862</v>
      </c>
      <c r="AV85" s="23">
        <f>EXP(-LN(2)/25)*AV84+(1-EXP(-LN(2)/25))/(LN(2)/25)*Calculateur!AQ85*Calculateur!AS85*VLOOKUP('Données projet'!$B$10,Paramètres!$A$1:$I$89,3,0)*0.475*44/12</f>
        <v>1.9506052225706616</v>
      </c>
      <c r="AW85" s="23">
        <f>EXP(-LN(2)/2)*AW84+(1-EXP(-LN(2)/2))/(LN(2)/2)*AQ85*AT85*VLOOKUP('Données projet'!$B$10,Paramètres!$A$1:$I$89,3,0)*0.475*44/12</f>
        <v>9.0715396100551198E-8</v>
      </c>
      <c r="AX85" s="23">
        <f t="shared" si="60"/>
        <v>3.5439738804868437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-2.8421709430404007E-13</v>
      </c>
      <c r="BE85" s="14">
        <f>BD85*VLOOKUP('Données projet'!$B$11,Paramètres!$A$1:$I$89,3,0)*VLOOKUP('Données projet'!$B$11,Paramètres!$A$1:$I$89,5,0)</f>
        <v>-1.69961822393816E-13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289.12367833861299</v>
      </c>
      <c r="BJ85" s="60">
        <f t="shared" si="92"/>
        <v>229.06617320689003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6.1792657941959046E-8</v>
      </c>
      <c r="BS85" s="24">
        <f t="shared" si="63"/>
        <v>6.1792657941959046E-8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-1.7053025658242404E-13</v>
      </c>
      <c r="BZ85" s="14">
        <f>BY85*VLOOKUP('Données projet'!$B$12,Paramètres!$A$1:$I$89,3,0)*VLOOKUP('Données projet'!$B$12,Paramètres!$A$1:$I$89,5,0)</f>
        <v>-1.3567387213697657E-13</v>
      </c>
      <c r="CA85" s="14" t="e">
        <f t="shared" si="93"/>
        <v>#NUM!</v>
      </c>
      <c r="CB85" s="22" t="e">
        <f t="shared" si="64"/>
        <v>#NUM!</v>
      </c>
      <c r="CC85" s="60" t="e">
        <f t="shared" si="65"/>
        <v>#NUM!</v>
      </c>
      <c r="CD85" s="60">
        <f ca="1">AVERAGE(OFFSET($CC$3,0,0,'Données projet'!$E$12+1,1))-AVERAGE(OFFSET($H$3,0,0,'Données projet'!$E$12+1,1))</f>
        <v>312.53381881960331</v>
      </c>
      <c r="CE85" s="60">
        <f t="shared" si="94"/>
        <v>342.06887933351783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254.71679999999992</v>
      </c>
      <c r="CV85" s="14">
        <f t="shared" si="95"/>
        <v>61.594871205031538</v>
      </c>
      <c r="CW85" s="22">
        <f t="shared" si="67"/>
        <v>550.9094940154298</v>
      </c>
      <c r="CX85" s="60">
        <f t="shared" si="68"/>
        <v>844.24282734876306</v>
      </c>
      <c r="CY85" s="60">
        <f ca="1">AVERAGE(OFFSET($CX$3,0,0,'Données projet'!$E$13+1,1))-AVERAGE(OFFSET($H$3,0,0,'Données projet'!$E$13+1,1))</f>
        <v>475.47920969424894</v>
      </c>
      <c r="CZ85" s="60">
        <f t="shared" si="96"/>
        <v>271.73544012419364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9.6128205128205195</v>
      </c>
      <c r="DO85" s="13">
        <f>IF('Données projet'!$A$166&gt;35,DO84+DN85-DW84,IF(A85&lt;'Données projet'!$A$166,$DL$205^A85,IF(A85='Données projet'!$A$166,'Données projet'!$B$166,DO84+DN85-DW84)))</f>
        <v>349.99230769230769</v>
      </c>
      <c r="DP85" s="18">
        <f>DO85*VLOOKUP('Données projet'!$B$14,Paramètres!$A$1:$I$89,3,0)*VLOOKUP('Données projet'!$B$14,Paramètres!$A$1:$I$89,5,0)</f>
        <v>163.79640000000001</v>
      </c>
      <c r="DQ85" s="14">
        <f t="shared" si="97"/>
        <v>41.697631851997592</v>
      </c>
      <c r="DR85" s="22">
        <f t="shared" si="70"/>
        <v>357.90210547556245</v>
      </c>
      <c r="DS85" s="60">
        <f t="shared" si="71"/>
        <v>651.23543880889576</v>
      </c>
      <c r="DT85" s="60">
        <f ca="1">AVERAGE(OFFSET($DS$3,0,0,'Données projet'!$E$14+1,1))-AVERAGE(OFFSET($H$3,0,0,'Données projet'!$E$14+1,1))</f>
        <v>284.71577701131588</v>
      </c>
      <c r="DU85" s="60">
        <f t="shared" si="98"/>
        <v>190.4880882944471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-1.7053025658242404E-13</v>
      </c>
      <c r="EK85" s="18">
        <f>EJ85*VLOOKUP('Données projet'!$B$15,Paramètres!$A$1:$I$89,3,0)*VLOOKUP('Données projet'!$B$15,Paramètres!$A$1:$I$89,5,0)</f>
        <v>-1.250327841262333E-13</v>
      </c>
      <c r="EL85" s="14" t="e">
        <f t="shared" si="99"/>
        <v>#NUM!</v>
      </c>
      <c r="EM85" s="22" t="e">
        <f t="shared" si="73"/>
        <v>#NUM!</v>
      </c>
      <c r="EN85" s="60" t="e">
        <f t="shared" si="74"/>
        <v>#NUM!</v>
      </c>
      <c r="EO85" s="60">
        <f ca="1">AVERAGE(OFFSET($EN$3,0,0,'Données projet'!$E$15+1,1))-AVERAGE(OFFSET($H$3,0,0,'Données projet'!$E$15+1,1))</f>
        <v>290.85271051443431</v>
      </c>
      <c r="EP85" s="60">
        <f t="shared" si="100"/>
        <v>318.66958823451142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0">
        <f t="shared" si="55"/>
        <v>796.92530469359974</v>
      </c>
      <c r="S86" s="60">
        <f ca="1">AVERAGE(OFFSET($R$3,0,0,'Données projet'!$E$9+1,1))-AVERAGE(OFFSET($H$3,0,0,'Données projet'!$E$9+1,1))</f>
        <v>428.8489304403459</v>
      </c>
      <c r="T86" s="60">
        <f t="shared" si="88"/>
        <v>247.01165577562966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1.2710188457276673E-13</v>
      </c>
      <c r="AK86" s="14">
        <f t="shared" si="89"/>
        <v>1.856866851063998E-12</v>
      </c>
      <c r="AL86" s="22">
        <f t="shared" si="58"/>
        <v>3.4554122145673649E-12</v>
      </c>
      <c r="AM86" s="60">
        <f t="shared" si="59"/>
        <v>293.33333333333678</v>
      </c>
      <c r="AN86" s="60">
        <f ca="1">AVERAGE(OFFSET($AM$3,0,0,'Données projet'!$E$10+1,1))-AVERAGE(OFFSET($H$3,0,0,'Données projet'!$E$10+1,1))</f>
        <v>323.98185264074681</v>
      </c>
      <c r="AO86" s="60">
        <f t="shared" si="90"/>
        <v>301.22207291854005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1.5621235814568417</v>
      </c>
      <c r="AV86" s="23">
        <f>EXP(-LN(2)/25)*AV85+(1-EXP(-LN(2)/25))/(LN(2)/25)*Calculateur!AQ86*Calculateur!AS86*VLOOKUP('Données projet'!$B$10,Paramètres!$A$1:$I$89,3,0)*0.475*44/12</f>
        <v>1.8972658201815964</v>
      </c>
      <c r="AW86" s="23">
        <f>EXP(-LN(2)/2)*AW85+(1-EXP(-LN(2)/2))/(LN(2)/2)*AQ86*AT86*VLOOKUP('Données projet'!$B$10,Paramètres!$A$1:$I$89,3,0)*0.475*44/12</f>
        <v>6.4145471740723441E-8</v>
      </c>
      <c r="AX86" s="23">
        <f t="shared" si="60"/>
        <v>3.4593894657839095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-2.8421709430404007E-13</v>
      </c>
      <c r="BE86" s="14">
        <f>BD86*VLOOKUP('Données projet'!$B$11,Paramètres!$A$1:$I$89,3,0)*VLOOKUP('Données projet'!$B$11,Paramètres!$A$1:$I$89,5,0)</f>
        <v>-1.69961822393816E-13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289.12367833861299</v>
      </c>
      <c r="BJ86" s="60">
        <f t="shared" si="92"/>
        <v>229.06617320689003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4.3694007458300014E-8</v>
      </c>
      <c r="BS86" s="24">
        <f t="shared" si="63"/>
        <v>4.3694007458300014E-8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-1.7053025658242404E-13</v>
      </c>
      <c r="BZ86" s="14">
        <f>BY86*VLOOKUP('Données projet'!$B$12,Paramètres!$A$1:$I$89,3,0)*VLOOKUP('Données projet'!$B$12,Paramètres!$A$1:$I$89,5,0)</f>
        <v>-1.3567387213697657E-13</v>
      </c>
      <c r="CA86" s="14" t="e">
        <f t="shared" si="93"/>
        <v>#NUM!</v>
      </c>
      <c r="CB86" s="22" t="e">
        <f t="shared" si="64"/>
        <v>#NUM!</v>
      </c>
      <c r="CC86" s="60" t="e">
        <f t="shared" si="65"/>
        <v>#NUM!</v>
      </c>
      <c r="CD86" s="60">
        <f ca="1">AVERAGE(OFFSET($CC$3,0,0,'Données projet'!$E$12+1,1))-AVERAGE(OFFSET($H$3,0,0,'Données projet'!$E$12+1,1))</f>
        <v>312.53381881960331</v>
      </c>
      <c r="CE86" s="60">
        <f t="shared" si="94"/>
        <v>342.06887933351783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260.39519999999987</v>
      </c>
      <c r="CV86" s="14">
        <f t="shared" si="95"/>
        <v>62.806611177714331</v>
      </c>
      <c r="CW86" s="22">
        <f t="shared" si="67"/>
        <v>562.90982113451889</v>
      </c>
      <c r="CX86" s="60">
        <f t="shared" si="68"/>
        <v>856.24315446785226</v>
      </c>
      <c r="CY86" s="60">
        <f ca="1">AVERAGE(OFFSET($CX$3,0,0,'Données projet'!$E$13+1,1))-AVERAGE(OFFSET($H$3,0,0,'Données projet'!$E$13+1,1))</f>
        <v>475.47920969424894</v>
      </c>
      <c r="CZ86" s="60">
        <f t="shared" si="96"/>
        <v>271.73544012419364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9.6128205128205195</v>
      </c>
      <c r="DO86" s="13">
        <f>IF('Données projet'!$A$166&gt;35,DO85+DN86-DW85,IF(A86&lt;'Données projet'!$A$166,$DL$205^A86,IF(A86='Données projet'!$A$166,'Données projet'!$B$166,DO85+DN86-DW85)))</f>
        <v>359.60512820512821</v>
      </c>
      <c r="DP86" s="18">
        <f>DO86*VLOOKUP('Données projet'!$B$14,Paramètres!$A$1:$I$89,3,0)*VLOOKUP('Données projet'!$B$14,Paramètres!$A$1:$I$89,5,0)</f>
        <v>168.29520000000002</v>
      </c>
      <c r="DQ86" s="14">
        <f t="shared" si="97"/>
        <v>42.707981414721587</v>
      </c>
      <c r="DR86" s="22">
        <f t="shared" si="70"/>
        <v>367.4972076306401</v>
      </c>
      <c r="DS86" s="60">
        <f t="shared" si="71"/>
        <v>660.83054096397336</v>
      </c>
      <c r="DT86" s="60">
        <f ca="1">AVERAGE(OFFSET($DS$3,0,0,'Données projet'!$E$14+1,1))-AVERAGE(OFFSET($H$3,0,0,'Données projet'!$E$14+1,1))</f>
        <v>284.71577701131588</v>
      </c>
      <c r="DU86" s="60">
        <f t="shared" si="98"/>
        <v>190.4880882944471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-1.7053025658242404E-13</v>
      </c>
      <c r="EK86" s="18">
        <f>EJ86*VLOOKUP('Données projet'!$B$15,Paramètres!$A$1:$I$89,3,0)*VLOOKUP('Données projet'!$B$15,Paramètres!$A$1:$I$89,5,0)</f>
        <v>-1.250327841262333E-13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290.85271051443431</v>
      </c>
      <c r="EP86" s="60">
        <f t="shared" si="100"/>
        <v>318.66958823451142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0">
        <f t="shared" si="55"/>
        <v>807.65359376827541</v>
      </c>
      <c r="S87" s="60">
        <f ca="1">AVERAGE(OFFSET($R$3,0,0,'Données projet'!$E$9+1,1))-AVERAGE(OFFSET($H$3,0,0,'Données projet'!$E$9+1,1))</f>
        <v>428.8489304403459</v>
      </c>
      <c r="T87" s="60">
        <f t="shared" si="88"/>
        <v>247.01165577562966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1.2710188457276673E-13</v>
      </c>
      <c r="AK87" s="14">
        <f t="shared" si="89"/>
        <v>1.856866851063998E-12</v>
      </c>
      <c r="AL87" s="22">
        <f t="shared" si="58"/>
        <v>3.4554122145673649E-12</v>
      </c>
      <c r="AM87" s="60">
        <f t="shared" si="59"/>
        <v>293.33333333333678</v>
      </c>
      <c r="AN87" s="60">
        <f ca="1">AVERAGE(OFFSET($AM$3,0,0,'Données projet'!$E$10+1,1))-AVERAGE(OFFSET($H$3,0,0,'Données projet'!$E$10+1,1))</f>
        <v>323.98185264074681</v>
      </c>
      <c r="AO87" s="60">
        <f t="shared" si="90"/>
        <v>301.22207291854005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1.5314912908257765</v>
      </c>
      <c r="AV87" s="23">
        <f>EXP(-LN(2)/25)*AV86+(1-EXP(-LN(2)/25))/(LN(2)/25)*Calculateur!AQ87*Calculateur!AS87*VLOOKUP('Données projet'!$B$10,Paramètres!$A$1:$I$89,3,0)*0.475*44/12</f>
        <v>1.8453849865558574</v>
      </c>
      <c r="AW87" s="23">
        <f>EXP(-LN(2)/2)*AW86+(1-EXP(-LN(2)/2))/(LN(2)/2)*AQ87*AT87*VLOOKUP('Données projet'!$B$10,Paramètres!$A$1:$I$89,3,0)*0.475*44/12</f>
        <v>4.5357698050275599E-8</v>
      </c>
      <c r="AX87" s="23">
        <f t="shared" si="60"/>
        <v>3.3768763227393319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-2.8421709430404007E-13</v>
      </c>
      <c r="BE87" s="14">
        <f>BD87*VLOOKUP('Données projet'!$B$11,Paramètres!$A$1:$I$89,3,0)*VLOOKUP('Données projet'!$B$11,Paramètres!$A$1:$I$89,5,0)</f>
        <v>-1.69961822393816E-13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289.12367833861299</v>
      </c>
      <c r="BJ87" s="60">
        <f t="shared" si="92"/>
        <v>229.06617320689003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3.0896328970979523E-8</v>
      </c>
      <c r="BS87" s="24">
        <f t="shared" si="63"/>
        <v>3.0896328970979523E-8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-1.7053025658242404E-13</v>
      </c>
      <c r="BZ87" s="14">
        <f>BY87*VLOOKUP('Données projet'!$B$12,Paramètres!$A$1:$I$89,3,0)*VLOOKUP('Données projet'!$B$12,Paramètres!$A$1:$I$89,5,0)</f>
        <v>-1.3567387213697657E-13</v>
      </c>
      <c r="CA87" s="14" t="e">
        <f t="shared" si="93"/>
        <v>#NUM!</v>
      </c>
      <c r="CB87" s="22" t="e">
        <f t="shared" si="64"/>
        <v>#NUM!</v>
      </c>
      <c r="CC87" s="60" t="e">
        <f t="shared" si="65"/>
        <v>#NUM!</v>
      </c>
      <c r="CD87" s="60">
        <f ca="1">AVERAGE(OFFSET($CC$3,0,0,'Données projet'!$E$12+1,1))-AVERAGE(OFFSET($H$3,0,0,'Données projet'!$E$12+1,1))</f>
        <v>312.53381881960331</v>
      </c>
      <c r="CE87" s="60">
        <f t="shared" si="94"/>
        <v>342.06887933351783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266.07359999999994</v>
      </c>
      <c r="CV87" s="14">
        <f t="shared" si="95"/>
        <v>64.015279012301136</v>
      </c>
      <c r="CW87" s="22">
        <f t="shared" si="67"/>
        <v>574.90479761309098</v>
      </c>
      <c r="CX87" s="60">
        <f t="shared" si="68"/>
        <v>868.23813094642423</v>
      </c>
      <c r="CY87" s="60">
        <f ca="1">AVERAGE(OFFSET($CX$3,0,0,'Données projet'!$E$13+1,1))-AVERAGE(OFFSET($H$3,0,0,'Données projet'!$E$13+1,1))</f>
        <v>475.47920969424894</v>
      </c>
      <c r="CZ87" s="60">
        <f t="shared" si="96"/>
        <v>271.73544012419364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9.6128205128205195</v>
      </c>
      <c r="DO87" s="13">
        <f>IF('Données projet'!$A$166&gt;35,DO86+DN87-DW86,IF(A87&lt;'Données projet'!$A$166,$DL$205^A87,IF(A87='Données projet'!$A$166,'Données projet'!$B$166,DO86+DN87-DW86)))</f>
        <v>369.21794871794873</v>
      </c>
      <c r="DP87" s="18">
        <f>DO87*VLOOKUP('Données projet'!$B$14,Paramètres!$A$1:$I$89,3,0)*VLOOKUP('Données projet'!$B$14,Paramètres!$A$1:$I$89,5,0)</f>
        <v>172.79400000000001</v>
      </c>
      <c r="DQ87" s="14">
        <f t="shared" si="97"/>
        <v>43.715191706757231</v>
      </c>
      <c r="DR87" s="22">
        <f t="shared" si="70"/>
        <v>377.08684222260217</v>
      </c>
      <c r="DS87" s="60">
        <f t="shared" si="71"/>
        <v>670.42017555593543</v>
      </c>
      <c r="DT87" s="60">
        <f ca="1">AVERAGE(OFFSET($DS$3,0,0,'Données projet'!$E$14+1,1))-AVERAGE(OFFSET($H$3,0,0,'Données projet'!$E$14+1,1))</f>
        <v>284.71577701131588</v>
      </c>
      <c r="DU87" s="60">
        <f t="shared" si="98"/>
        <v>190.4880882944471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-1.7053025658242404E-13</v>
      </c>
      <c r="EK87" s="18">
        <f>EJ87*VLOOKUP('Données projet'!$B$15,Paramètres!$A$1:$I$89,3,0)*VLOOKUP('Données projet'!$B$15,Paramètres!$A$1:$I$89,5,0)</f>
        <v>-1.250327841262333E-13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290.85271051443431</v>
      </c>
      <c r="EP87" s="60">
        <f t="shared" si="100"/>
        <v>318.66958823451142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0">
        <f t="shared" si="55"/>
        <v>818.37715982660688</v>
      </c>
      <c r="S88" s="60">
        <f ca="1">AVERAGE(OFFSET($R$3,0,0,'Données projet'!$E$9+1,1))-AVERAGE(OFFSET($H$3,0,0,'Données projet'!$E$9+1,1))</f>
        <v>428.8489304403459</v>
      </c>
      <c r="T88" s="60">
        <f t="shared" si="88"/>
        <v>247.01165577562966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1.2710188457276673E-13</v>
      </c>
      <c r="AK88" s="14">
        <f t="shared" si="89"/>
        <v>1.856866851063998E-12</v>
      </c>
      <c r="AL88" s="22">
        <f t="shared" si="58"/>
        <v>3.4554122145673649E-12</v>
      </c>
      <c r="AM88" s="60">
        <f t="shared" si="59"/>
        <v>293.33333333333678</v>
      </c>
      <c r="AN88" s="60">
        <f ca="1">AVERAGE(OFFSET($AM$3,0,0,'Données projet'!$E$10+1,1))-AVERAGE(OFFSET($H$3,0,0,'Données projet'!$E$10+1,1))</f>
        <v>323.98185264074681</v>
      </c>
      <c r="AO88" s="60">
        <f t="shared" si="90"/>
        <v>301.22207291854005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1.5014596807301339</v>
      </c>
      <c r="AV88" s="23">
        <f>EXP(-LN(2)/25)*AV87+(1-EXP(-LN(2)/25))/(LN(2)/25)*Calculateur!AQ88*Calculateur!AS88*VLOOKUP('Données projet'!$B$10,Paramètres!$A$1:$I$89,3,0)*0.475*44/12</f>
        <v>1.7949228370539088</v>
      </c>
      <c r="AW88" s="23">
        <f>EXP(-LN(2)/2)*AW87+(1-EXP(-LN(2)/2))/(LN(2)/2)*AQ88*AT88*VLOOKUP('Données projet'!$B$10,Paramètres!$A$1:$I$89,3,0)*0.475*44/12</f>
        <v>3.2072735870361721E-8</v>
      </c>
      <c r="AX88" s="23">
        <f t="shared" si="60"/>
        <v>3.2963825498567787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-2.8421709430404007E-13</v>
      </c>
      <c r="BE88" s="14">
        <f>BD88*VLOOKUP('Données projet'!$B$11,Paramètres!$A$1:$I$89,3,0)*VLOOKUP('Données projet'!$B$11,Paramètres!$A$1:$I$89,5,0)</f>
        <v>-1.69961822393816E-13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289.12367833861299</v>
      </c>
      <c r="BJ88" s="60">
        <f t="shared" si="92"/>
        <v>229.06617320689003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2.1847003729150007E-8</v>
      </c>
      <c r="BS88" s="24">
        <f t="shared" si="63"/>
        <v>2.1847003729150007E-8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-1.7053025658242404E-13</v>
      </c>
      <c r="BZ88" s="14">
        <f>BY88*VLOOKUP('Données projet'!$B$12,Paramètres!$A$1:$I$89,3,0)*VLOOKUP('Données projet'!$B$12,Paramètres!$A$1:$I$89,5,0)</f>
        <v>-1.3567387213697657E-13</v>
      </c>
      <c r="CA88" s="14" t="e">
        <f t="shared" si="93"/>
        <v>#NUM!</v>
      </c>
      <c r="CB88" s="22" t="e">
        <f t="shared" si="64"/>
        <v>#NUM!</v>
      </c>
      <c r="CC88" s="60" t="e">
        <f t="shared" si="65"/>
        <v>#NUM!</v>
      </c>
      <c r="CD88" s="60">
        <f ca="1">AVERAGE(OFFSET($CC$3,0,0,'Données projet'!$E$12+1,1))-AVERAGE(OFFSET($H$3,0,0,'Données projet'!$E$12+1,1))</f>
        <v>312.53381881960331</v>
      </c>
      <c r="CE88" s="60">
        <f t="shared" si="94"/>
        <v>342.06887933351783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271.75199999999995</v>
      </c>
      <c r="CV88" s="14">
        <f t="shared" si="95"/>
        <v>65.220947824724931</v>
      </c>
      <c r="CW88" s="22">
        <f t="shared" si="67"/>
        <v>586.89455079472907</v>
      </c>
      <c r="CX88" s="60">
        <f t="shared" si="68"/>
        <v>880.22788412806244</v>
      </c>
      <c r="CY88" s="60">
        <f ca="1">AVERAGE(OFFSET($CX$3,0,0,'Données projet'!$E$13+1,1))-AVERAGE(OFFSET($H$3,0,0,'Données projet'!$E$13+1,1))</f>
        <v>475.47920969424894</v>
      </c>
      <c r="CZ88" s="60">
        <f t="shared" si="96"/>
        <v>271.73544012419364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378.83076923076925</v>
      </c>
      <c r="DM88" s="13">
        <f>VLOOKUP(A88,'Données projet'!$A$165:$I$185,9,0)</f>
        <v>9.6128205128205195</v>
      </c>
      <c r="DN88" s="13">
        <f t="array" ref="DN88">INDEX(DM:DM,MIN(IF(ISNUMBER(DM88:DM284),ROW(DM88:DM284),"")))</f>
        <v>9.6128205128205195</v>
      </c>
      <c r="DO88" s="13">
        <f>IF('Données projet'!$A$166&gt;35,DO87+DN88-DW87,IF(A88&lt;'Données projet'!$A$166,$DL$205^A88,IF(A88='Données projet'!$A$166,'Données projet'!$B$166,DO87+DN88-DW87)))</f>
        <v>378.83076923076925</v>
      </c>
      <c r="DP88" s="18">
        <f>DO88*VLOOKUP('Données projet'!$B$14,Paramètres!$A$1:$I$89,3,0)*VLOOKUP('Données projet'!$B$14,Paramètres!$A$1:$I$89,5,0)</f>
        <v>177.2928</v>
      </c>
      <c r="DQ88" s="14">
        <f t="shared" si="97"/>
        <v>44.719353857403867</v>
      </c>
      <c r="DR88" s="22">
        <f t="shared" si="70"/>
        <v>386.67116796831169</v>
      </c>
      <c r="DS88" s="60">
        <f t="shared" si="71"/>
        <v>680.00450130164495</v>
      </c>
      <c r="DT88" s="60">
        <f ca="1">AVERAGE(OFFSET($DS$3,0,0,'Données projet'!$E$14+1,1))-AVERAGE(OFFSET($H$3,0,0,'Données projet'!$E$14+1,1))</f>
        <v>284.71577701131588</v>
      </c>
      <c r="DU88" s="60">
        <f t="shared" si="98"/>
        <v>190.4880882944471</v>
      </c>
      <c r="DV88" s="16">
        <f>IF(ISNA(VLOOKUP(A88,'Données projet'!$A$165:$I$185,3,0)),0,VLOOKUP(A88,'Données projet'!$A$165:$I$185,3,0))</f>
        <v>4</v>
      </c>
      <c r="DW88" s="16">
        <f>IF(ISNA(VLOOKUP(A88,'Données projet'!$A$165:$I$185,4,0)),0,VLOOKUP(A88,'Données projet'!$A$165:$I$185,4,0))</f>
        <v>85.207692307692298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-1.7053025658242404E-13</v>
      </c>
      <c r="EK88" s="18">
        <f>EJ88*VLOOKUP('Données projet'!$B$15,Paramètres!$A$1:$I$89,3,0)*VLOOKUP('Données projet'!$B$15,Paramètres!$A$1:$I$89,5,0)</f>
        <v>-1.250327841262333E-13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290.85271051443431</v>
      </c>
      <c r="EP88" s="60">
        <f t="shared" si="100"/>
        <v>318.66958823451142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0">
        <f t="shared" si="55"/>
        <v>829.09611292828231</v>
      </c>
      <c r="S89" s="60">
        <f ca="1">AVERAGE(OFFSET($R$3,0,0,'Données projet'!$E$9+1,1))-AVERAGE(OFFSET($H$3,0,0,'Données projet'!$E$9+1,1))</f>
        <v>428.8489304403459</v>
      </c>
      <c r="T89" s="60">
        <f t="shared" si="88"/>
        <v>247.01165577562966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1.2710188457276673E-13</v>
      </c>
      <c r="AK89" s="14">
        <f t="shared" si="89"/>
        <v>1.856866851063998E-12</v>
      </c>
      <c r="AL89" s="22">
        <f t="shared" si="58"/>
        <v>3.4554122145673649E-12</v>
      </c>
      <c r="AM89" s="60">
        <f t="shared" si="59"/>
        <v>293.33333333333678</v>
      </c>
      <c r="AN89" s="60">
        <f ca="1">AVERAGE(OFFSET($AM$3,0,0,'Données projet'!$E$10+1,1))-AVERAGE(OFFSET($H$3,0,0,'Données projet'!$E$10+1,1))</f>
        <v>323.98185264074681</v>
      </c>
      <c r="AO89" s="60">
        <f t="shared" si="90"/>
        <v>301.22207291854005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1.4720169721909935</v>
      </c>
      <c r="AV89" s="23">
        <f>EXP(-LN(2)/25)*AV88+(1-EXP(-LN(2)/25))/(LN(2)/25)*Calculateur!AQ89*Calculateur!AS89*VLOOKUP('Données projet'!$B$10,Paramètres!$A$1:$I$89,3,0)*0.475*44/12</f>
        <v>1.74584057768378</v>
      </c>
      <c r="AW89" s="23">
        <f>EXP(-LN(2)/2)*AW88+(1-EXP(-LN(2)/2))/(LN(2)/2)*AQ89*AT89*VLOOKUP('Données projet'!$B$10,Paramètres!$A$1:$I$89,3,0)*0.475*44/12</f>
        <v>2.2678849025137799E-8</v>
      </c>
      <c r="AX89" s="23">
        <f t="shared" si="60"/>
        <v>3.2178575725536227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-2.8421709430404007E-13</v>
      </c>
      <c r="BE89" s="14">
        <f>BD89*VLOOKUP('Données projet'!$B$11,Paramètres!$A$1:$I$89,3,0)*VLOOKUP('Données projet'!$B$11,Paramètres!$A$1:$I$89,5,0)</f>
        <v>-1.69961822393816E-13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289.12367833861299</v>
      </c>
      <c r="BJ89" s="60">
        <f t="shared" si="92"/>
        <v>229.06617320689003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1.5448164485489761E-8</v>
      </c>
      <c r="BS89" s="24">
        <f t="shared" si="63"/>
        <v>1.5448164485489761E-8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-1.7053025658242404E-13</v>
      </c>
      <c r="BZ89" s="14">
        <f>BY89*VLOOKUP('Données projet'!$B$12,Paramètres!$A$1:$I$89,3,0)*VLOOKUP('Données projet'!$B$12,Paramètres!$A$1:$I$89,5,0)</f>
        <v>-1.3567387213697657E-13</v>
      </c>
      <c r="CA89" s="14" t="e">
        <f t="shared" si="93"/>
        <v>#NUM!</v>
      </c>
      <c r="CB89" s="22" t="e">
        <f t="shared" si="64"/>
        <v>#NUM!</v>
      </c>
      <c r="CC89" s="60" t="e">
        <f t="shared" si="65"/>
        <v>#NUM!</v>
      </c>
      <c r="CD89" s="60">
        <f ca="1">AVERAGE(OFFSET($CC$3,0,0,'Données projet'!$E$12+1,1))-AVERAGE(OFFSET($H$3,0,0,'Données projet'!$E$12+1,1))</f>
        <v>312.53381881960331</v>
      </c>
      <c r="CE89" s="60">
        <f t="shared" si="94"/>
        <v>342.06887933351783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277.43039999999996</v>
      </c>
      <c r="CV89" s="14">
        <f t="shared" si="95"/>
        <v>66.423687500715673</v>
      </c>
      <c r="CW89" s="22">
        <f t="shared" si="67"/>
        <v>598.87920239707967</v>
      </c>
      <c r="CX89" s="60">
        <f t="shared" si="68"/>
        <v>892.21253573041304</v>
      </c>
      <c r="CY89" s="60">
        <f ca="1">AVERAGE(OFFSET($CX$3,0,0,'Données projet'!$E$13+1,1))-AVERAGE(OFFSET($H$3,0,0,'Données projet'!$E$13+1,1))</f>
        <v>475.47920969424894</v>
      </c>
      <c r="CZ89" s="60">
        <f t="shared" si="96"/>
        <v>271.73544012419364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8.6692307692307597</v>
      </c>
      <c r="DO89" s="13">
        <f>IF('Données projet'!$A$166&gt;35,DO88+DN89-DW88,IF(A89&lt;'Données projet'!$A$166,$DL$205^A89,IF(A89='Données projet'!$A$166,'Données projet'!$B$166,DO88+DN89-DW88)))</f>
        <v>302.2923076923077</v>
      </c>
      <c r="DP89" s="18">
        <f>DO89*VLOOKUP('Données projet'!$B$14,Paramètres!$A$1:$I$89,3,0)*VLOOKUP('Données projet'!$B$14,Paramètres!$A$1:$I$89,5,0)</f>
        <v>141.47280000000001</v>
      </c>
      <c r="DQ89" s="14">
        <f t="shared" si="97"/>
        <v>36.634197520987641</v>
      </c>
      <c r="DR89" s="22">
        <f t="shared" si="70"/>
        <v>310.20302068238681</v>
      </c>
      <c r="DS89" s="60">
        <f t="shared" si="71"/>
        <v>603.53635401572012</v>
      </c>
      <c r="DT89" s="60">
        <f ca="1">AVERAGE(OFFSET($DS$3,0,0,'Données projet'!$E$14+1,1))-AVERAGE(OFFSET($H$3,0,0,'Données projet'!$E$14+1,1))</f>
        <v>284.71577701131588</v>
      </c>
      <c r="DU89" s="60">
        <f t="shared" si="98"/>
        <v>190.4880882944471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-1.7053025658242404E-13</v>
      </c>
      <c r="EK89" s="18">
        <f>EJ89*VLOOKUP('Données projet'!$B$15,Paramètres!$A$1:$I$89,3,0)*VLOOKUP('Données projet'!$B$15,Paramètres!$A$1:$I$89,5,0)</f>
        <v>-1.250327841262333E-13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290.85271051443431</v>
      </c>
      <c r="EP89" s="60">
        <f t="shared" si="100"/>
        <v>318.66958823451142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0">
        <f t="shared" si="55"/>
        <v>839.81055837008694</v>
      </c>
      <c r="S90" s="60">
        <f ca="1">AVERAGE(OFFSET($R$3,0,0,'Données projet'!$E$9+1,1))-AVERAGE(OFFSET($H$3,0,0,'Données projet'!$E$9+1,1))</f>
        <v>428.8489304403459</v>
      </c>
      <c r="T90" s="60">
        <f t="shared" si="88"/>
        <v>247.01165577562966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1.2710188457276673E-13</v>
      </c>
      <c r="AK90" s="14">
        <f t="shared" si="89"/>
        <v>1.856866851063998E-12</v>
      </c>
      <c r="AL90" s="22">
        <f t="shared" si="58"/>
        <v>3.4554122145673649E-12</v>
      </c>
      <c r="AM90" s="60">
        <f t="shared" si="59"/>
        <v>293.33333333333678</v>
      </c>
      <c r="AN90" s="60">
        <f ca="1">AVERAGE(OFFSET($AM$3,0,0,'Données projet'!$E$10+1,1))-AVERAGE(OFFSET($H$3,0,0,'Données projet'!$E$10+1,1))</f>
        <v>323.98185264074681</v>
      </c>
      <c r="AO90" s="60">
        <f t="shared" si="90"/>
        <v>301.22207291854005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1.4431516172080265</v>
      </c>
      <c r="AV90" s="23">
        <f>EXP(-LN(2)/25)*AV89+(1-EXP(-LN(2)/25))/(LN(2)/25)*Calculateur!AQ90*Calculateur!AS90*VLOOKUP('Données projet'!$B$10,Paramètres!$A$1:$I$89,3,0)*0.475*44/12</f>
        <v>1.6981004752772513</v>
      </c>
      <c r="AW90" s="23">
        <f>EXP(-LN(2)/2)*AW89+(1-EXP(-LN(2)/2))/(LN(2)/2)*AQ90*AT90*VLOOKUP('Données projet'!$B$10,Paramètres!$A$1:$I$89,3,0)*0.475*44/12</f>
        <v>1.603636793518086E-8</v>
      </c>
      <c r="AX90" s="23">
        <f t="shared" si="60"/>
        <v>3.1412521085216456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-2.8421709430404007E-13</v>
      </c>
      <c r="BE90" s="14">
        <f>BD90*VLOOKUP('Données projet'!$B$11,Paramètres!$A$1:$I$89,3,0)*VLOOKUP('Données projet'!$B$11,Paramètres!$A$1:$I$89,5,0)</f>
        <v>-1.69961822393816E-13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289.12367833861299</v>
      </c>
      <c r="BJ90" s="60">
        <f t="shared" si="92"/>
        <v>229.06617320689003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1.0923501864575003E-8</v>
      </c>
      <c r="BS90" s="24">
        <f t="shared" si="63"/>
        <v>1.0923501864575003E-8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-1.7053025658242404E-13</v>
      </c>
      <c r="BZ90" s="14">
        <f>BY90*VLOOKUP('Données projet'!$B$12,Paramètres!$A$1:$I$89,3,0)*VLOOKUP('Données projet'!$B$12,Paramètres!$A$1:$I$89,5,0)</f>
        <v>-1.3567387213697657E-13</v>
      </c>
      <c r="CA90" s="14" t="e">
        <f t="shared" si="93"/>
        <v>#NUM!</v>
      </c>
      <c r="CB90" s="22" t="e">
        <f t="shared" si="64"/>
        <v>#NUM!</v>
      </c>
      <c r="CC90" s="60" t="e">
        <f t="shared" si="65"/>
        <v>#NUM!</v>
      </c>
      <c r="CD90" s="60">
        <f ca="1">AVERAGE(OFFSET($CC$3,0,0,'Données projet'!$E$12+1,1))-AVERAGE(OFFSET($H$3,0,0,'Données projet'!$E$12+1,1))</f>
        <v>312.53381881960331</v>
      </c>
      <c r="CE90" s="60">
        <f t="shared" si="94"/>
        <v>342.06887933351783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283.10879999999997</v>
      </c>
      <c r="CV90" s="14">
        <f t="shared" si="95"/>
        <v>67.623564901653808</v>
      </c>
      <c r="CW90" s="22">
        <f t="shared" si="67"/>
        <v>610.85886887038032</v>
      </c>
      <c r="CX90" s="60">
        <f t="shared" si="68"/>
        <v>904.19220220371358</v>
      </c>
      <c r="CY90" s="60">
        <f ca="1">AVERAGE(OFFSET($CX$3,0,0,'Données projet'!$E$13+1,1))-AVERAGE(OFFSET($H$3,0,0,'Données projet'!$E$13+1,1))</f>
        <v>475.47920969424894</v>
      </c>
      <c r="CZ90" s="60">
        <f t="shared" si="96"/>
        <v>271.73544012419364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8.6692307692307597</v>
      </c>
      <c r="DO90" s="13">
        <f>IF('Données projet'!$A$166&gt;35,DO89+DN90-DW89,IF(A90&lt;'Données projet'!$A$166,$DL$205^A90,IF(A90='Données projet'!$A$166,'Données projet'!$B$166,DO89+DN90-DW89)))</f>
        <v>310.96153846153845</v>
      </c>
      <c r="DP90" s="18">
        <f>DO90*VLOOKUP('Données projet'!$B$14,Paramètres!$A$1:$I$89,3,0)*VLOOKUP('Données projet'!$B$14,Paramètres!$A$1:$I$89,5,0)</f>
        <v>145.53</v>
      </c>
      <c r="DQ90" s="14">
        <f t="shared" si="97"/>
        <v>37.560980425605734</v>
      </c>
      <c r="DR90" s="22">
        <f t="shared" si="70"/>
        <v>318.8834575745966</v>
      </c>
      <c r="DS90" s="60">
        <f t="shared" si="71"/>
        <v>612.21679090792986</v>
      </c>
      <c r="DT90" s="60">
        <f ca="1">AVERAGE(OFFSET($DS$3,0,0,'Données projet'!$E$14+1,1))-AVERAGE(OFFSET($H$3,0,0,'Données projet'!$E$14+1,1))</f>
        <v>284.71577701131588</v>
      </c>
      <c r="DU90" s="60">
        <f t="shared" si="98"/>
        <v>190.4880882944471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-1.7053025658242404E-13</v>
      </c>
      <c r="EK90" s="18">
        <f>EJ90*VLOOKUP('Données projet'!$B$15,Paramètres!$A$1:$I$89,3,0)*VLOOKUP('Données projet'!$B$15,Paramètres!$A$1:$I$89,5,0)</f>
        <v>-1.250327841262333E-13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290.85271051443431</v>
      </c>
      <c r="EP90" s="60">
        <f t="shared" si="100"/>
        <v>318.66958823451142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0">
        <f t="shared" si="55"/>
        <v>850.52059698334892</v>
      </c>
      <c r="S91" s="60">
        <f ca="1">AVERAGE(OFFSET($R$3,0,0,'Données projet'!$E$9+1,1))-AVERAGE(OFFSET($H$3,0,0,'Données projet'!$E$9+1,1))</f>
        <v>428.8489304403459</v>
      </c>
      <c r="T91" s="60">
        <f t="shared" si="88"/>
        <v>247.01165577562966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1.2710188457276673E-13</v>
      </c>
      <c r="AK91" s="14">
        <f t="shared" si="89"/>
        <v>1.856866851063998E-12</v>
      </c>
      <c r="AL91" s="22">
        <f t="shared" si="58"/>
        <v>3.4554122145673649E-12</v>
      </c>
      <c r="AM91" s="60">
        <f t="shared" si="59"/>
        <v>293.33333333333678</v>
      </c>
      <c r="AN91" s="60">
        <f ca="1">AVERAGE(OFFSET($AM$3,0,0,'Données projet'!$E$10+1,1))-AVERAGE(OFFSET($H$3,0,0,'Données projet'!$E$10+1,1))</f>
        <v>323.98185264074681</v>
      </c>
      <c r="AO91" s="60">
        <f t="shared" si="90"/>
        <v>301.22207291854005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1.4148522942301476</v>
      </c>
      <c r="AV91" s="23">
        <f>EXP(-LN(2)/25)*AV90+(1-EXP(-LN(2)/25))/(LN(2)/25)*Calculateur!AQ91*Calculateur!AS91*VLOOKUP('Données projet'!$B$10,Paramètres!$A$1:$I$89,3,0)*0.475*44/12</f>
        <v>1.651665828481572</v>
      </c>
      <c r="AW91" s="23">
        <f>EXP(-LN(2)/2)*AW90+(1-EXP(-LN(2)/2))/(LN(2)/2)*AQ91*AT91*VLOOKUP('Données projet'!$B$10,Paramètres!$A$1:$I$89,3,0)*0.475*44/12</f>
        <v>1.13394245125689E-8</v>
      </c>
      <c r="AX91" s="23">
        <f t="shared" si="60"/>
        <v>3.0665181340511438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-2.8421709430404007E-13</v>
      </c>
      <c r="BE91" s="14">
        <f>BD91*VLOOKUP('Données projet'!$B$11,Paramètres!$A$1:$I$89,3,0)*VLOOKUP('Données projet'!$B$11,Paramètres!$A$1:$I$89,5,0)</f>
        <v>-1.69961822393816E-13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289.12367833861299</v>
      </c>
      <c r="BJ91" s="60">
        <f t="shared" si="92"/>
        <v>229.06617320689003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7.7240822427448807E-9</v>
      </c>
      <c r="BS91" s="24">
        <f t="shared" si="63"/>
        <v>7.7240822427448807E-9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-1.7053025658242404E-13</v>
      </c>
      <c r="BZ91" s="14">
        <f>BY91*VLOOKUP('Données projet'!$B$12,Paramètres!$A$1:$I$89,3,0)*VLOOKUP('Données projet'!$B$12,Paramètres!$A$1:$I$89,5,0)</f>
        <v>-1.3567387213697657E-13</v>
      </c>
      <c r="CA91" s="14" t="e">
        <f t="shared" si="93"/>
        <v>#NUM!</v>
      </c>
      <c r="CB91" s="22" t="e">
        <f t="shared" si="64"/>
        <v>#NUM!</v>
      </c>
      <c r="CC91" s="60" t="e">
        <f t="shared" si="65"/>
        <v>#NUM!</v>
      </c>
      <c r="CD91" s="60">
        <f ca="1">AVERAGE(OFFSET($CC$3,0,0,'Données projet'!$E$12+1,1))-AVERAGE(OFFSET($H$3,0,0,'Données projet'!$E$12+1,1))</f>
        <v>312.53381881960331</v>
      </c>
      <c r="CE91" s="60">
        <f t="shared" si="94"/>
        <v>342.06887933351783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288.78720000000004</v>
      </c>
      <c r="CV91" s="14">
        <f t="shared" si="95"/>
        <v>68.820644053442436</v>
      </c>
      <c r="CW91" s="22">
        <f t="shared" si="67"/>
        <v>622.83366172641229</v>
      </c>
      <c r="CX91" s="60">
        <f t="shared" si="68"/>
        <v>916.16699505974566</v>
      </c>
      <c r="CY91" s="60">
        <f ca="1">AVERAGE(OFFSET($CX$3,0,0,'Données projet'!$E$13+1,1))-AVERAGE(OFFSET($H$3,0,0,'Données projet'!$E$13+1,1))</f>
        <v>475.47920969424894</v>
      </c>
      <c r="CZ91" s="60">
        <f t="shared" si="96"/>
        <v>271.73544012419364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8.6692307692307597</v>
      </c>
      <c r="DO91" s="13">
        <f>IF('Données projet'!$A$166&gt;35,DO90+DN91-DW90,IF(A91&lt;'Données projet'!$A$166,$DL$205^A91,IF(A91='Données projet'!$A$166,'Données projet'!$B$166,DO90+DN91-DW90)))</f>
        <v>319.6307692307692</v>
      </c>
      <c r="DP91" s="18">
        <f>DO91*VLOOKUP('Données projet'!$B$14,Paramètres!$A$1:$I$89,3,0)*VLOOKUP('Données projet'!$B$14,Paramètres!$A$1:$I$89,5,0)</f>
        <v>149.5872</v>
      </c>
      <c r="DQ91" s="14">
        <f t="shared" si="97"/>
        <v>38.484760298912072</v>
      </c>
      <c r="DR91" s="22">
        <f t="shared" si="70"/>
        <v>327.55866418727186</v>
      </c>
      <c r="DS91" s="60">
        <f t="shared" si="71"/>
        <v>620.89199752060517</v>
      </c>
      <c r="DT91" s="60">
        <f ca="1">AVERAGE(OFFSET($DS$3,0,0,'Données projet'!$E$14+1,1))-AVERAGE(OFFSET($H$3,0,0,'Données projet'!$E$14+1,1))</f>
        <v>284.71577701131588</v>
      </c>
      <c r="DU91" s="60">
        <f t="shared" si="98"/>
        <v>190.4880882944471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-1.7053025658242404E-13</v>
      </c>
      <c r="EK91" s="18">
        <f>EJ91*VLOOKUP('Données projet'!$B$15,Paramètres!$A$1:$I$89,3,0)*VLOOKUP('Données projet'!$B$15,Paramètres!$A$1:$I$89,5,0)</f>
        <v>-1.250327841262333E-13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290.85271051443431</v>
      </c>
      <c r="EP91" s="60">
        <f t="shared" si="100"/>
        <v>318.66958823451142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0">
        <f t="shared" si="55"/>
        <v>861.22632540732775</v>
      </c>
      <c r="S92" s="60">
        <f ca="1">AVERAGE(OFFSET($R$3,0,0,'Données projet'!$E$9+1,1))-AVERAGE(OFFSET($H$3,0,0,'Données projet'!$E$9+1,1))</f>
        <v>428.8489304403459</v>
      </c>
      <c r="T92" s="60">
        <f t="shared" si="88"/>
        <v>247.01165577562966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1.2710188457276673E-13</v>
      </c>
      <c r="AK92" s="14">
        <f t="shared" si="89"/>
        <v>1.856866851063998E-12</v>
      </c>
      <c r="AL92" s="22">
        <f t="shared" si="58"/>
        <v>3.4554122145673649E-12</v>
      </c>
      <c r="AM92" s="60">
        <f t="shared" si="59"/>
        <v>293.33333333333678</v>
      </c>
      <c r="AN92" s="60">
        <f ca="1">AVERAGE(OFFSET($AM$3,0,0,'Données projet'!$E$10+1,1))-AVERAGE(OFFSET($H$3,0,0,'Données projet'!$E$10+1,1))</f>
        <v>323.98185264074681</v>
      </c>
      <c r="AO92" s="60">
        <f t="shared" si="90"/>
        <v>301.22207291854005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1.3871079037149823</v>
      </c>
      <c r="AV92" s="23">
        <f>EXP(-LN(2)/25)*AV91+(1-EXP(-LN(2)/25))/(LN(2)/25)*Calculateur!AQ92*Calculateur!AS92*VLOOKUP('Données projet'!$B$10,Paramètres!$A$1:$I$89,3,0)*0.475*44/12</f>
        <v>1.6065009395444123</v>
      </c>
      <c r="AW92" s="23">
        <f>EXP(-LN(2)/2)*AW91+(1-EXP(-LN(2)/2))/(LN(2)/2)*AQ92*AT92*VLOOKUP('Données projet'!$B$10,Paramètres!$A$1:$I$89,3,0)*0.475*44/12</f>
        <v>8.0181839675904301E-9</v>
      </c>
      <c r="AX92" s="23">
        <f t="shared" si="60"/>
        <v>2.9936088512775787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-2.8421709430404007E-13</v>
      </c>
      <c r="BE92" s="14">
        <f>BD92*VLOOKUP('Données projet'!$B$11,Paramètres!$A$1:$I$89,3,0)*VLOOKUP('Données projet'!$B$11,Paramètres!$A$1:$I$89,5,0)</f>
        <v>-1.69961822393816E-13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289.12367833861299</v>
      </c>
      <c r="BJ92" s="60">
        <f t="shared" si="92"/>
        <v>229.06617320689003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5.4617509322875017E-9</v>
      </c>
      <c r="BS92" s="24">
        <f t="shared" si="63"/>
        <v>5.4617509322875017E-9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-1.7053025658242404E-13</v>
      </c>
      <c r="BZ92" s="14">
        <f>BY92*VLOOKUP('Données projet'!$B$12,Paramètres!$A$1:$I$89,3,0)*VLOOKUP('Données projet'!$B$12,Paramètres!$A$1:$I$89,5,0)</f>
        <v>-1.3567387213697657E-13</v>
      </c>
      <c r="CA92" s="14" t="e">
        <f t="shared" si="93"/>
        <v>#NUM!</v>
      </c>
      <c r="CB92" s="22" t="e">
        <f t="shared" si="64"/>
        <v>#NUM!</v>
      </c>
      <c r="CC92" s="60" t="e">
        <f t="shared" si="65"/>
        <v>#NUM!</v>
      </c>
      <c r="CD92" s="60">
        <f ca="1">AVERAGE(OFFSET($CC$3,0,0,'Données projet'!$E$12+1,1))-AVERAGE(OFFSET($H$3,0,0,'Données projet'!$E$12+1,1))</f>
        <v>312.53381881960331</v>
      </c>
      <c r="CE92" s="60">
        <f t="shared" si="94"/>
        <v>342.06887933351783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294.46560000000005</v>
      </c>
      <c r="CV92" s="14">
        <f t="shared" si="95"/>
        <v>70.014986320104285</v>
      </c>
      <c r="CW92" s="22">
        <f t="shared" si="67"/>
        <v>634.8036878408484</v>
      </c>
      <c r="CX92" s="60">
        <f t="shared" si="68"/>
        <v>928.13702117418165</v>
      </c>
      <c r="CY92" s="60">
        <f ca="1">AVERAGE(OFFSET($CX$3,0,0,'Données projet'!$E$13+1,1))-AVERAGE(OFFSET($H$3,0,0,'Données projet'!$E$13+1,1))</f>
        <v>475.47920969424894</v>
      </c>
      <c r="CZ92" s="60">
        <f t="shared" si="96"/>
        <v>271.73544012419364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8.6692307692307597</v>
      </c>
      <c r="DO92" s="13">
        <f>IF('Données projet'!$A$166&gt;35,DO91+DN92-DW91,IF(A92&lt;'Données projet'!$A$166,$DL$205^A92,IF(A92='Données projet'!$A$166,'Données projet'!$B$166,DO91+DN92-DW91)))</f>
        <v>328.29999999999995</v>
      </c>
      <c r="DP92" s="18">
        <f>DO92*VLOOKUP('Données projet'!$B$14,Paramètres!$A$1:$I$89,3,0)*VLOOKUP('Données projet'!$B$14,Paramètres!$A$1:$I$89,5,0)</f>
        <v>153.64439999999996</v>
      </c>
      <c r="DQ92" s="14">
        <f t="shared" si="97"/>
        <v>39.405627951004654</v>
      </c>
      <c r="DR92" s="22">
        <f t="shared" si="70"/>
        <v>336.22879868133299</v>
      </c>
      <c r="DS92" s="60">
        <f t="shared" si="71"/>
        <v>629.5621320146663</v>
      </c>
      <c r="DT92" s="60">
        <f ca="1">AVERAGE(OFFSET($DS$3,0,0,'Données projet'!$E$14+1,1))-AVERAGE(OFFSET($H$3,0,0,'Données projet'!$E$14+1,1))</f>
        <v>284.71577701131588</v>
      </c>
      <c r="DU92" s="60">
        <f t="shared" si="98"/>
        <v>190.4880882944471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-1.7053025658242404E-13</v>
      </c>
      <c r="EK92" s="18">
        <f>EJ92*VLOOKUP('Données projet'!$B$15,Paramètres!$A$1:$I$89,3,0)*VLOOKUP('Données projet'!$B$15,Paramètres!$A$1:$I$89,5,0)</f>
        <v>-1.250327841262333E-13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290.85271051443431</v>
      </c>
      <c r="EP92" s="60">
        <f t="shared" si="100"/>
        <v>318.66958823451142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0">
        <f t="shared" si="55"/>
        <v>871.92783634092143</v>
      </c>
      <c r="S93" s="60">
        <f ca="1">AVERAGE(OFFSET($R$3,0,0,'Données projet'!$E$9+1,1))-AVERAGE(OFFSET($H$3,0,0,'Données projet'!$E$9+1,1))</f>
        <v>428.8489304403459</v>
      </c>
      <c r="T93" s="60">
        <f t="shared" si="88"/>
        <v>247.01165577562966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1.2710188457276673E-13</v>
      </c>
      <c r="AK93" s="14">
        <f t="shared" si="89"/>
        <v>1.856866851063998E-12</v>
      </c>
      <c r="AL93" s="22">
        <f t="shared" si="58"/>
        <v>3.4554122145673649E-12</v>
      </c>
      <c r="AM93" s="60">
        <f t="shared" si="59"/>
        <v>293.33333333333678</v>
      </c>
      <c r="AN93" s="60">
        <f ca="1">AVERAGE(OFFSET($AM$3,0,0,'Données projet'!$E$10+1,1))-AVERAGE(OFFSET($H$3,0,0,'Données projet'!$E$10+1,1))</f>
        <v>323.98185264074681</v>
      </c>
      <c r="AO93" s="60">
        <f t="shared" si="90"/>
        <v>301.22207291854005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1.3599075637754121</v>
      </c>
      <c r="AV93" s="23">
        <f>EXP(-LN(2)/25)*AV92+(1-EXP(-LN(2)/25))/(LN(2)/25)*Calculateur!AQ93*Calculateur!AS93*VLOOKUP('Données projet'!$B$10,Paramètres!$A$1:$I$89,3,0)*0.475*44/12</f>
        <v>1.5625710868703577</v>
      </c>
      <c r="AW93" s="23">
        <f>EXP(-LN(2)/2)*AW92+(1-EXP(-LN(2)/2))/(LN(2)/2)*AQ93*AT93*VLOOKUP('Données projet'!$B$10,Paramètres!$A$1:$I$89,3,0)*0.475*44/12</f>
        <v>5.6697122562844499E-9</v>
      </c>
      <c r="AX93" s="23">
        <f t="shared" si="60"/>
        <v>2.9224786563154823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-2.8421709430404007E-13</v>
      </c>
      <c r="BE93" s="14">
        <f>BD93*VLOOKUP('Données projet'!$B$11,Paramètres!$A$1:$I$89,3,0)*VLOOKUP('Données projet'!$B$11,Paramètres!$A$1:$I$89,5,0)</f>
        <v>-1.69961822393816E-13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289.12367833861299</v>
      </c>
      <c r="BJ93" s="60">
        <f t="shared" si="92"/>
        <v>229.06617320689003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3.8620411213724403E-9</v>
      </c>
      <c r="BS93" s="24">
        <f t="shared" si="63"/>
        <v>3.8620411213724403E-9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-1.7053025658242404E-13</v>
      </c>
      <c r="BZ93" s="14">
        <f>BY93*VLOOKUP('Données projet'!$B$12,Paramètres!$A$1:$I$89,3,0)*VLOOKUP('Données projet'!$B$12,Paramètres!$A$1:$I$89,5,0)</f>
        <v>-1.3567387213697657E-13</v>
      </c>
      <c r="CA93" s="14" t="e">
        <f t="shared" si="93"/>
        <v>#NUM!</v>
      </c>
      <c r="CB93" s="22" t="e">
        <f t="shared" si="64"/>
        <v>#NUM!</v>
      </c>
      <c r="CC93" s="60" t="e">
        <f t="shared" si="65"/>
        <v>#NUM!</v>
      </c>
      <c r="CD93" s="60">
        <f ca="1">AVERAGE(OFFSET($CC$3,0,0,'Données projet'!$E$12+1,1))-AVERAGE(OFFSET($H$3,0,0,'Données projet'!$E$12+1,1))</f>
        <v>312.53381881960331</v>
      </c>
      <c r="CE93" s="60">
        <f t="shared" si="94"/>
        <v>342.06887933351783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300.14400000000006</v>
      </c>
      <c r="CV93" s="14">
        <f t="shared" si="95"/>
        <v>71.206650563609855</v>
      </c>
      <c r="CW93" s="22">
        <f t="shared" si="67"/>
        <v>646.76904973162061</v>
      </c>
      <c r="CX93" s="60">
        <f t="shared" si="68"/>
        <v>940.10238306495398</v>
      </c>
      <c r="CY93" s="60">
        <f ca="1">AVERAGE(OFFSET($CX$3,0,0,'Données projet'!$E$13+1,1))-AVERAGE(OFFSET($H$3,0,0,'Données projet'!$E$13+1,1))</f>
        <v>475.47920969424894</v>
      </c>
      <c r="CZ93" s="60">
        <f t="shared" si="96"/>
        <v>271.73544012419364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8.6692307692307597</v>
      </c>
      <c r="DO93" s="13">
        <f>IF('Données projet'!$A$166&gt;35,DO92+DN93-DW92,IF(A93&lt;'Données projet'!$A$166,$DL$205^A93,IF(A93='Données projet'!$A$166,'Données projet'!$B$166,DO92+DN93-DW92)))</f>
        <v>336.96923076923071</v>
      </c>
      <c r="DP93" s="18">
        <f>DO93*VLOOKUP('Données projet'!$B$14,Paramètres!$A$1:$I$89,3,0)*VLOOKUP('Données projet'!$B$14,Paramètres!$A$1:$I$89,5,0)</f>
        <v>157.70159999999998</v>
      </c>
      <c r="DQ93" s="14">
        <f t="shared" si="97"/>
        <v>40.323669122930177</v>
      </c>
      <c r="DR93" s="22">
        <f t="shared" si="70"/>
        <v>344.89401038910336</v>
      </c>
      <c r="DS93" s="60">
        <f t="shared" si="71"/>
        <v>638.22734372243667</v>
      </c>
      <c r="DT93" s="60">
        <f ca="1">AVERAGE(OFFSET($DS$3,0,0,'Données projet'!$E$14+1,1))-AVERAGE(OFFSET($H$3,0,0,'Données projet'!$E$14+1,1))</f>
        <v>284.71577701131588</v>
      </c>
      <c r="DU93" s="60">
        <f t="shared" si="98"/>
        <v>190.4880882944471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-1.7053025658242404E-13</v>
      </c>
      <c r="EK93" s="18">
        <f>EJ93*VLOOKUP('Données projet'!$B$15,Paramètres!$A$1:$I$89,3,0)*VLOOKUP('Données projet'!$B$15,Paramètres!$A$1:$I$89,5,0)</f>
        <v>-1.250327841262333E-13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290.85271051443431</v>
      </c>
      <c r="EP93" s="60">
        <f t="shared" si="100"/>
        <v>318.66958823451142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0">
        <f t="shared" si="55"/>
        <v>800.94897376928998</v>
      </c>
      <c r="S94" s="60">
        <f ca="1">AVERAGE(OFFSET($R$3,0,0,'Données projet'!$E$9+1,1))-AVERAGE(OFFSET($H$3,0,0,'Données projet'!$E$9+1,1))</f>
        <v>428.8489304403459</v>
      </c>
      <c r="T94" s="60">
        <f t="shared" si="88"/>
        <v>247.01165577562966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1.2710188457276673E-13</v>
      </c>
      <c r="AK94" s="14">
        <f t="shared" si="89"/>
        <v>1.856866851063998E-12</v>
      </c>
      <c r="AL94" s="22">
        <f t="shared" si="58"/>
        <v>3.4554122145673649E-12</v>
      </c>
      <c r="AM94" s="60">
        <f t="shared" si="59"/>
        <v>293.33333333333678</v>
      </c>
      <c r="AN94" s="60">
        <f ca="1">AVERAGE(OFFSET($AM$3,0,0,'Données projet'!$E$10+1,1))-AVERAGE(OFFSET($H$3,0,0,'Données projet'!$E$10+1,1))</f>
        <v>323.98185264074681</v>
      </c>
      <c r="AO94" s="60">
        <f t="shared" si="90"/>
        <v>301.22207291854005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1.3332406059114876</v>
      </c>
      <c r="AV94" s="23">
        <f>EXP(-LN(2)/25)*AV93+(1-EXP(-LN(2)/25))/(LN(2)/25)*Calculateur!AQ94*Calculateur!AS94*VLOOKUP('Données projet'!$B$10,Paramètres!$A$1:$I$89,3,0)*0.475*44/12</f>
        <v>1.5198424983278456</v>
      </c>
      <c r="AW94" s="23">
        <f>EXP(-LN(2)/2)*AW93+(1-EXP(-LN(2)/2))/(LN(2)/2)*AQ94*AT94*VLOOKUP('Données projet'!$B$10,Paramètres!$A$1:$I$89,3,0)*0.475*44/12</f>
        <v>4.0090919837952151E-9</v>
      </c>
      <c r="AX94" s="23">
        <f t="shared" si="60"/>
        <v>2.8530831082484256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-2.8421709430404007E-13</v>
      </c>
      <c r="BE94" s="14">
        <f>BD94*VLOOKUP('Données projet'!$B$11,Paramètres!$A$1:$I$89,3,0)*VLOOKUP('Données projet'!$B$11,Paramètres!$A$1:$I$89,5,0)</f>
        <v>-1.69961822393816E-13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289.12367833861299</v>
      </c>
      <c r="BJ94" s="60">
        <f t="shared" si="92"/>
        <v>229.06617320689003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2.7308754661437508E-9</v>
      </c>
      <c r="BS94" s="24">
        <f t="shared" si="63"/>
        <v>2.7308754661437508E-9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-1.7053025658242404E-13</v>
      </c>
      <c r="BZ94" s="14">
        <f>BY94*VLOOKUP('Données projet'!$B$12,Paramètres!$A$1:$I$89,3,0)*VLOOKUP('Données projet'!$B$12,Paramètres!$A$1:$I$89,5,0)</f>
        <v>-1.3567387213697657E-13</v>
      </c>
      <c r="CA94" s="14" t="e">
        <f t="shared" si="93"/>
        <v>#NUM!</v>
      </c>
      <c r="CB94" s="22" t="e">
        <f t="shared" si="64"/>
        <v>#NUM!</v>
      </c>
      <c r="CC94" s="60" t="e">
        <f t="shared" si="65"/>
        <v>#NUM!</v>
      </c>
      <c r="CD94" s="60">
        <f ca="1">AVERAGE(OFFSET($CC$3,0,0,'Données projet'!$E$12+1,1))-AVERAGE(OFFSET($H$3,0,0,'Données projet'!$E$12+1,1))</f>
        <v>312.53381881960331</v>
      </c>
      <c r="CE94" s="60">
        <f t="shared" si="94"/>
        <v>342.06887933351783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262.52460000000002</v>
      </c>
      <c r="CV94" s="14">
        <f t="shared" si="95"/>
        <v>63.260217631774687</v>
      </c>
      <c r="CW94" s="22">
        <f t="shared" si="67"/>
        <v>567.40855737534105</v>
      </c>
      <c r="CX94" s="60">
        <f t="shared" si="68"/>
        <v>860.74189070867442</v>
      </c>
      <c r="CY94" s="60">
        <f ca="1">AVERAGE(OFFSET($CX$3,0,0,'Données projet'!$E$13+1,1))-AVERAGE(OFFSET($H$3,0,0,'Données projet'!$E$13+1,1))</f>
        <v>475.47920969424894</v>
      </c>
      <c r="CZ94" s="60">
        <f t="shared" si="96"/>
        <v>271.73544012419364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>
        <f>VLOOKUP(A94,'Données projet'!$A$165:$I$185,2,0)</f>
        <v>345.63846153846151</v>
      </c>
      <c r="DM94" s="13">
        <f>VLOOKUP(A94,'Données projet'!$A$165:$I$185,9,0)</f>
        <v>8.6692307692307597</v>
      </c>
      <c r="DN94" s="13">
        <f t="array" ref="DN94">INDEX(DM:DM,MIN(IF(ISNUMBER(DM94:DM290),ROW(DM94:DM290),"")))</f>
        <v>8.6692307692307597</v>
      </c>
      <c r="DO94" s="13">
        <f>IF('Données projet'!$A$166&gt;35,DO93+DN94-DW93,IF(A94&lt;'Données projet'!$A$166,$DL$205^A94,IF(A94='Données projet'!$A$166,'Données projet'!$B$166,DO93+DN94-DW93)))</f>
        <v>345.63846153846146</v>
      </c>
      <c r="DP94" s="18">
        <f>DO94*VLOOKUP('Données projet'!$B$14,Paramètres!$A$1:$I$89,3,0)*VLOOKUP('Données projet'!$B$14,Paramètres!$A$1:$I$89,5,0)</f>
        <v>161.75879999999995</v>
      </c>
      <c r="DQ94" s="14">
        <f t="shared" si="97"/>
        <v>41.23896489267198</v>
      </c>
      <c r="DR94" s="22">
        <f t="shared" si="70"/>
        <v>353.55444052140359</v>
      </c>
      <c r="DS94" s="60">
        <f t="shared" si="71"/>
        <v>646.88777385473691</v>
      </c>
      <c r="DT94" s="60">
        <f ca="1">AVERAGE(OFFSET($DS$3,0,0,'Données projet'!$E$14+1,1))-AVERAGE(OFFSET($H$3,0,0,'Données projet'!$E$14+1,1))</f>
        <v>284.71577701131588</v>
      </c>
      <c r="DU94" s="60">
        <f t="shared" si="98"/>
        <v>190.4880882944471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-1.7053025658242404E-13</v>
      </c>
      <c r="EK94" s="18">
        <f>EJ94*VLOOKUP('Données projet'!$B$15,Paramètres!$A$1:$I$89,3,0)*VLOOKUP('Données projet'!$B$15,Paramètres!$A$1:$I$89,5,0)</f>
        <v>-1.250327841262333E-13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290.85271051443431</v>
      </c>
      <c r="EP94" s="60">
        <f t="shared" si="100"/>
        <v>318.66958823451142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0">
        <f t="shared" si="55"/>
        <v>810.33492368208931</v>
      </c>
      <c r="S95" s="60">
        <f ca="1">AVERAGE(OFFSET($R$3,0,0,'Données projet'!$E$9+1,1))-AVERAGE(OFFSET($H$3,0,0,'Données projet'!$E$9+1,1))</f>
        <v>428.8489304403459</v>
      </c>
      <c r="T95" s="60">
        <f t="shared" si="88"/>
        <v>247.01165577562966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1.2710188457276673E-13</v>
      </c>
      <c r="AK95" s="14">
        <f t="shared" si="89"/>
        <v>1.856866851063998E-12</v>
      </c>
      <c r="AL95" s="22">
        <f t="shared" si="58"/>
        <v>3.4554122145673649E-12</v>
      </c>
      <c r="AM95" s="60">
        <f t="shared" si="59"/>
        <v>293.33333333333678</v>
      </c>
      <c r="AN95" s="60">
        <f ca="1">AVERAGE(OFFSET($AM$3,0,0,'Données projet'!$E$10+1,1))-AVERAGE(OFFSET($H$3,0,0,'Données projet'!$E$10+1,1))</f>
        <v>323.98185264074681</v>
      </c>
      <c r="AO95" s="60">
        <f t="shared" si="90"/>
        <v>301.22207291854005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1.3070965708260365</v>
      </c>
      <c r="AV95" s="23">
        <f>EXP(-LN(2)/25)*AV94+(1-EXP(-LN(2)/25))/(LN(2)/25)*Calculateur!AQ95*Calculateur!AS95*VLOOKUP('Données projet'!$B$10,Paramètres!$A$1:$I$89,3,0)*0.475*44/12</f>
        <v>1.4782823252860273</v>
      </c>
      <c r="AW95" s="23">
        <f>EXP(-LN(2)/2)*AW94+(1-EXP(-LN(2)/2))/(LN(2)/2)*AQ95*AT95*VLOOKUP('Données projet'!$B$10,Paramètres!$A$1:$I$89,3,0)*0.475*44/12</f>
        <v>2.8348561281422249E-9</v>
      </c>
      <c r="AX95" s="23">
        <f t="shared" si="60"/>
        <v>2.7853788989469201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-2.8421709430404007E-13</v>
      </c>
      <c r="BE95" s="14">
        <f>BD95*VLOOKUP('Données projet'!$B$11,Paramètres!$A$1:$I$89,3,0)*VLOOKUP('Données projet'!$B$11,Paramètres!$A$1:$I$89,5,0)</f>
        <v>-1.69961822393816E-13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289.12367833861299</v>
      </c>
      <c r="BJ95" s="60">
        <f t="shared" si="92"/>
        <v>229.06617320689003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1.9310205606862202E-9</v>
      </c>
      <c r="BS95" s="24">
        <f t="shared" si="63"/>
        <v>1.9310205606862202E-9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-1.7053025658242404E-13</v>
      </c>
      <c r="BZ95" s="14">
        <f>BY95*VLOOKUP('Données projet'!$B$12,Paramètres!$A$1:$I$89,3,0)*VLOOKUP('Données projet'!$B$12,Paramètres!$A$1:$I$89,5,0)</f>
        <v>-1.3567387213697657E-13</v>
      </c>
      <c r="CA95" s="14" t="e">
        <f t="shared" si="93"/>
        <v>#NUM!</v>
      </c>
      <c r="CB95" s="22" t="e">
        <f t="shared" si="64"/>
        <v>#NUM!</v>
      </c>
      <c r="CC95" s="60" t="e">
        <f t="shared" si="65"/>
        <v>#NUM!</v>
      </c>
      <c r="CD95" s="60">
        <f ca="1">AVERAGE(OFFSET($CC$3,0,0,'Données projet'!$E$12+1,1))-AVERAGE(OFFSET($H$3,0,0,'Données projet'!$E$12+1,1))</f>
        <v>312.53381881960331</v>
      </c>
      <c r="CE95" s="60">
        <f t="shared" si="94"/>
        <v>342.06887933351783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267.49320000000006</v>
      </c>
      <c r="CV95" s="14">
        <f t="shared" si="95"/>
        <v>64.316974590266341</v>
      </c>
      <c r="CW95" s="22">
        <f t="shared" si="67"/>
        <v>577.90272074471397</v>
      </c>
      <c r="CX95" s="60">
        <f t="shared" si="68"/>
        <v>871.23605407804735</v>
      </c>
      <c r="CY95" s="60">
        <f ca="1">AVERAGE(OFFSET($CX$3,0,0,'Données projet'!$E$13+1,1))-AVERAGE(OFFSET($H$3,0,0,'Données projet'!$E$13+1,1))</f>
        <v>475.47920969424894</v>
      </c>
      <c r="CZ95" s="60">
        <f t="shared" si="96"/>
        <v>271.73544012419364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8.7730769230769283</v>
      </c>
      <c r="DO95" s="13">
        <f>IF('Données projet'!$A$166&gt;35,DO94+DN95-DW94,IF(A95&lt;'Données projet'!$A$166,$DL$205^A95,IF(A95='Données projet'!$A$166,'Données projet'!$B$166,DO94+DN95-DW94)))</f>
        <v>354.41153846153838</v>
      </c>
      <c r="DP95" s="18">
        <f>DO95*VLOOKUP('Données projet'!$B$14,Paramètres!$A$1:$I$89,3,0)*VLOOKUP('Données projet'!$B$14,Paramètres!$A$1:$I$89,5,0)</f>
        <v>165.86459999999997</v>
      </c>
      <c r="DQ95" s="14">
        <f t="shared" si="97"/>
        <v>42.162508255168433</v>
      </c>
      <c r="DR95" s="22">
        <f t="shared" si="70"/>
        <v>362.31388021108495</v>
      </c>
      <c r="DS95" s="60">
        <f t="shared" si="71"/>
        <v>655.64721354441826</v>
      </c>
      <c r="DT95" s="60">
        <f ca="1">AVERAGE(OFFSET($DS$3,0,0,'Données projet'!$E$14+1,1))-AVERAGE(OFFSET($H$3,0,0,'Données projet'!$E$14+1,1))</f>
        <v>284.71577701131588</v>
      </c>
      <c r="DU95" s="60">
        <f t="shared" si="98"/>
        <v>190.4880882944471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-1.7053025658242404E-13</v>
      </c>
      <c r="EK95" s="18">
        <f>EJ95*VLOOKUP('Données projet'!$B$15,Paramètres!$A$1:$I$89,3,0)*VLOOKUP('Données projet'!$B$15,Paramètres!$A$1:$I$89,5,0)</f>
        <v>-1.250327841262333E-13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290.85271051443431</v>
      </c>
      <c r="EP95" s="60">
        <f t="shared" si="100"/>
        <v>318.66958823451142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0">
        <f t="shared" si="55"/>
        <v>819.71727903145597</v>
      </c>
      <c r="S96" s="60">
        <f ca="1">AVERAGE(OFFSET($R$3,0,0,'Données projet'!$E$9+1,1))-AVERAGE(OFFSET($H$3,0,0,'Données projet'!$E$9+1,1))</f>
        <v>428.8489304403459</v>
      </c>
      <c r="T96" s="60">
        <f t="shared" si="88"/>
        <v>247.01165577562966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1.2710188457276673E-13</v>
      </c>
      <c r="AK96" s="14">
        <f t="shared" si="89"/>
        <v>1.856866851063998E-12</v>
      </c>
      <c r="AL96" s="22">
        <f t="shared" si="58"/>
        <v>3.4554122145673649E-12</v>
      </c>
      <c r="AM96" s="60">
        <f t="shared" si="59"/>
        <v>293.33333333333678</v>
      </c>
      <c r="AN96" s="60">
        <f ca="1">AVERAGE(OFFSET($AM$3,0,0,'Données projet'!$E$10+1,1))-AVERAGE(OFFSET($H$3,0,0,'Données projet'!$E$10+1,1))</f>
        <v>323.98185264074681</v>
      </c>
      <c r="AO96" s="60">
        <f t="shared" si="90"/>
        <v>301.22207291854005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1.2814652043223242</v>
      </c>
      <c r="AV96" s="23">
        <f>EXP(-LN(2)/25)*AV95+(1-EXP(-LN(2)/25))/(LN(2)/25)*Calculateur!AQ96*Calculateur!AS96*VLOOKUP('Données projet'!$B$10,Paramètres!$A$1:$I$89,3,0)*0.475*44/12</f>
        <v>1.4378586173615922</v>
      </c>
      <c r="AW96" s="23">
        <f>EXP(-LN(2)/2)*AW95+(1-EXP(-LN(2)/2))/(LN(2)/2)*AQ96*AT96*VLOOKUP('Données projet'!$B$10,Paramètres!$A$1:$I$89,3,0)*0.475*44/12</f>
        <v>2.0045459918976075E-9</v>
      </c>
      <c r="AX96" s="23">
        <f t="shared" si="60"/>
        <v>2.7193238236884625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-2.8421709430404007E-13</v>
      </c>
      <c r="BE96" s="14">
        <f>BD96*VLOOKUP('Données projet'!$B$11,Paramètres!$A$1:$I$89,3,0)*VLOOKUP('Données projet'!$B$11,Paramètres!$A$1:$I$89,5,0)</f>
        <v>-1.69961822393816E-13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289.12367833861299</v>
      </c>
      <c r="BJ96" s="60">
        <f t="shared" si="92"/>
        <v>229.06617320689003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1.3654377330718754E-9</v>
      </c>
      <c r="BS96" s="24">
        <f t="shared" si="63"/>
        <v>1.3654377330718754E-9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-1.7053025658242404E-13</v>
      </c>
      <c r="BZ96" s="14">
        <f>BY96*VLOOKUP('Données projet'!$B$12,Paramètres!$A$1:$I$89,3,0)*VLOOKUP('Données projet'!$B$12,Paramètres!$A$1:$I$89,5,0)</f>
        <v>-1.3567387213697657E-13</v>
      </c>
      <c r="CA96" s="14" t="e">
        <f t="shared" si="93"/>
        <v>#NUM!</v>
      </c>
      <c r="CB96" s="22" t="e">
        <f t="shared" si="64"/>
        <v>#NUM!</v>
      </c>
      <c r="CC96" s="60" t="e">
        <f t="shared" si="65"/>
        <v>#NUM!</v>
      </c>
      <c r="CD96" s="60">
        <f ca="1">AVERAGE(OFFSET($CC$3,0,0,'Données projet'!$E$12+1,1))-AVERAGE(OFFSET($H$3,0,0,'Données projet'!$E$12+1,1))</f>
        <v>312.53381881960331</v>
      </c>
      <c r="CE96" s="60">
        <f t="shared" si="94"/>
        <v>342.06887933351783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272.46180000000004</v>
      </c>
      <c r="CV96" s="14">
        <f t="shared" si="95"/>
        <v>65.371449071921944</v>
      </c>
      <c r="CW96" s="22">
        <f t="shared" si="67"/>
        <v>588.39290880026408</v>
      </c>
      <c r="CX96" s="60">
        <f t="shared" si="68"/>
        <v>881.72624213359745</v>
      </c>
      <c r="CY96" s="60">
        <f ca="1">AVERAGE(OFFSET($CX$3,0,0,'Données projet'!$E$13+1,1))-AVERAGE(OFFSET($H$3,0,0,'Données projet'!$E$13+1,1))</f>
        <v>475.47920969424894</v>
      </c>
      <c r="CZ96" s="60">
        <f t="shared" si="96"/>
        <v>271.73544012419364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8.7730769230769283</v>
      </c>
      <c r="DO96" s="13">
        <f>IF('Données projet'!$A$166&gt;35,DO95+DN96-DW95,IF(A96&lt;'Données projet'!$A$166,$DL$205^A96,IF(A96='Données projet'!$A$166,'Données projet'!$B$166,DO95+DN96-DW95)))</f>
        <v>363.18461538461531</v>
      </c>
      <c r="DP96" s="18">
        <f>DO96*VLOOKUP('Données projet'!$B$14,Paramètres!$A$1:$I$89,3,0)*VLOOKUP('Données projet'!$B$14,Paramètres!$A$1:$I$89,5,0)</f>
        <v>169.97039999999998</v>
      </c>
      <c r="DQ96" s="14">
        <f t="shared" si="97"/>
        <v>43.083394102790791</v>
      </c>
      <c r="DR96" s="22">
        <f t="shared" si="70"/>
        <v>371.06869139569397</v>
      </c>
      <c r="DS96" s="60">
        <f t="shared" si="71"/>
        <v>664.40202472902729</v>
      </c>
      <c r="DT96" s="60">
        <f ca="1">AVERAGE(OFFSET($DS$3,0,0,'Données projet'!$E$14+1,1))-AVERAGE(OFFSET($H$3,0,0,'Données projet'!$E$14+1,1))</f>
        <v>284.71577701131588</v>
      </c>
      <c r="DU96" s="60">
        <f t="shared" si="98"/>
        <v>190.4880882944471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-1.7053025658242404E-13</v>
      </c>
      <c r="EK96" s="18">
        <f>EJ96*VLOOKUP('Données projet'!$B$15,Paramètres!$A$1:$I$89,3,0)*VLOOKUP('Données projet'!$B$15,Paramètres!$A$1:$I$89,5,0)</f>
        <v>-1.250327841262333E-13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290.85271051443431</v>
      </c>
      <c r="EP96" s="60">
        <f t="shared" si="100"/>
        <v>318.66958823451142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0">
        <f t="shared" si="55"/>
        <v>829.09611292828231</v>
      </c>
      <c r="S97" s="60">
        <f ca="1">AVERAGE(OFFSET($R$3,0,0,'Données projet'!$E$9+1,1))-AVERAGE(OFFSET($H$3,0,0,'Données projet'!$E$9+1,1))</f>
        <v>428.8489304403459</v>
      </c>
      <c r="T97" s="60">
        <f t="shared" si="88"/>
        <v>247.01165577562966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1.2710188457276673E-13</v>
      </c>
      <c r="AK97" s="14">
        <f t="shared" si="89"/>
        <v>1.856866851063998E-12</v>
      </c>
      <c r="AL97" s="22">
        <f t="shared" si="58"/>
        <v>3.4554122145673649E-12</v>
      </c>
      <c r="AM97" s="60">
        <f t="shared" si="59"/>
        <v>293.33333333333678</v>
      </c>
      <c r="AN97" s="60">
        <f ca="1">AVERAGE(OFFSET($AM$3,0,0,'Données projet'!$E$10+1,1))-AVERAGE(OFFSET($H$3,0,0,'Données projet'!$E$10+1,1))</f>
        <v>323.98185264074681</v>
      </c>
      <c r="AO97" s="60">
        <f t="shared" si="90"/>
        <v>301.22207291854005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1.2563364532821599</v>
      </c>
      <c r="AV97" s="23">
        <f>EXP(-LN(2)/25)*AV96+(1-EXP(-LN(2)/25))/(LN(2)/25)*Calculateur!AQ97*Calculateur!AS97*VLOOKUP('Données projet'!$B$10,Paramètres!$A$1:$I$89,3,0)*0.475*44/12</f>
        <v>1.398540297856141</v>
      </c>
      <c r="AW97" s="23">
        <f>EXP(-LN(2)/2)*AW96+(1-EXP(-LN(2)/2))/(LN(2)/2)*AQ97*AT97*VLOOKUP('Données projet'!$B$10,Paramètres!$A$1:$I$89,3,0)*0.475*44/12</f>
        <v>1.4174280640711125E-9</v>
      </c>
      <c r="AX97" s="23">
        <f t="shared" si="60"/>
        <v>2.6548767525557286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-2.8421709430404007E-13</v>
      </c>
      <c r="BE97" s="14">
        <f>BD97*VLOOKUP('Données projet'!$B$11,Paramètres!$A$1:$I$89,3,0)*VLOOKUP('Données projet'!$B$11,Paramètres!$A$1:$I$89,5,0)</f>
        <v>-1.69961822393816E-13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289.12367833861299</v>
      </c>
      <c r="BJ97" s="60">
        <f t="shared" si="92"/>
        <v>229.06617320689003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9.6551028034311009E-10</v>
      </c>
      <c r="BS97" s="24">
        <f t="shared" si="63"/>
        <v>9.6551028034311009E-10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-1.7053025658242404E-13</v>
      </c>
      <c r="BZ97" s="14">
        <f>BY97*VLOOKUP('Données projet'!$B$12,Paramètres!$A$1:$I$89,3,0)*VLOOKUP('Données projet'!$B$12,Paramètres!$A$1:$I$89,5,0)</f>
        <v>-1.3567387213697657E-13</v>
      </c>
      <c r="CA97" s="14" t="e">
        <f t="shared" si="93"/>
        <v>#NUM!</v>
      </c>
      <c r="CB97" s="22" t="e">
        <f t="shared" si="64"/>
        <v>#NUM!</v>
      </c>
      <c r="CC97" s="60" t="e">
        <f t="shared" si="65"/>
        <v>#NUM!</v>
      </c>
      <c r="CD97" s="60">
        <f ca="1">AVERAGE(OFFSET($CC$3,0,0,'Données projet'!$E$12+1,1))-AVERAGE(OFFSET($H$3,0,0,'Données projet'!$E$12+1,1))</f>
        <v>312.53381881960331</v>
      </c>
      <c r="CE97" s="60">
        <f t="shared" si="94"/>
        <v>342.06887933351783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277.43039999999996</v>
      </c>
      <c r="CV97" s="14">
        <f t="shared" si="95"/>
        <v>66.423687500715673</v>
      </c>
      <c r="CW97" s="22">
        <f t="shared" si="67"/>
        <v>598.87920239707967</v>
      </c>
      <c r="CX97" s="60">
        <f t="shared" si="68"/>
        <v>892.21253573041304</v>
      </c>
      <c r="CY97" s="60">
        <f ca="1">AVERAGE(OFFSET($CX$3,0,0,'Données projet'!$E$13+1,1))-AVERAGE(OFFSET($H$3,0,0,'Données projet'!$E$13+1,1))</f>
        <v>475.47920969424894</v>
      </c>
      <c r="CZ97" s="60">
        <f t="shared" si="96"/>
        <v>271.73544012419364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8.7730769230769283</v>
      </c>
      <c r="DO97" s="13">
        <f>IF('Données projet'!$A$166&gt;35,DO96+DN97-DW96,IF(A97&lt;'Données projet'!$A$166,$DL$205^A97,IF(A97='Données projet'!$A$166,'Données projet'!$B$166,DO96+DN97-DW96)))</f>
        <v>371.95769230769224</v>
      </c>
      <c r="DP97" s="18">
        <f>DO97*VLOOKUP('Données projet'!$B$14,Paramètres!$A$1:$I$89,3,0)*VLOOKUP('Données projet'!$B$14,Paramètres!$A$1:$I$89,5,0)</f>
        <v>174.07619999999997</v>
      </c>
      <c r="DQ97" s="14">
        <f t="shared" si="97"/>
        <v>44.001694016087448</v>
      </c>
      <c r="DR97" s="22">
        <f t="shared" si="70"/>
        <v>379.81899874468553</v>
      </c>
      <c r="DS97" s="60">
        <f t="shared" si="71"/>
        <v>673.15233207801884</v>
      </c>
      <c r="DT97" s="60">
        <f ca="1">AVERAGE(OFFSET($DS$3,0,0,'Données projet'!$E$14+1,1))-AVERAGE(OFFSET($H$3,0,0,'Données projet'!$E$14+1,1))</f>
        <v>284.71577701131588</v>
      </c>
      <c r="DU97" s="60">
        <f t="shared" si="98"/>
        <v>190.4880882944471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-1.7053025658242404E-13</v>
      </c>
      <c r="EK97" s="18">
        <f>EJ97*VLOOKUP('Données projet'!$B$15,Paramètres!$A$1:$I$89,3,0)*VLOOKUP('Données projet'!$B$15,Paramètres!$A$1:$I$89,5,0)</f>
        <v>-1.250327841262333E-13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290.85271051443431</v>
      </c>
      <c r="EP97" s="60">
        <f t="shared" si="100"/>
        <v>318.66958823451142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0">
        <f t="shared" si="55"/>
        <v>838.4714957147562</v>
      </c>
      <c r="S98" s="60">
        <f ca="1">AVERAGE(OFFSET($R$3,0,0,'Données projet'!$E$9+1,1))-AVERAGE(OFFSET($H$3,0,0,'Données projet'!$E$9+1,1))</f>
        <v>428.8489304403459</v>
      </c>
      <c r="T98" s="60">
        <f t="shared" si="88"/>
        <v>247.01165577562966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1.2710188457276673E-13</v>
      </c>
      <c r="AK98" s="14">
        <f t="shared" si="89"/>
        <v>1.856866851063998E-12</v>
      </c>
      <c r="AL98" s="22">
        <f t="shared" si="58"/>
        <v>3.4554122145673649E-12</v>
      </c>
      <c r="AM98" s="60">
        <f t="shared" si="59"/>
        <v>293.33333333333678</v>
      </c>
      <c r="AN98" s="60">
        <f ca="1">AVERAGE(OFFSET($AM$3,0,0,'Données projet'!$E$10+1,1))-AVERAGE(OFFSET($H$3,0,0,'Données projet'!$E$10+1,1))</f>
        <v>323.98185264074681</v>
      </c>
      <c r="AO98" s="60">
        <f t="shared" si="90"/>
        <v>301.22207291854005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1.2317004617228684</v>
      </c>
      <c r="AV98" s="23">
        <f>EXP(-LN(2)/25)*AV97+(1-EXP(-LN(2)/25))/(LN(2)/25)*Calculateur!AQ98*Calculateur!AS98*VLOOKUP('Données projet'!$B$10,Paramètres!$A$1:$I$89,3,0)*0.475*44/12</f>
        <v>1.360297139865227</v>
      </c>
      <c r="AW98" s="23">
        <f>EXP(-LN(2)/2)*AW97+(1-EXP(-LN(2)/2))/(LN(2)/2)*AQ98*AT98*VLOOKUP('Données projet'!$B$10,Paramètres!$A$1:$I$89,3,0)*0.475*44/12</f>
        <v>1.0022729959488038E-9</v>
      </c>
      <c r="AX98" s="23">
        <f t="shared" si="60"/>
        <v>2.5919976025903684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-2.8421709430404007E-13</v>
      </c>
      <c r="BE98" s="14">
        <f>BD98*VLOOKUP('Données projet'!$B$11,Paramètres!$A$1:$I$89,3,0)*VLOOKUP('Données projet'!$B$11,Paramètres!$A$1:$I$89,5,0)</f>
        <v>-1.69961822393816E-13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289.12367833861299</v>
      </c>
      <c r="BJ98" s="60">
        <f t="shared" si="92"/>
        <v>229.06617320689003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6.8271886653593771E-10</v>
      </c>
      <c r="BS98" s="24">
        <f t="shared" si="63"/>
        <v>6.8271886653593771E-10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-1.7053025658242404E-13</v>
      </c>
      <c r="BZ98" s="14">
        <f>BY98*VLOOKUP('Données projet'!$B$12,Paramètres!$A$1:$I$89,3,0)*VLOOKUP('Données projet'!$B$12,Paramètres!$A$1:$I$89,5,0)</f>
        <v>-1.3567387213697657E-13</v>
      </c>
      <c r="CA98" s="14" t="e">
        <f t="shared" si="93"/>
        <v>#NUM!</v>
      </c>
      <c r="CB98" s="22" t="e">
        <f t="shared" si="64"/>
        <v>#NUM!</v>
      </c>
      <c r="CC98" s="60" t="e">
        <f t="shared" si="65"/>
        <v>#NUM!</v>
      </c>
      <c r="CD98" s="60">
        <f ca="1">AVERAGE(OFFSET($CC$3,0,0,'Données projet'!$E$12+1,1))-AVERAGE(OFFSET($H$3,0,0,'Données projet'!$E$12+1,1))</f>
        <v>312.53381881960331</v>
      </c>
      <c r="CE98" s="60">
        <f t="shared" si="94"/>
        <v>342.06887933351783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282.399</v>
      </c>
      <c r="CV98" s="14">
        <f t="shared" si="95"/>
        <v>67.473734542548371</v>
      </c>
      <c r="CW98" s="22">
        <f t="shared" si="67"/>
        <v>609.36167932827175</v>
      </c>
      <c r="CX98" s="60">
        <f t="shared" si="68"/>
        <v>902.69501266160501</v>
      </c>
      <c r="CY98" s="60">
        <f ca="1">AVERAGE(OFFSET($CX$3,0,0,'Données projet'!$E$13+1,1))-AVERAGE(OFFSET($H$3,0,0,'Données projet'!$E$13+1,1))</f>
        <v>475.47920969424894</v>
      </c>
      <c r="CZ98" s="60">
        <f t="shared" si="96"/>
        <v>271.73544012419364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8.7730769230769283</v>
      </c>
      <c r="DO98" s="13">
        <f>IF('Données projet'!$A$166&gt;35,DO97+DN98-DW97,IF(A98&lt;'Données projet'!$A$166,$DL$205^A98,IF(A98='Données projet'!$A$166,'Données projet'!$B$166,DO97+DN98-DW97)))</f>
        <v>380.73076923076917</v>
      </c>
      <c r="DP98" s="18">
        <f>DO98*VLOOKUP('Données projet'!$B$14,Paramètres!$A$1:$I$89,3,0)*VLOOKUP('Données projet'!$B$14,Paramètres!$A$1:$I$89,5,0)</f>
        <v>178.18199999999996</v>
      </c>
      <c r="DQ98" s="14">
        <f t="shared" si="97"/>
        <v>44.917476006361952</v>
      </c>
      <c r="DR98" s="22">
        <f t="shared" si="70"/>
        <v>388.56492071108028</v>
      </c>
      <c r="DS98" s="60">
        <f t="shared" si="71"/>
        <v>681.89825404441353</v>
      </c>
      <c r="DT98" s="60">
        <f ca="1">AVERAGE(OFFSET($DS$3,0,0,'Données projet'!$E$14+1,1))-AVERAGE(OFFSET($H$3,0,0,'Données projet'!$E$14+1,1))</f>
        <v>284.71577701131588</v>
      </c>
      <c r="DU98" s="60">
        <f t="shared" si="98"/>
        <v>190.4880882944471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-1.7053025658242404E-13</v>
      </c>
      <c r="EK98" s="18">
        <f>EJ98*VLOOKUP('Données projet'!$B$15,Paramètres!$A$1:$I$89,3,0)*VLOOKUP('Données projet'!$B$15,Paramètres!$A$1:$I$89,5,0)</f>
        <v>-1.250327841262333E-13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290.85271051443431</v>
      </c>
      <c r="EP98" s="60">
        <f t="shared" si="100"/>
        <v>318.66958823451142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0">
        <f t="shared" si="55"/>
        <v>847.84349511604591</v>
      </c>
      <c r="S99" s="60">
        <f ca="1">AVERAGE(OFFSET($R$3,0,0,'Données projet'!$E$9+1,1))-AVERAGE(OFFSET($H$3,0,0,'Données projet'!$E$9+1,1))</f>
        <v>428.8489304403459</v>
      </c>
      <c r="T99" s="60">
        <f t="shared" si="88"/>
        <v>247.01165577562966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1.2710188457276673E-13</v>
      </c>
      <c r="AK99" s="14">
        <f t="shared" si="89"/>
        <v>1.856866851063998E-12</v>
      </c>
      <c r="AL99" s="22">
        <f t="shared" si="58"/>
        <v>3.4554122145673649E-12</v>
      </c>
      <c r="AM99" s="60">
        <f t="shared" si="59"/>
        <v>293.33333333333678</v>
      </c>
      <c r="AN99" s="60">
        <f ca="1">AVERAGE(OFFSET($AM$3,0,0,'Données projet'!$E$10+1,1))-AVERAGE(OFFSET($H$3,0,0,'Données projet'!$E$10+1,1))</f>
        <v>323.98185264074681</v>
      </c>
      <c r="AO99" s="60">
        <f t="shared" si="90"/>
        <v>301.22207291854005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1.2075475669315836</v>
      </c>
      <c r="AV99" s="23">
        <f>EXP(-LN(2)/25)*AV98+(1-EXP(-LN(2)/25))/(LN(2)/25)*Calculateur!AQ99*Calculateur!AS99*VLOOKUP('Données projet'!$B$10,Paramètres!$A$1:$I$89,3,0)*0.475*44/12</f>
        <v>1.3230997430406948</v>
      </c>
      <c r="AW99" s="23">
        <f>EXP(-LN(2)/2)*AW98+(1-EXP(-LN(2)/2))/(LN(2)/2)*AQ99*AT99*VLOOKUP('Données projet'!$B$10,Paramètres!$A$1:$I$89,3,0)*0.475*44/12</f>
        <v>7.0871403203555623E-10</v>
      </c>
      <c r="AX99" s="23">
        <f t="shared" si="60"/>
        <v>2.5306473106809921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-2.8421709430404007E-13</v>
      </c>
      <c r="BE99" s="14">
        <f>BD99*VLOOKUP('Données projet'!$B$11,Paramètres!$A$1:$I$89,3,0)*VLOOKUP('Données projet'!$B$11,Paramètres!$A$1:$I$89,5,0)</f>
        <v>-1.69961822393816E-13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289.12367833861299</v>
      </c>
      <c r="BJ99" s="60">
        <f t="shared" si="92"/>
        <v>229.06617320689003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4.8275514017155504E-10</v>
      </c>
      <c r="BS99" s="24">
        <f t="shared" si="63"/>
        <v>4.8275514017155504E-10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-1.7053025658242404E-13</v>
      </c>
      <c r="BZ99" s="14">
        <f>BY99*VLOOKUP('Données projet'!$B$12,Paramètres!$A$1:$I$89,3,0)*VLOOKUP('Données projet'!$B$12,Paramètres!$A$1:$I$89,5,0)</f>
        <v>-1.3567387213697657E-13</v>
      </c>
      <c r="CA99" s="14" t="e">
        <f t="shared" si="93"/>
        <v>#NUM!</v>
      </c>
      <c r="CB99" s="22" t="e">
        <f t="shared" si="64"/>
        <v>#NUM!</v>
      </c>
      <c r="CC99" s="60" t="e">
        <f t="shared" si="65"/>
        <v>#NUM!</v>
      </c>
      <c r="CD99" s="60">
        <f ca="1">AVERAGE(OFFSET($CC$3,0,0,'Données projet'!$E$12+1,1))-AVERAGE(OFFSET($H$3,0,0,'Données projet'!$E$12+1,1))</f>
        <v>312.53381881960331</v>
      </c>
      <c r="CE99" s="60">
        <f t="shared" si="94"/>
        <v>342.06887933351783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287.36759999999992</v>
      </c>
      <c r="CV99" s="14">
        <f t="shared" si="95"/>
        <v>68.521633201565123</v>
      </c>
      <c r="CW99" s="22">
        <f t="shared" si="67"/>
        <v>619.84041449272581</v>
      </c>
      <c r="CX99" s="60">
        <f t="shared" si="68"/>
        <v>913.17374782605907</v>
      </c>
      <c r="CY99" s="60">
        <f ca="1">AVERAGE(OFFSET($CX$3,0,0,'Données projet'!$E$13+1,1))-AVERAGE(OFFSET($H$3,0,0,'Données projet'!$E$13+1,1))</f>
        <v>475.47920969424894</v>
      </c>
      <c r="CZ99" s="60">
        <f t="shared" si="96"/>
        <v>271.73544012419364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8.7730769230769283</v>
      </c>
      <c r="DO99" s="13">
        <f>IF('Données projet'!$A$166&gt;35,DO98+DN99-DW98,IF(A99&lt;'Données projet'!$A$166,$DL$205^A99,IF(A99='Données projet'!$A$166,'Données projet'!$B$166,DO98+DN99-DW98)))</f>
        <v>389.5038461538461</v>
      </c>
      <c r="DP99" s="18">
        <f>DO99*VLOOKUP('Données projet'!$B$14,Paramètres!$A$1:$I$89,3,0)*VLOOKUP('Données projet'!$B$14,Paramètres!$A$1:$I$89,5,0)</f>
        <v>182.28779999999995</v>
      </c>
      <c r="DQ99" s="14">
        <f t="shared" si="97"/>
        <v>45.830804771728936</v>
      </c>
      <c r="DR99" s="22">
        <f t="shared" si="70"/>
        <v>397.30656997742784</v>
      </c>
      <c r="DS99" s="60">
        <f t="shared" si="71"/>
        <v>690.63990331076116</v>
      </c>
      <c r="DT99" s="60">
        <f ca="1">AVERAGE(OFFSET($DS$3,0,0,'Données projet'!$E$14+1,1))-AVERAGE(OFFSET($H$3,0,0,'Données projet'!$E$14+1,1))</f>
        <v>284.71577701131588</v>
      </c>
      <c r="DU99" s="60">
        <f t="shared" si="98"/>
        <v>190.4880882944471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-1.7053025658242404E-13</v>
      </c>
      <c r="EK99" s="18">
        <f>EJ99*VLOOKUP('Données projet'!$B$15,Paramètres!$A$1:$I$89,3,0)*VLOOKUP('Données projet'!$B$15,Paramètres!$A$1:$I$89,5,0)</f>
        <v>-1.250327841262333E-13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290.85271051443431</v>
      </c>
      <c r="EP99" s="60">
        <f t="shared" si="100"/>
        <v>318.66958823451142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0">
        <f t="shared" si="55"/>
        <v>857.21217638119901</v>
      </c>
      <c r="S100" s="60">
        <f ca="1">AVERAGE(OFFSET($R$3,0,0,'Données projet'!$E$9+1,1))-AVERAGE(OFFSET($H$3,0,0,'Données projet'!$E$9+1,1))</f>
        <v>428.8489304403459</v>
      </c>
      <c r="T100" s="60">
        <f t="shared" si="88"/>
        <v>247.01165577562966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1.2710188457276673E-13</v>
      </c>
      <c r="AK100" s="14">
        <f t="shared" si="89"/>
        <v>1.856866851063998E-12</v>
      </c>
      <c r="AL100" s="22">
        <f t="shared" si="58"/>
        <v>3.4554122145673649E-12</v>
      </c>
      <c r="AM100" s="60">
        <f t="shared" si="59"/>
        <v>293.33333333333678</v>
      </c>
      <c r="AN100" s="60">
        <f ca="1">AVERAGE(OFFSET($AM$3,0,0,'Données projet'!$E$10+1,1))-AVERAGE(OFFSET($H$3,0,0,'Données projet'!$E$10+1,1))</f>
        <v>323.98185264074681</v>
      </c>
      <c r="AO100" s="60">
        <f t="shared" si="90"/>
        <v>301.22207291854005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1.1838682956753446</v>
      </c>
      <c r="AV100" s="23">
        <f>EXP(-LN(2)/25)*AV99+(1-EXP(-LN(2)/25))/(LN(2)/25)*Calculateur!AQ100*Calculateur!AS100*VLOOKUP('Données projet'!$B$10,Paramètres!$A$1:$I$89,3,0)*0.475*44/12</f>
        <v>1.2869195109884555</v>
      </c>
      <c r="AW100" s="23">
        <f>EXP(-LN(2)/2)*AW99+(1-EXP(-LN(2)/2))/(LN(2)/2)*AQ100*AT100*VLOOKUP('Données projet'!$B$10,Paramètres!$A$1:$I$89,3,0)*0.475*44/12</f>
        <v>5.0113649797440188E-10</v>
      </c>
      <c r="AX100" s="23">
        <f t="shared" si="60"/>
        <v>2.4707878071649367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-2.8421709430404007E-13</v>
      </c>
      <c r="BE100" s="14">
        <f>BD100*VLOOKUP('Données projet'!$B$11,Paramètres!$A$1:$I$89,3,0)*VLOOKUP('Données projet'!$B$11,Paramètres!$A$1:$I$89,5,0)</f>
        <v>-1.69961822393816E-13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289.12367833861299</v>
      </c>
      <c r="BJ100" s="60">
        <f t="shared" si="92"/>
        <v>229.06617320689003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3.4135943326796886E-10</v>
      </c>
      <c r="BS100" s="24">
        <f t="shared" si="63"/>
        <v>3.4135943326796886E-10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-1.7053025658242404E-13</v>
      </c>
      <c r="BZ100" s="14">
        <f>BY100*VLOOKUP('Données projet'!$B$12,Paramètres!$A$1:$I$89,3,0)*VLOOKUP('Données projet'!$B$12,Paramètres!$A$1:$I$89,5,0)</f>
        <v>-1.3567387213697657E-13</v>
      </c>
      <c r="CA100" s="14" t="e">
        <f t="shared" si="93"/>
        <v>#NUM!</v>
      </c>
      <c r="CB100" s="22" t="e">
        <f t="shared" si="64"/>
        <v>#NUM!</v>
      </c>
      <c r="CC100" s="60" t="e">
        <f t="shared" si="65"/>
        <v>#NUM!</v>
      </c>
      <c r="CD100" s="60">
        <f ca="1">AVERAGE(OFFSET($CC$3,0,0,'Données projet'!$E$12+1,1))-AVERAGE(OFFSET($H$3,0,0,'Données projet'!$E$12+1,1))</f>
        <v>312.53381881960331</v>
      </c>
      <c r="CE100" s="60">
        <f t="shared" si="94"/>
        <v>342.06887933351783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292.33619999999996</v>
      </c>
      <c r="CV100" s="14">
        <f t="shared" si="95"/>
        <v>69.56742490962327</v>
      </c>
      <c r="CW100" s="22">
        <f t="shared" si="67"/>
        <v>630.31548005092702</v>
      </c>
      <c r="CX100" s="60">
        <f t="shared" si="68"/>
        <v>923.64881338426039</v>
      </c>
      <c r="CY100" s="60">
        <f ca="1">AVERAGE(OFFSET($CX$3,0,0,'Données projet'!$E$13+1,1))-AVERAGE(OFFSET($H$3,0,0,'Données projet'!$E$13+1,1))</f>
        <v>475.47920969424894</v>
      </c>
      <c r="CZ100" s="60">
        <f t="shared" si="96"/>
        <v>271.73544012419364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>
        <f>VLOOKUP(A100,'Données projet'!$A$165:$I$185,2,0)</f>
        <v>398.27692307692308</v>
      </c>
      <c r="DM100" s="13">
        <f>VLOOKUP(A100,'Données projet'!$A$165:$I$185,9,0)</f>
        <v>8.7730769230769283</v>
      </c>
      <c r="DN100" s="13">
        <f t="array" ref="DN100">INDEX(DM:DM,MIN(IF(ISNUMBER(DM100:DM296),ROW(DM100:DM296),"")))</f>
        <v>8.7730769230769283</v>
      </c>
      <c r="DO100" s="13">
        <f>IF('Données projet'!$A$166&gt;35,DO99+DN100-DW99,IF(A100&lt;'Données projet'!$A$166,$DL$205^A100,IF(A100='Données projet'!$A$166,'Données projet'!$B$166,DO99+DN100-DW99)))</f>
        <v>398.27692307692303</v>
      </c>
      <c r="DP100" s="18">
        <f>DO100*VLOOKUP('Données projet'!$B$14,Paramètres!$A$1:$I$89,3,0)*VLOOKUP('Données projet'!$B$14,Paramètres!$A$1:$I$89,5,0)</f>
        <v>186.39359999999999</v>
      </c>
      <c r="DQ100" s="14">
        <f t="shared" si="97"/>
        <v>46.741741929451358</v>
      </c>
      <c r="DR100" s="22">
        <f t="shared" si="70"/>
        <v>406.04405386046113</v>
      </c>
      <c r="DS100" s="60">
        <f t="shared" si="71"/>
        <v>699.37738719379445</v>
      </c>
      <c r="DT100" s="60">
        <f ca="1">AVERAGE(OFFSET($DS$3,0,0,'Données projet'!$E$14+1,1))-AVERAGE(OFFSET($H$3,0,0,'Données projet'!$E$14+1,1))</f>
        <v>284.71577701131588</v>
      </c>
      <c r="DU100" s="60">
        <f t="shared" si="98"/>
        <v>190.4880882944471</v>
      </c>
      <c r="DV100" s="16">
        <f>IF(ISNA(VLOOKUP(A100,'Données projet'!$A$165:$I$185,3,0)),0,VLOOKUP(A100,'Données projet'!$A$165:$I$185,3,0))</f>
        <v>5</v>
      </c>
      <c r="DW100" s="16">
        <f>IF(ISNA(VLOOKUP(A100,'Données projet'!$A$165:$I$185,4,0)),0,VLOOKUP(A100,'Données projet'!$A$165:$I$185,4,0))</f>
        <v>79.669230769230765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-1.7053025658242404E-13</v>
      </c>
      <c r="EK100" s="18">
        <f>EJ100*VLOOKUP('Données projet'!$B$15,Paramètres!$A$1:$I$89,3,0)*VLOOKUP('Données projet'!$B$15,Paramètres!$A$1:$I$89,5,0)</f>
        <v>-1.250327841262333E-13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290.85271051443431</v>
      </c>
      <c r="EP100" s="60">
        <f t="shared" si="100"/>
        <v>318.66958823451142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0">
        <f t="shared" si="55"/>
        <v>866.57760241418919</v>
      </c>
      <c r="S101" s="60">
        <f ca="1">AVERAGE(OFFSET($R$3,0,0,'Données projet'!$E$9+1,1))-AVERAGE(OFFSET($H$3,0,0,'Données projet'!$E$9+1,1))</f>
        <v>428.8489304403459</v>
      </c>
      <c r="T101" s="60">
        <f t="shared" si="88"/>
        <v>247.01165577562966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1.2710188457276673E-13</v>
      </c>
      <c r="AK101" s="14">
        <f t="shared" si="89"/>
        <v>1.856866851063998E-12</v>
      </c>
      <c r="AL101" s="22">
        <f t="shared" si="58"/>
        <v>3.4554122145673649E-12</v>
      </c>
      <c r="AM101" s="60">
        <f t="shared" si="59"/>
        <v>293.33333333333678</v>
      </c>
      <c r="AN101" s="60">
        <f ca="1">AVERAGE(OFFSET($AM$3,0,0,'Données projet'!$E$10+1,1))-AVERAGE(OFFSET($H$3,0,0,'Données projet'!$E$10+1,1))</f>
        <v>323.98185264074681</v>
      </c>
      <c r="AO101" s="60">
        <f t="shared" si="90"/>
        <v>301.22207291854005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1.1606533604855112</v>
      </c>
      <c r="AV101" s="23">
        <f>EXP(-LN(2)/25)*AV100+(1-EXP(-LN(2)/25))/(LN(2)/25)*Calculateur!AQ101*Calculateur!AS101*VLOOKUP('Données projet'!$B$10,Paramètres!$A$1:$I$89,3,0)*0.475*44/12</f>
        <v>1.2517286292843204</v>
      </c>
      <c r="AW101" s="23">
        <f>EXP(-LN(2)/2)*AW100+(1-EXP(-LN(2)/2))/(LN(2)/2)*AQ101*AT101*VLOOKUP('Données projet'!$B$10,Paramètres!$A$1:$I$89,3,0)*0.475*44/12</f>
        <v>3.5435701601777812E-10</v>
      </c>
      <c r="AX101" s="23">
        <f t="shared" si="60"/>
        <v>2.4123819901241883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-2.8421709430404007E-13</v>
      </c>
      <c r="BE101" s="14">
        <f>BD101*VLOOKUP('Données projet'!$B$11,Paramètres!$A$1:$I$89,3,0)*VLOOKUP('Données projet'!$B$11,Paramètres!$A$1:$I$89,5,0)</f>
        <v>-1.69961822393816E-13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289.12367833861299</v>
      </c>
      <c r="BJ101" s="60">
        <f t="shared" si="92"/>
        <v>229.06617320689003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2.4137757008577752E-10</v>
      </c>
      <c r="BS101" s="24">
        <f t="shared" si="63"/>
        <v>2.4137757008577752E-10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-1.7053025658242404E-13</v>
      </c>
      <c r="BZ101" s="14">
        <f>BY101*VLOOKUP('Données projet'!$B$12,Paramètres!$A$1:$I$89,3,0)*VLOOKUP('Données projet'!$B$12,Paramètres!$A$1:$I$89,5,0)</f>
        <v>-1.3567387213697657E-13</v>
      </c>
      <c r="CA101" s="14" t="e">
        <f t="shared" si="93"/>
        <v>#NUM!</v>
      </c>
      <c r="CB101" s="22" t="e">
        <f t="shared" si="64"/>
        <v>#NUM!</v>
      </c>
      <c r="CC101" s="60" t="e">
        <f t="shared" si="65"/>
        <v>#NUM!</v>
      </c>
      <c r="CD101" s="60">
        <f ca="1">AVERAGE(OFFSET($CC$3,0,0,'Données projet'!$E$12+1,1))-AVERAGE(OFFSET($H$3,0,0,'Données projet'!$E$12+1,1))</f>
        <v>312.53381881960331</v>
      </c>
      <c r="CE101" s="60">
        <f t="shared" si="94"/>
        <v>342.06887933351783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297.30479999999989</v>
      </c>
      <c r="CV101" s="14">
        <f t="shared" si="95"/>
        <v>70.611149609504906</v>
      </c>
      <c r="CW101" s="22">
        <f t="shared" si="67"/>
        <v>640.78694556988739</v>
      </c>
      <c r="CX101" s="60">
        <f t="shared" si="68"/>
        <v>934.12027890322065</v>
      </c>
      <c r="CY101" s="60">
        <f ca="1">AVERAGE(OFFSET($CX$3,0,0,'Données projet'!$E$13+1,1))-AVERAGE(OFFSET($H$3,0,0,'Données projet'!$E$13+1,1))</f>
        <v>475.47920969424894</v>
      </c>
      <c r="CZ101" s="60">
        <f t="shared" si="96"/>
        <v>271.73544012419364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7.8564102564102525</v>
      </c>
      <c r="DO101" s="13">
        <f>IF('Données projet'!$A$166&gt;35,DO100+DN101-DW100,IF(A101&lt;'Données projet'!$A$166,$DL$205^A101,IF(A101='Données projet'!$A$166,'Données projet'!$B$166,DO100+DN101-DW100)))</f>
        <v>326.46410256410252</v>
      </c>
      <c r="DP101" s="18">
        <f>DO101*VLOOKUP('Données projet'!$B$14,Paramètres!$A$1:$I$89,3,0)*VLOOKUP('Données projet'!$B$14,Paramètres!$A$1:$I$89,5,0)</f>
        <v>152.78519999999997</v>
      </c>
      <c r="DQ101" s="14">
        <f t="shared" si="97"/>
        <v>39.210852996881968</v>
      </c>
      <c r="DR101" s="22">
        <f t="shared" si="70"/>
        <v>334.39312563623599</v>
      </c>
      <c r="DS101" s="60">
        <f t="shared" si="71"/>
        <v>627.72645896956931</v>
      </c>
      <c r="DT101" s="60">
        <f ca="1">AVERAGE(OFFSET($DS$3,0,0,'Données projet'!$E$14+1,1))-AVERAGE(OFFSET($H$3,0,0,'Données projet'!$E$14+1,1))</f>
        <v>284.71577701131588</v>
      </c>
      <c r="DU101" s="60">
        <f t="shared" si="98"/>
        <v>190.4880882944471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-1.7053025658242404E-13</v>
      </c>
      <c r="EK101" s="18">
        <f>EJ101*VLOOKUP('Données projet'!$B$15,Paramètres!$A$1:$I$89,3,0)*VLOOKUP('Données projet'!$B$15,Paramètres!$A$1:$I$89,5,0)</f>
        <v>-1.250327841262333E-13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290.85271051443431</v>
      </c>
      <c r="EP101" s="60">
        <f t="shared" si="100"/>
        <v>318.66958823451142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0">
        <f t="shared" si="55"/>
        <v>875.93983389595746</v>
      </c>
      <c r="S102" s="60">
        <f ca="1">AVERAGE(OFFSET($R$3,0,0,'Données projet'!$E$9+1,1))-AVERAGE(OFFSET($H$3,0,0,'Données projet'!$E$9+1,1))</f>
        <v>428.8489304403459</v>
      </c>
      <c r="T102" s="60">
        <f t="shared" si="88"/>
        <v>247.01165577562966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1.2710188457276673E-13</v>
      </c>
      <c r="AK102" s="14">
        <f t="shared" si="89"/>
        <v>1.856866851063998E-12</v>
      </c>
      <c r="AL102" s="22">
        <f t="shared" si="58"/>
        <v>3.4554122145673649E-12</v>
      </c>
      <c r="AM102" s="60">
        <f t="shared" si="59"/>
        <v>293.33333333333678</v>
      </c>
      <c r="AN102" s="60">
        <f ca="1">AVERAGE(OFFSET($AM$3,0,0,'Données projet'!$E$10+1,1))-AVERAGE(OFFSET($H$3,0,0,'Données projet'!$E$10+1,1))</f>
        <v>323.98185264074681</v>
      </c>
      <c r="AO102" s="60">
        <f t="shared" si="90"/>
        <v>301.22207291854005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1.1378936560150381</v>
      </c>
      <c r="AV102" s="23">
        <f>EXP(-LN(2)/25)*AV101+(1-EXP(-LN(2)/25))/(LN(2)/25)*Calculateur!AQ102*Calculateur!AS102*VLOOKUP('Données projet'!$B$10,Paramètres!$A$1:$I$89,3,0)*0.475*44/12</f>
        <v>1.2175000440909929</v>
      </c>
      <c r="AW102" s="23">
        <f>EXP(-LN(2)/2)*AW101+(1-EXP(-LN(2)/2))/(LN(2)/2)*AQ102*AT102*VLOOKUP('Données projet'!$B$10,Paramètres!$A$1:$I$89,3,0)*0.475*44/12</f>
        <v>2.5056824898720094E-10</v>
      </c>
      <c r="AX102" s="23">
        <f t="shared" si="60"/>
        <v>2.3553937003565997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-2.8421709430404007E-13</v>
      </c>
      <c r="BE102" s="14">
        <f>BD102*VLOOKUP('Données projet'!$B$11,Paramètres!$A$1:$I$89,3,0)*VLOOKUP('Données projet'!$B$11,Paramètres!$A$1:$I$89,5,0)</f>
        <v>-1.69961822393816E-13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289.12367833861299</v>
      </c>
      <c r="BJ102" s="60">
        <f t="shared" si="92"/>
        <v>229.06617320689003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1.7067971663398443E-10</v>
      </c>
      <c r="BS102" s="24">
        <f t="shared" si="63"/>
        <v>1.7067971663398443E-10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-1.7053025658242404E-13</v>
      </c>
      <c r="BZ102" s="14">
        <f>BY102*VLOOKUP('Données projet'!$B$12,Paramètres!$A$1:$I$89,3,0)*VLOOKUP('Données projet'!$B$12,Paramètres!$A$1:$I$89,5,0)</f>
        <v>-1.3567387213697657E-13</v>
      </c>
      <c r="CA102" s="14" t="e">
        <f t="shared" si="93"/>
        <v>#NUM!</v>
      </c>
      <c r="CB102" s="22" t="e">
        <f t="shared" si="64"/>
        <v>#NUM!</v>
      </c>
      <c r="CC102" s="60" t="e">
        <f t="shared" si="65"/>
        <v>#NUM!</v>
      </c>
      <c r="CD102" s="60">
        <f ca="1">AVERAGE(OFFSET($CC$3,0,0,'Données projet'!$E$12+1,1))-AVERAGE(OFFSET($H$3,0,0,'Données projet'!$E$12+1,1))</f>
        <v>312.53381881960331</v>
      </c>
      <c r="CE102" s="60">
        <f t="shared" si="94"/>
        <v>342.06887933351783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302.27339999999987</v>
      </c>
      <c r="CV102" s="14">
        <f t="shared" si="95"/>
        <v>71.652845832409739</v>
      </c>
      <c r="CW102" s="22">
        <f t="shared" si="67"/>
        <v>651.25487815811346</v>
      </c>
      <c r="CX102" s="60">
        <f t="shared" si="68"/>
        <v>944.58821149144683</v>
      </c>
      <c r="CY102" s="60">
        <f ca="1">AVERAGE(OFFSET($CX$3,0,0,'Données projet'!$E$13+1,1))-AVERAGE(OFFSET($H$3,0,0,'Données projet'!$E$13+1,1))</f>
        <v>475.47920969424894</v>
      </c>
      <c r="CZ102" s="60">
        <f t="shared" si="96"/>
        <v>271.73544012419364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7.8564102564102525</v>
      </c>
      <c r="DO102" s="13">
        <f>IF('Données projet'!$A$166&gt;35,DO101+DN102-DW101,IF(A102&lt;'Données projet'!$A$166,$DL$205^A102,IF(A102='Données projet'!$A$166,'Données projet'!$B$166,DO101+DN102-DW101)))</f>
        <v>334.32051282051276</v>
      </c>
      <c r="DP102" s="18">
        <f>DO102*VLOOKUP('Données projet'!$B$14,Paramètres!$A$1:$I$89,3,0)*VLOOKUP('Données projet'!$B$14,Paramètres!$A$1:$I$89,5,0)</f>
        <v>156.46199999999999</v>
      </c>
      <c r="DQ102" s="14">
        <f t="shared" si="97"/>
        <v>40.043474088256666</v>
      </c>
      <c r="DR102" s="22">
        <f t="shared" si="70"/>
        <v>342.24703403704694</v>
      </c>
      <c r="DS102" s="60">
        <f t="shared" si="71"/>
        <v>635.58036737038026</v>
      </c>
      <c r="DT102" s="60">
        <f ca="1">AVERAGE(OFFSET($DS$3,0,0,'Données projet'!$E$14+1,1))-AVERAGE(OFFSET($H$3,0,0,'Données projet'!$E$14+1,1))</f>
        <v>284.71577701131588</v>
      </c>
      <c r="DU102" s="60">
        <f t="shared" si="98"/>
        <v>190.4880882944471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-1.7053025658242404E-13</v>
      </c>
      <c r="EK102" s="18">
        <f>EJ102*VLOOKUP('Données projet'!$B$15,Paramètres!$A$1:$I$89,3,0)*VLOOKUP('Données projet'!$B$15,Paramètres!$A$1:$I$89,5,0)</f>
        <v>-1.250327841262333E-13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290.85271051443431</v>
      </c>
      <c r="EP102" s="60">
        <f t="shared" si="100"/>
        <v>318.66958823451142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0">
        <f t="shared" si="55"/>
        <v>885.29892939819797</v>
      </c>
      <c r="S103" s="60">
        <f ca="1">AVERAGE(OFFSET($R$3,0,0,'Données projet'!$E$9+1,1))-AVERAGE(OFFSET($H$3,0,0,'Données projet'!$E$9+1,1))</f>
        <v>428.8489304403459</v>
      </c>
      <c r="T103" s="60">
        <f t="shared" si="88"/>
        <v>247.01165577562966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1.2710188457276673E-13</v>
      </c>
      <c r="AK103" s="14">
        <f t="shared" si="89"/>
        <v>1.856866851063998E-12</v>
      </c>
      <c r="AL103" s="22">
        <f t="shared" si="58"/>
        <v>3.4554122145673649E-12</v>
      </c>
      <c r="AM103" s="60">
        <f t="shared" si="59"/>
        <v>293.33333333333678</v>
      </c>
      <c r="AN103" s="60">
        <f ca="1">AVERAGE(OFFSET($AM$3,0,0,'Données projet'!$E$10+1,1))-AVERAGE(OFFSET($H$3,0,0,'Données projet'!$E$10+1,1))</f>
        <v>323.98185264074681</v>
      </c>
      <c r="AO103" s="60">
        <f t="shared" si="90"/>
        <v>301.22207291854005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1.1155802554671819</v>
      </c>
      <c r="AV103" s="23">
        <f>EXP(-LN(2)/25)*AV102+(1-EXP(-LN(2)/25))/(LN(2)/25)*Calculateur!AQ103*Calculateur!AS103*VLOOKUP('Données projet'!$B$10,Paramètres!$A$1:$I$89,3,0)*0.475*44/12</f>
        <v>1.1842074413597801</v>
      </c>
      <c r="AW103" s="23">
        <f>EXP(-LN(2)/2)*AW102+(1-EXP(-LN(2)/2))/(LN(2)/2)*AQ103*AT103*VLOOKUP('Données projet'!$B$10,Paramètres!$A$1:$I$89,3,0)*0.475*44/12</f>
        <v>1.7717850800888906E-10</v>
      </c>
      <c r="AX103" s="23">
        <f t="shared" si="60"/>
        <v>2.2997876970041404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-2.8421709430404007E-13</v>
      </c>
      <c r="BE103" s="14">
        <f>BD103*VLOOKUP('Données projet'!$B$11,Paramètres!$A$1:$I$89,3,0)*VLOOKUP('Données projet'!$B$11,Paramètres!$A$1:$I$89,5,0)</f>
        <v>-1.69961822393816E-13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289.12367833861299</v>
      </c>
      <c r="BJ103" s="60">
        <f t="shared" si="92"/>
        <v>229.06617320689003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1.2068878504288876E-10</v>
      </c>
      <c r="BS103" s="24">
        <f t="shared" si="63"/>
        <v>1.2068878504288876E-10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-1.7053025658242404E-13</v>
      </c>
      <c r="BZ103" s="14">
        <f>BY103*VLOOKUP('Données projet'!$B$12,Paramètres!$A$1:$I$89,3,0)*VLOOKUP('Données projet'!$B$12,Paramètres!$A$1:$I$89,5,0)</f>
        <v>-1.3567387213697657E-13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312.53381881960331</v>
      </c>
      <c r="CE103" s="60">
        <f t="shared" si="94"/>
        <v>342.06887933351783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307.24199999999985</v>
      </c>
      <c r="CV103" s="14">
        <f t="shared" si="95"/>
        <v>72.692550770207774</v>
      </c>
      <c r="CW103" s="22">
        <f t="shared" si="67"/>
        <v>661.71934259144484</v>
      </c>
      <c r="CX103" s="60">
        <f t="shared" si="68"/>
        <v>955.05267592477821</v>
      </c>
      <c r="CY103" s="60">
        <f ca="1">AVERAGE(OFFSET($CX$3,0,0,'Données projet'!$E$13+1,1))-AVERAGE(OFFSET($H$3,0,0,'Données projet'!$E$13+1,1))</f>
        <v>475.47920969424894</v>
      </c>
      <c r="CZ103" s="60">
        <f t="shared" si="96"/>
        <v>271.73544012419364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7.8564102564102525</v>
      </c>
      <c r="DO103" s="13">
        <f>IF('Données projet'!$A$166&gt;35,DO102+DN103-DW102,IF(A103&lt;'Données projet'!$A$166,$DL$205^A103,IF(A103='Données projet'!$A$166,'Données projet'!$B$166,DO102+DN103-DW102)))</f>
        <v>342.176923076923</v>
      </c>
      <c r="DP103" s="18">
        <f>DO103*VLOOKUP('Données projet'!$B$14,Paramètres!$A$1:$I$89,3,0)*VLOOKUP('Données projet'!$B$14,Paramètres!$A$1:$I$89,5,0)</f>
        <v>160.13879999999997</v>
      </c>
      <c r="DQ103" s="14">
        <f t="shared" si="97"/>
        <v>40.873820554013228</v>
      </c>
      <c r="DR103" s="22">
        <f t="shared" si="70"/>
        <v>350.09698079823966</v>
      </c>
      <c r="DS103" s="60">
        <f t="shared" si="71"/>
        <v>643.43031413157291</v>
      </c>
      <c r="DT103" s="60">
        <f ca="1">AVERAGE(OFFSET($DS$3,0,0,'Données projet'!$E$14+1,1))-AVERAGE(OFFSET($H$3,0,0,'Données projet'!$E$14+1,1))</f>
        <v>284.71577701131588</v>
      </c>
      <c r="DU103" s="60">
        <f t="shared" si="98"/>
        <v>190.4880882944471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-1.7053025658242404E-13</v>
      </c>
      <c r="EK103" s="18">
        <f>EJ103*VLOOKUP('Données projet'!$B$15,Paramètres!$A$1:$I$89,3,0)*VLOOKUP('Données projet'!$B$15,Paramètres!$A$1:$I$89,5,0)</f>
        <v>-1.250327841262333E-13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290.85271051443431</v>
      </c>
      <c r="EP103" s="60">
        <f t="shared" si="100"/>
        <v>318.66958823451142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0">
        <f t="shared" si="55"/>
        <v>813.3989415432759</v>
      </c>
      <c r="S104" s="60">
        <f ca="1">AVERAGE(OFFSET($R$3,0,0,'Données projet'!$E$9+1,1))-AVERAGE(OFFSET($H$3,0,0,'Données projet'!$E$9+1,1))</f>
        <v>428.8489304403459</v>
      </c>
      <c r="T104" s="60">
        <f t="shared" si="88"/>
        <v>247.01165577562966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1.2710188457276673E-13</v>
      </c>
      <c r="AK104" s="14">
        <f t="shared" si="89"/>
        <v>1.856866851063998E-12</v>
      </c>
      <c r="AL104" s="22">
        <f t="shared" si="58"/>
        <v>3.4554122145673649E-12</v>
      </c>
      <c r="AM104" s="60">
        <f t="shared" si="59"/>
        <v>293.33333333333678</v>
      </c>
      <c r="AN104" s="60">
        <f ca="1">AVERAGE(OFFSET($AM$3,0,0,'Données projet'!$E$10+1,1))-AVERAGE(OFFSET($H$3,0,0,'Données projet'!$E$10+1,1))</f>
        <v>323.98185264074681</v>
      </c>
      <c r="AO104" s="60">
        <f t="shared" si="90"/>
        <v>301.22207291854005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1.0937044070942388</v>
      </c>
      <c r="AV104" s="23">
        <f>EXP(-LN(2)/25)*AV103+(1-EXP(-LN(2)/25))/(LN(2)/25)*Calculateur!AQ104*Calculateur!AS104*VLOOKUP('Données projet'!$B$10,Paramètres!$A$1:$I$89,3,0)*0.475*44/12</f>
        <v>1.151825226601034</v>
      </c>
      <c r="AW104" s="23">
        <f>EXP(-LN(2)/2)*AW103+(1-EXP(-LN(2)/2))/(LN(2)/2)*AQ104*AT104*VLOOKUP('Données projet'!$B$10,Paramètres!$A$1:$I$89,3,0)*0.475*44/12</f>
        <v>1.2528412449360047E-10</v>
      </c>
      <c r="AX104" s="23">
        <f t="shared" si="60"/>
        <v>2.2455296338205568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-2.8421709430404007E-13</v>
      </c>
      <c r="BE104" s="14">
        <f>BD104*VLOOKUP('Données projet'!$B$11,Paramètres!$A$1:$I$89,3,0)*VLOOKUP('Données projet'!$B$11,Paramètres!$A$1:$I$89,5,0)</f>
        <v>-1.69961822393816E-13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289.12367833861299</v>
      </c>
      <c r="BJ104" s="60">
        <f t="shared" si="92"/>
        <v>229.06617320689003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8.5339858316992214E-11</v>
      </c>
      <c r="BS104" s="24">
        <f t="shared" si="63"/>
        <v>8.5339858316992214E-11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-1.7053025658242404E-13</v>
      </c>
      <c r="BZ104" s="14">
        <f>BY104*VLOOKUP('Données projet'!$B$12,Paramètres!$A$1:$I$89,3,0)*VLOOKUP('Données projet'!$B$12,Paramètres!$A$1:$I$89,5,0)</f>
        <v>-1.3567387213697657E-13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312.53381881960331</v>
      </c>
      <c r="CE104" s="60">
        <f t="shared" si="94"/>
        <v>342.06887933351783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269.1155999999998</v>
      </c>
      <c r="CV104" s="14">
        <f t="shared" si="95"/>
        <v>64.661541462287076</v>
      </c>
      <c r="CW104" s="22">
        <f t="shared" si="67"/>
        <v>581.3285213801496</v>
      </c>
      <c r="CX104" s="60">
        <f t="shared" si="68"/>
        <v>874.66185471348285</v>
      </c>
      <c r="CY104" s="60">
        <f ca="1">AVERAGE(OFFSET($CX$3,0,0,'Données projet'!$E$13+1,1))-AVERAGE(OFFSET($H$3,0,0,'Données projet'!$E$13+1,1))</f>
        <v>475.47920969424894</v>
      </c>
      <c r="CZ104" s="60">
        <f t="shared" si="96"/>
        <v>271.73544012419364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7.8564102564102525</v>
      </c>
      <c r="DO104" s="13">
        <f>IF('Données projet'!$A$166&gt;35,DO103+DN104-DW103,IF(A104&lt;'Données projet'!$A$166,$DL$205^A104,IF(A104='Données projet'!$A$166,'Données projet'!$B$166,DO103+DN104-DW103)))</f>
        <v>350.03333333333325</v>
      </c>
      <c r="DP104" s="18">
        <f>DO104*VLOOKUP('Données projet'!$B$14,Paramètres!$A$1:$I$89,3,0)*VLOOKUP('Données projet'!$B$14,Paramètres!$A$1:$I$89,5,0)</f>
        <v>163.81559999999996</v>
      </c>
      <c r="DQ104" s="14">
        <f t="shared" si="97"/>
        <v>41.701950631300939</v>
      </c>
      <c r="DR104" s="22">
        <f t="shared" si="70"/>
        <v>357.94306734951579</v>
      </c>
      <c r="DS104" s="60">
        <f t="shared" si="71"/>
        <v>651.27640068284904</v>
      </c>
      <c r="DT104" s="60">
        <f ca="1">AVERAGE(OFFSET($DS$3,0,0,'Données projet'!$E$14+1,1))-AVERAGE(OFFSET($H$3,0,0,'Données projet'!$E$14+1,1))</f>
        <v>284.71577701131588</v>
      </c>
      <c r="DU104" s="60">
        <f t="shared" si="98"/>
        <v>190.4880882944471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-1.7053025658242404E-13</v>
      </c>
      <c r="EK104" s="18">
        <f>EJ104*VLOOKUP('Données projet'!$B$15,Paramètres!$A$1:$I$89,3,0)*VLOOKUP('Données projet'!$B$15,Paramètres!$A$1:$I$89,5,0)</f>
        <v>-1.250327841262333E-13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290.85271051443431</v>
      </c>
      <c r="EP104" s="60">
        <f t="shared" si="100"/>
        <v>318.66958823451142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0">
        <f t="shared" si="55"/>
        <v>821.82303552922986</v>
      </c>
      <c r="S105" s="60">
        <f ca="1">AVERAGE(OFFSET($R$3,0,0,'Données projet'!$E$9+1,1))-AVERAGE(OFFSET($H$3,0,0,'Données projet'!$E$9+1,1))</f>
        <v>428.8489304403459</v>
      </c>
      <c r="T105" s="60">
        <f t="shared" si="88"/>
        <v>247.01165577562966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1.2710188457276673E-13</v>
      </c>
      <c r="AK105" s="14">
        <f t="shared" si="89"/>
        <v>1.856866851063998E-12</v>
      </c>
      <c r="AL105" s="22">
        <f t="shared" si="58"/>
        <v>3.4554122145673649E-12</v>
      </c>
      <c r="AM105" s="60">
        <f t="shared" si="59"/>
        <v>293.33333333333678</v>
      </c>
      <c r="AN105" s="60">
        <f ca="1">AVERAGE(OFFSET($AM$3,0,0,'Données projet'!$E$10+1,1))-AVERAGE(OFFSET($H$3,0,0,'Données projet'!$E$10+1,1))</f>
        <v>323.98185264074681</v>
      </c>
      <c r="AO105" s="60">
        <f t="shared" si="90"/>
        <v>301.22207291854005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1.0722575307649391</v>
      </c>
      <c r="AV105" s="23">
        <f>EXP(-LN(2)/25)*AV104+(1-EXP(-LN(2)/25))/(LN(2)/25)*Calculateur!AQ105*Calculateur!AS105*VLOOKUP('Données projet'!$B$10,Paramètres!$A$1:$I$89,3,0)*0.475*44/12</f>
        <v>1.1203285052077727</v>
      </c>
      <c r="AW105" s="23">
        <f>EXP(-LN(2)/2)*AW104+(1-EXP(-LN(2)/2))/(LN(2)/2)*AQ105*AT105*VLOOKUP('Données projet'!$B$10,Paramètres!$A$1:$I$89,3,0)*0.475*44/12</f>
        <v>8.8589254004444529E-11</v>
      </c>
      <c r="AX105" s="23">
        <f t="shared" si="60"/>
        <v>2.192586036061301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-2.8421709430404007E-13</v>
      </c>
      <c r="BE105" s="14">
        <f>BD105*VLOOKUP('Données projet'!$B$11,Paramètres!$A$1:$I$89,3,0)*VLOOKUP('Données projet'!$B$11,Paramètres!$A$1:$I$89,5,0)</f>
        <v>-1.69961822393816E-13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289.12367833861299</v>
      </c>
      <c r="BJ105" s="60">
        <f t="shared" si="92"/>
        <v>229.06617320689003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6.034439252144438E-11</v>
      </c>
      <c r="BS105" s="24">
        <f t="shared" si="63"/>
        <v>6.034439252144438E-11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-1.7053025658242404E-13</v>
      </c>
      <c r="BZ105" s="14">
        <f>BY105*VLOOKUP('Données projet'!$B$12,Paramètres!$A$1:$I$89,3,0)*VLOOKUP('Données projet'!$B$12,Paramètres!$A$1:$I$89,5,0)</f>
        <v>-1.3567387213697657E-13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312.53381881960331</v>
      </c>
      <c r="CE105" s="60">
        <f t="shared" si="94"/>
        <v>342.06887933351783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273.57719999999978</v>
      </c>
      <c r="CV105" s="14">
        <f t="shared" si="95"/>
        <v>65.60785888991505</v>
      </c>
      <c r="CW105" s="22">
        <f t="shared" si="67"/>
        <v>590.74731089993509</v>
      </c>
      <c r="CX105" s="60">
        <f t="shared" si="68"/>
        <v>884.08064423326846</v>
      </c>
      <c r="CY105" s="60">
        <f ca="1">AVERAGE(OFFSET($CX$3,0,0,'Données projet'!$E$13+1,1))-AVERAGE(OFFSET($H$3,0,0,'Données projet'!$E$13+1,1))</f>
        <v>475.47920969424894</v>
      </c>
      <c r="CZ105" s="60">
        <f t="shared" si="96"/>
        <v>271.73544012419364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7.8564102564102525</v>
      </c>
      <c r="DO105" s="13">
        <f>IF('Données projet'!$A$166&gt;35,DO104+DN105-DW104,IF(A105&lt;'Données projet'!$A$166,$DL$205^A105,IF(A105='Données projet'!$A$166,'Données projet'!$B$166,DO104+DN105-DW104)))</f>
        <v>357.88974358974349</v>
      </c>
      <c r="DP105" s="18">
        <f>DO105*VLOOKUP('Données projet'!$B$14,Paramètres!$A$1:$I$89,3,0)*VLOOKUP('Données projet'!$B$14,Paramètres!$A$1:$I$89,5,0)</f>
        <v>167.49239999999995</v>
      </c>
      <c r="DQ105" s="14">
        <f t="shared" si="97"/>
        <v>42.527919793797054</v>
      </c>
      <c r="DR105" s="22">
        <f t="shared" si="70"/>
        <v>365.78539030752978</v>
      </c>
      <c r="DS105" s="60">
        <f t="shared" si="71"/>
        <v>659.1187236408631</v>
      </c>
      <c r="DT105" s="60">
        <f ca="1">AVERAGE(OFFSET($DS$3,0,0,'Données projet'!$E$14+1,1))-AVERAGE(OFFSET($H$3,0,0,'Données projet'!$E$14+1,1))</f>
        <v>284.71577701131588</v>
      </c>
      <c r="DU105" s="60">
        <f t="shared" si="98"/>
        <v>190.4880882944471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-1.7053025658242404E-13</v>
      </c>
      <c r="EK105" s="18">
        <f>EJ105*VLOOKUP('Données projet'!$B$15,Paramètres!$A$1:$I$89,3,0)*VLOOKUP('Données projet'!$B$15,Paramètres!$A$1:$I$89,5,0)</f>
        <v>-1.250327841262333E-13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290.85271051443431</v>
      </c>
      <c r="EP105" s="60">
        <f t="shared" si="100"/>
        <v>318.66958823451142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0">
        <f t="shared" si="55"/>
        <v>830.24430301815983</v>
      </c>
      <c r="S106" s="60">
        <f ca="1">AVERAGE(OFFSET($R$3,0,0,'Données projet'!$E$9+1,1))-AVERAGE(OFFSET($H$3,0,0,'Données projet'!$E$9+1,1))</f>
        <v>428.8489304403459</v>
      </c>
      <c r="T106" s="60">
        <f t="shared" si="88"/>
        <v>247.01165577562966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1.2710188457276673E-13</v>
      </c>
      <c r="AK106" s="14">
        <f t="shared" si="89"/>
        <v>1.856866851063998E-12</v>
      </c>
      <c r="AL106" s="22">
        <f t="shared" si="58"/>
        <v>3.4554122145673649E-12</v>
      </c>
      <c r="AM106" s="60">
        <f t="shared" si="59"/>
        <v>293.33333333333678</v>
      </c>
      <c r="AN106" s="60">
        <f ca="1">AVERAGE(OFFSET($AM$3,0,0,'Données projet'!$E$10+1,1))-AVERAGE(OFFSET($H$3,0,0,'Données projet'!$E$10+1,1))</f>
        <v>323.98185264074681</v>
      </c>
      <c r="AO106" s="60">
        <f t="shared" si="90"/>
        <v>301.22207291854005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1.051231214599154</v>
      </c>
      <c r="AV106" s="23">
        <f>EXP(-LN(2)/25)*AV105+(1-EXP(-LN(2)/25))/(LN(2)/25)*Calculateur!AQ106*Calculateur!AS106*VLOOKUP('Données projet'!$B$10,Paramètres!$A$1:$I$89,3,0)*0.475*44/12</f>
        <v>1.0896930633173507</v>
      </c>
      <c r="AW106" s="23">
        <f>EXP(-LN(2)/2)*AW105+(1-EXP(-LN(2)/2))/(LN(2)/2)*AQ106*AT106*VLOOKUP('Données projet'!$B$10,Paramètres!$A$1:$I$89,3,0)*0.475*44/12</f>
        <v>6.2642062246800235E-11</v>
      </c>
      <c r="AX106" s="23">
        <f t="shared" si="60"/>
        <v>2.1409242779791469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-2.8421709430404007E-13</v>
      </c>
      <c r="BE106" s="14">
        <f>BD106*VLOOKUP('Données projet'!$B$11,Paramètres!$A$1:$I$89,3,0)*VLOOKUP('Données projet'!$B$11,Paramètres!$A$1:$I$89,5,0)</f>
        <v>-1.69961822393816E-13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289.12367833861299</v>
      </c>
      <c r="BJ106" s="60">
        <f t="shared" si="92"/>
        <v>229.06617320689003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4.2669929158496107E-11</v>
      </c>
      <c r="BS106" s="24">
        <f t="shared" si="63"/>
        <v>4.2669929158496107E-11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-1.7053025658242404E-13</v>
      </c>
      <c r="BZ106" s="14">
        <f>BY106*VLOOKUP('Données projet'!$B$12,Paramètres!$A$1:$I$89,3,0)*VLOOKUP('Données projet'!$B$12,Paramètres!$A$1:$I$89,5,0)</f>
        <v>-1.3567387213697657E-13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312.53381881960331</v>
      </c>
      <c r="CE106" s="60">
        <f t="shared" si="94"/>
        <v>342.06887933351783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278.03879999999975</v>
      </c>
      <c r="CV106" s="14">
        <f t="shared" si="95"/>
        <v>66.552381547717744</v>
      </c>
      <c r="CW106" s="22">
        <f t="shared" si="67"/>
        <v>600.16297452894128</v>
      </c>
      <c r="CX106" s="60">
        <f t="shared" si="68"/>
        <v>893.49630786227453</v>
      </c>
      <c r="CY106" s="60">
        <f ca="1">AVERAGE(OFFSET($CX$3,0,0,'Données projet'!$E$13+1,1))-AVERAGE(OFFSET($H$3,0,0,'Données projet'!$E$13+1,1))</f>
        <v>475.47920969424894</v>
      </c>
      <c r="CZ106" s="60">
        <f t="shared" si="96"/>
        <v>271.73544012419364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>
        <f>VLOOKUP(A106,'Données projet'!$A$165:$I$185,2,0)</f>
        <v>365.74615384615385</v>
      </c>
      <c r="DM106" s="13">
        <f>VLOOKUP(A106,'Données projet'!$A$165:$I$185,9,0)</f>
        <v>7.8564102564102525</v>
      </c>
      <c r="DN106" s="13">
        <f t="array" ref="DN106">INDEX(DM:DM,MIN(IF(ISNUMBER(DM106:DM302),ROW(DM106:DM302),"")))</f>
        <v>7.8564102564102525</v>
      </c>
      <c r="DO106" s="13">
        <f>IF('Données projet'!$A$166&gt;35,DO105+DN106-DW105,IF(A106&lt;'Données projet'!$A$166,$DL$205^A106,IF(A106='Données projet'!$A$166,'Données projet'!$B$166,DO105+DN106-DW105)))</f>
        <v>365.74615384615373</v>
      </c>
      <c r="DP106" s="18">
        <f>DO106*VLOOKUP('Données projet'!$B$14,Paramètres!$A$1:$I$89,3,0)*VLOOKUP('Données projet'!$B$14,Paramètres!$A$1:$I$89,5,0)</f>
        <v>171.16919999999996</v>
      </c>
      <c r="DQ106" s="14">
        <f t="shared" si="97"/>
        <v>43.351780940579147</v>
      </c>
      <c r="DR106" s="22">
        <f t="shared" si="70"/>
        <v>373.62404180484191</v>
      </c>
      <c r="DS106" s="60">
        <f t="shared" si="71"/>
        <v>666.95737513817517</v>
      </c>
      <c r="DT106" s="60">
        <f ca="1">AVERAGE(OFFSET($DS$3,0,0,'Données projet'!$E$14+1,1))-AVERAGE(OFFSET($H$3,0,0,'Données projet'!$E$14+1,1))</f>
        <v>284.71577701131588</v>
      </c>
      <c r="DU106" s="60">
        <f t="shared" si="98"/>
        <v>190.4880882944471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-1.7053025658242404E-13</v>
      </c>
      <c r="EK106" s="18">
        <f>EJ106*VLOOKUP('Données projet'!$B$15,Paramètres!$A$1:$I$89,3,0)*VLOOKUP('Données projet'!$B$15,Paramètres!$A$1:$I$89,5,0)</f>
        <v>-1.250327841262333E-13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290.85271051443431</v>
      </c>
      <c r="EP106" s="60">
        <f t="shared" si="100"/>
        <v>318.66958823451142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0">
        <f t="shared" si="55"/>
        <v>838.6627946025028</v>
      </c>
      <c r="S107" s="60">
        <f ca="1">AVERAGE(OFFSET($R$3,0,0,'Données projet'!$E$9+1,1))-AVERAGE(OFFSET($H$3,0,0,'Données projet'!$E$9+1,1))</f>
        <v>428.8489304403459</v>
      </c>
      <c r="T107" s="60">
        <f t="shared" si="88"/>
        <v>247.01165577562966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1.2710188457276673E-13</v>
      </c>
      <c r="AK107" s="14">
        <f t="shared" si="89"/>
        <v>1.856866851063998E-12</v>
      </c>
      <c r="AL107" s="22">
        <f t="shared" si="58"/>
        <v>3.4554122145673649E-12</v>
      </c>
      <c r="AM107" s="60">
        <f t="shared" si="59"/>
        <v>293.33333333333678</v>
      </c>
      <c r="AN107" s="60">
        <f ca="1">AVERAGE(OFFSET($AM$3,0,0,'Données projet'!$E$10+1,1))-AVERAGE(OFFSET($H$3,0,0,'Données projet'!$E$10+1,1))</f>
        <v>323.98185264074681</v>
      </c>
      <c r="AO107" s="60">
        <f t="shared" si="90"/>
        <v>301.22207291854005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1.0306172116685934</v>
      </c>
      <c r="AV107" s="23">
        <f>EXP(-LN(2)/25)*AV106+(1-EXP(-LN(2)/25))/(LN(2)/25)*Calculateur!AQ107*Calculateur!AS107*VLOOKUP('Données projet'!$B$10,Paramètres!$A$1:$I$89,3,0)*0.475*44/12</f>
        <v>1.05989534919647</v>
      </c>
      <c r="AW107" s="23">
        <f>EXP(-LN(2)/2)*AW106+(1-EXP(-LN(2)/2))/(LN(2)/2)*AQ107*AT107*VLOOKUP('Données projet'!$B$10,Paramètres!$A$1:$I$89,3,0)*0.475*44/12</f>
        <v>4.4294627002222264E-11</v>
      </c>
      <c r="AX107" s="23">
        <f t="shared" si="60"/>
        <v>2.090512560909358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-2.8421709430404007E-13</v>
      </c>
      <c r="BE107" s="14">
        <f>BD107*VLOOKUP('Données projet'!$B$11,Paramètres!$A$1:$I$89,3,0)*VLOOKUP('Données projet'!$B$11,Paramètres!$A$1:$I$89,5,0)</f>
        <v>-1.69961822393816E-13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289.12367833861299</v>
      </c>
      <c r="BJ107" s="60">
        <f t="shared" si="92"/>
        <v>229.06617320689003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3.017219626072219E-11</v>
      </c>
      <c r="BS107" s="24">
        <f t="shared" si="63"/>
        <v>3.017219626072219E-11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-1.7053025658242404E-13</v>
      </c>
      <c r="BZ107" s="14">
        <f>BY107*VLOOKUP('Données projet'!$B$12,Paramètres!$A$1:$I$89,3,0)*VLOOKUP('Données projet'!$B$12,Paramètres!$A$1:$I$89,5,0)</f>
        <v>-1.3567387213697657E-13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312.53381881960331</v>
      </c>
      <c r="CE107" s="60">
        <f t="shared" si="94"/>
        <v>342.06887933351783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282.50039999999973</v>
      </c>
      <c r="CV107" s="14">
        <f t="shared" si="95"/>
        <v>67.495141560894311</v>
      </c>
      <c r="CW107" s="22">
        <f t="shared" si="67"/>
        <v>609.57556821855712</v>
      </c>
      <c r="CX107" s="60">
        <f t="shared" si="68"/>
        <v>902.90890155189049</v>
      </c>
      <c r="CY107" s="60">
        <f ca="1">AVERAGE(OFFSET($CX$3,0,0,'Données projet'!$E$13+1,1))-AVERAGE(OFFSET($H$3,0,0,'Données projet'!$E$13+1,1))</f>
        <v>475.47920969424894</v>
      </c>
      <c r="CZ107" s="60">
        <f t="shared" si="96"/>
        <v>271.73544012419364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7.9089743589743575</v>
      </c>
      <c r="DO107" s="13">
        <f>IF('Données projet'!$A$166&gt;35,DO106+DN107-DW106,IF(A107&lt;'Données projet'!$A$166,$DL$205^A107,IF(A107='Données projet'!$A$166,'Données projet'!$B$166,DO106+DN107-DW106)))</f>
        <v>373.65512820512811</v>
      </c>
      <c r="DP107" s="18">
        <f>DO107*VLOOKUP('Données projet'!$B$14,Paramètres!$A$1:$I$89,3,0)*VLOOKUP('Données projet'!$B$14,Paramètres!$A$1:$I$89,5,0)</f>
        <v>174.87059999999997</v>
      </c>
      <c r="DQ107" s="14">
        <f t="shared" si="97"/>
        <v>44.17907610892069</v>
      </c>
      <c r="DR107" s="22">
        <f t="shared" si="70"/>
        <v>381.51151922303683</v>
      </c>
      <c r="DS107" s="60">
        <f t="shared" si="71"/>
        <v>674.84485255637014</v>
      </c>
      <c r="DT107" s="60">
        <f ca="1">AVERAGE(OFFSET($DS$3,0,0,'Données projet'!$E$14+1,1))-AVERAGE(OFFSET($H$3,0,0,'Données projet'!$E$14+1,1))</f>
        <v>284.71577701131588</v>
      </c>
      <c r="DU107" s="60">
        <f t="shared" si="98"/>
        <v>190.4880882944471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-1.7053025658242404E-13</v>
      </c>
      <c r="EK107" s="18">
        <f>EJ107*VLOOKUP('Données projet'!$B$15,Paramètres!$A$1:$I$89,3,0)*VLOOKUP('Données projet'!$B$15,Paramètres!$A$1:$I$89,5,0)</f>
        <v>-1.250327841262333E-13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290.85271051443431</v>
      </c>
      <c r="EP107" s="60">
        <f t="shared" si="100"/>
        <v>318.66958823451142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0">
        <f t="shared" si="55"/>
        <v>847.07855918499604</v>
      </c>
      <c r="S108" s="60">
        <f ca="1">AVERAGE(OFFSET($R$3,0,0,'Données projet'!$E$9+1,1))-AVERAGE(OFFSET($H$3,0,0,'Données projet'!$E$9+1,1))</f>
        <v>428.8489304403459</v>
      </c>
      <c r="T108" s="60">
        <f t="shared" si="88"/>
        <v>247.01165577562966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1.2710188457276673E-13</v>
      </c>
      <c r="AK108" s="14">
        <f t="shared" si="89"/>
        <v>1.856866851063998E-12</v>
      </c>
      <c r="AL108" s="22">
        <f t="shared" si="58"/>
        <v>3.4554122145673649E-12</v>
      </c>
      <c r="AM108" s="60">
        <f t="shared" si="59"/>
        <v>293.33333333333678</v>
      </c>
      <c r="AN108" s="60">
        <f ca="1">AVERAGE(OFFSET($AM$3,0,0,'Données projet'!$E$10+1,1))-AVERAGE(OFFSET($H$3,0,0,'Données projet'!$E$10+1,1))</f>
        <v>323.98185264074681</v>
      </c>
      <c r="AO108" s="60">
        <f t="shared" si="90"/>
        <v>301.22207291854005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1.0104074367622009</v>
      </c>
      <c r="AV108" s="23">
        <f>EXP(-LN(2)/25)*AV107+(1-EXP(-LN(2)/25))/(LN(2)/25)*Calculateur!AQ108*Calculateur!AS108*VLOOKUP('Données projet'!$B$10,Paramètres!$A$1:$I$89,3,0)*0.475*44/12</f>
        <v>1.0309124551352185</v>
      </c>
      <c r="AW108" s="23">
        <f>EXP(-LN(2)/2)*AW107+(1-EXP(-LN(2)/2))/(LN(2)/2)*AQ108*AT108*VLOOKUP('Données projet'!$B$10,Paramètres!$A$1:$I$89,3,0)*0.475*44/12</f>
        <v>3.1321031123400118E-11</v>
      </c>
      <c r="AX108" s="23">
        <f t="shared" si="60"/>
        <v>2.0413198919287407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-2.8421709430404007E-13</v>
      </c>
      <c r="BE108" s="14">
        <f>BD108*VLOOKUP('Données projet'!$B$11,Paramètres!$A$1:$I$89,3,0)*VLOOKUP('Données projet'!$B$11,Paramètres!$A$1:$I$89,5,0)</f>
        <v>-1.69961822393816E-13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289.12367833861299</v>
      </c>
      <c r="BJ108" s="60">
        <f t="shared" si="92"/>
        <v>229.06617320689003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2.1334964579248054E-11</v>
      </c>
      <c r="BS108" s="24">
        <f t="shared" si="63"/>
        <v>2.1334964579248054E-11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-1.7053025658242404E-13</v>
      </c>
      <c r="BZ108" s="14">
        <f>BY108*VLOOKUP('Données projet'!$B$12,Paramètres!$A$1:$I$89,3,0)*VLOOKUP('Données projet'!$B$12,Paramètres!$A$1:$I$89,5,0)</f>
        <v>-1.3567387213697657E-13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312.53381881960331</v>
      </c>
      <c r="CE108" s="60">
        <f t="shared" si="94"/>
        <v>342.06887933351783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286.9619999999997</v>
      </c>
      <c r="CV108" s="14">
        <f t="shared" si="95"/>
        <v>68.436169981717796</v>
      </c>
      <c r="CW108" s="22">
        <f t="shared" si="67"/>
        <v>618.98514605149137</v>
      </c>
      <c r="CX108" s="60">
        <f t="shared" si="68"/>
        <v>912.31847938482474</v>
      </c>
      <c r="CY108" s="60">
        <f ca="1">AVERAGE(OFFSET($CX$3,0,0,'Données projet'!$E$13+1,1))-AVERAGE(OFFSET($H$3,0,0,'Données projet'!$E$13+1,1))</f>
        <v>475.47920969424894</v>
      </c>
      <c r="CZ108" s="60">
        <f t="shared" si="96"/>
        <v>271.73544012419364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7.9089743589743575</v>
      </c>
      <c r="DO108" s="13">
        <f>IF('Données projet'!$A$166&gt;35,DO107+DN108-DW107,IF(A108&lt;'Données projet'!$A$166,$DL$205^A108,IF(A108='Données projet'!$A$166,'Données projet'!$B$166,DO107+DN108-DW107)))</f>
        <v>381.56410256410248</v>
      </c>
      <c r="DP108" s="18">
        <f>DO108*VLOOKUP('Données projet'!$B$14,Paramètres!$A$1:$I$89,3,0)*VLOOKUP('Données projet'!$B$14,Paramètres!$A$1:$I$89,5,0)</f>
        <v>178.57199999999997</v>
      </c>
      <c r="DQ108" s="14">
        <f t="shared" si="97"/>
        <v>45.004335350860913</v>
      </c>
      <c r="DR108" s="22">
        <f t="shared" si="70"/>
        <v>389.39545073608269</v>
      </c>
      <c r="DS108" s="60">
        <f t="shared" si="71"/>
        <v>682.72878406941595</v>
      </c>
      <c r="DT108" s="60">
        <f ca="1">AVERAGE(OFFSET($DS$3,0,0,'Données projet'!$E$14+1,1))-AVERAGE(OFFSET($H$3,0,0,'Données projet'!$E$14+1,1))</f>
        <v>284.71577701131588</v>
      </c>
      <c r="DU108" s="60">
        <f t="shared" si="98"/>
        <v>190.4880882944471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-1.7053025658242404E-13</v>
      </c>
      <c r="EK108" s="18">
        <f>EJ108*VLOOKUP('Données projet'!$B$15,Paramètres!$A$1:$I$89,3,0)*VLOOKUP('Données projet'!$B$15,Paramètres!$A$1:$I$89,5,0)</f>
        <v>-1.250327841262333E-13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290.85271051443431</v>
      </c>
      <c r="EP108" s="60">
        <f t="shared" si="100"/>
        <v>318.66958823451142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0">
        <f t="shared" si="55"/>
        <v>855.49164406048612</v>
      </c>
      <c r="S109" s="60">
        <f ca="1">AVERAGE(OFFSET($R$3,0,0,'Données projet'!$E$9+1,1))-AVERAGE(OFFSET($H$3,0,0,'Données projet'!$E$9+1,1))</f>
        <v>428.8489304403459</v>
      </c>
      <c r="T109" s="60">
        <f t="shared" si="88"/>
        <v>247.01165577562966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1.2710188457276673E-13</v>
      </c>
      <c r="AK109" s="14">
        <f t="shared" si="89"/>
        <v>1.856866851063998E-12</v>
      </c>
      <c r="AL109" s="22">
        <f t="shared" si="58"/>
        <v>3.4554122145673649E-12</v>
      </c>
      <c r="AM109" s="60">
        <f t="shared" si="59"/>
        <v>293.33333333333678</v>
      </c>
      <c r="AN109" s="60">
        <f ca="1">AVERAGE(OFFSET($AM$3,0,0,'Données projet'!$E$10+1,1))-AVERAGE(OFFSET($H$3,0,0,'Données projet'!$E$10+1,1))</f>
        <v>323.98185264074681</v>
      </c>
      <c r="AO109" s="60">
        <f t="shared" si="90"/>
        <v>301.22207291854005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0.99059396321497717</v>
      </c>
      <c r="AV109" s="23">
        <f>EXP(-LN(2)/25)*AV108+(1-EXP(-LN(2)/25))/(LN(2)/25)*Calculateur!AQ109*Calculateur!AS109*VLOOKUP('Données projet'!$B$10,Paramètres!$A$1:$I$89,3,0)*0.475*44/12</f>
        <v>1.0027220998362161</v>
      </c>
      <c r="AW109" s="23">
        <f>EXP(-LN(2)/2)*AW108+(1-EXP(-LN(2)/2))/(LN(2)/2)*AQ109*AT109*VLOOKUP('Données projet'!$B$10,Paramètres!$A$1:$I$89,3,0)*0.475*44/12</f>
        <v>2.2147313501111132E-11</v>
      </c>
      <c r="AX109" s="23">
        <f t="shared" si="60"/>
        <v>1.9933160630733406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-2.8421709430404007E-13</v>
      </c>
      <c r="BE109" s="14">
        <f>BD109*VLOOKUP('Données projet'!$B$11,Paramètres!$A$1:$I$89,3,0)*VLOOKUP('Données projet'!$B$11,Paramètres!$A$1:$I$89,5,0)</f>
        <v>-1.69961822393816E-13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289.12367833861299</v>
      </c>
      <c r="BJ109" s="60">
        <f t="shared" si="92"/>
        <v>229.06617320689003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1.5086098130361095E-11</v>
      </c>
      <c r="BS109" s="24">
        <f t="shared" si="63"/>
        <v>1.5086098130361095E-11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-1.7053025658242404E-13</v>
      </c>
      <c r="BZ109" s="14">
        <f>BY109*VLOOKUP('Données projet'!$B$12,Paramètres!$A$1:$I$89,3,0)*VLOOKUP('Données projet'!$B$12,Paramètres!$A$1:$I$89,5,0)</f>
        <v>-1.3567387213697657E-13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312.53381881960331</v>
      </c>
      <c r="CE109" s="60">
        <f t="shared" si="94"/>
        <v>342.06887933351783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291.42359999999968</v>
      </c>
      <c r="CV109" s="14">
        <f t="shared" si="95"/>
        <v>69.375496841482104</v>
      </c>
      <c r="CW109" s="22">
        <f t="shared" si="67"/>
        <v>628.39176033224737</v>
      </c>
      <c r="CX109" s="60">
        <f t="shared" si="68"/>
        <v>921.72509366558074</v>
      </c>
      <c r="CY109" s="60">
        <f ca="1">AVERAGE(OFFSET($CX$3,0,0,'Données projet'!$E$13+1,1))-AVERAGE(OFFSET($H$3,0,0,'Données projet'!$E$13+1,1))</f>
        <v>475.47920969424894</v>
      </c>
      <c r="CZ109" s="60">
        <f t="shared" si="96"/>
        <v>271.73544012419364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7.9089743589743575</v>
      </c>
      <c r="DO109" s="13">
        <f>IF('Données projet'!$A$166&gt;35,DO108+DN109-DW108,IF(A109&lt;'Données projet'!$A$166,$DL$205^A109,IF(A109='Données projet'!$A$166,'Données projet'!$B$166,DO108+DN109-DW108)))</f>
        <v>389.47307692307686</v>
      </c>
      <c r="DP109" s="18">
        <f>DO109*VLOOKUP('Données projet'!$B$14,Paramètres!$A$1:$I$89,3,0)*VLOOKUP('Données projet'!$B$14,Paramètres!$A$1:$I$89,5,0)</f>
        <v>182.27339999999995</v>
      </c>
      <c r="DQ109" s="14">
        <f t="shared" si="97"/>
        <v>45.827605728742469</v>
      </c>
      <c r="DR109" s="22">
        <f t="shared" si="70"/>
        <v>397.27591831089302</v>
      </c>
      <c r="DS109" s="60">
        <f t="shared" si="71"/>
        <v>690.60925164422633</v>
      </c>
      <c r="DT109" s="60">
        <f ca="1">AVERAGE(OFFSET($DS$3,0,0,'Données projet'!$E$14+1,1))-AVERAGE(OFFSET($H$3,0,0,'Données projet'!$E$14+1,1))</f>
        <v>284.71577701131588</v>
      </c>
      <c r="DU109" s="60">
        <f t="shared" si="98"/>
        <v>190.4880882944471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-1.7053025658242404E-13</v>
      </c>
      <c r="EK109" s="18">
        <f>EJ109*VLOOKUP('Données projet'!$B$15,Paramètres!$A$1:$I$89,3,0)*VLOOKUP('Données projet'!$B$15,Paramètres!$A$1:$I$89,5,0)</f>
        <v>-1.250327841262333E-13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290.85271051443431</v>
      </c>
      <c r="EP109" s="60">
        <f t="shared" si="100"/>
        <v>318.66958823451142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0">
        <f t="shared" si="55"/>
        <v>863.9020949925864</v>
      </c>
      <c r="S110" s="60">
        <f ca="1">AVERAGE(OFFSET($R$3,0,0,'Données projet'!$E$9+1,1))-AVERAGE(OFFSET($H$3,0,0,'Données projet'!$E$9+1,1))</f>
        <v>428.8489304403459</v>
      </c>
      <c r="T110" s="60">
        <f t="shared" si="88"/>
        <v>247.01165577562966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1.2710188457276673E-13</v>
      </c>
      <c r="AK110" s="14">
        <f t="shared" si="89"/>
        <v>1.856866851063998E-12</v>
      </c>
      <c r="AL110" s="22">
        <f t="shared" si="58"/>
        <v>3.4554122145673649E-12</v>
      </c>
      <c r="AM110" s="60">
        <f t="shared" si="59"/>
        <v>293.33333333333678</v>
      </c>
      <c r="AN110" s="60">
        <f ca="1">AVERAGE(OFFSET($AM$3,0,0,'Données projet'!$E$10+1,1))-AVERAGE(OFFSET($H$3,0,0,'Données projet'!$E$10+1,1))</f>
        <v>323.98185264074681</v>
      </c>
      <c r="AO110" s="60">
        <f t="shared" si="90"/>
        <v>301.22207291854005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0.97116901979898895</v>
      </c>
      <c r="AV110" s="23">
        <f>EXP(-LN(2)/25)*AV109+(1-EXP(-LN(2)/25))/(LN(2)/25)*Calculateur!AQ110*Calculateur!AS110*VLOOKUP('Données projet'!$B$10,Paramètres!$A$1:$I$89,3,0)*0.475*44/12</f>
        <v>0.97530261128533124</v>
      </c>
      <c r="AW110" s="23">
        <f>EXP(-LN(2)/2)*AW109+(1-EXP(-LN(2)/2))/(LN(2)/2)*AQ110*AT110*VLOOKUP('Données projet'!$B$10,Paramètres!$A$1:$I$89,3,0)*0.475*44/12</f>
        <v>1.5660515561700059E-11</v>
      </c>
      <c r="AX110" s="23">
        <f t="shared" si="60"/>
        <v>1.9464716310999808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-2.8421709430404007E-13</v>
      </c>
      <c r="BE110" s="14">
        <f>BD110*VLOOKUP('Données projet'!$B$11,Paramètres!$A$1:$I$89,3,0)*VLOOKUP('Données projet'!$B$11,Paramètres!$A$1:$I$89,5,0)</f>
        <v>-1.69961822393816E-13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289.12367833861299</v>
      </c>
      <c r="BJ110" s="60">
        <f t="shared" si="92"/>
        <v>229.06617320689003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1.0667482289624027E-11</v>
      </c>
      <c r="BS110" s="24">
        <f t="shared" si="63"/>
        <v>1.0667482289624027E-11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-1.7053025658242404E-13</v>
      </c>
      <c r="BZ110" s="14">
        <f>BY110*VLOOKUP('Données projet'!$B$12,Paramètres!$A$1:$I$89,3,0)*VLOOKUP('Données projet'!$B$12,Paramètres!$A$1:$I$89,5,0)</f>
        <v>-1.3567387213697657E-13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312.53381881960331</v>
      </c>
      <c r="CE110" s="60">
        <f t="shared" si="94"/>
        <v>342.06887933351783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295.88519999999966</v>
      </c>
      <c r="CV110" s="14">
        <f t="shared" si="95"/>
        <v>70.313151199178748</v>
      </c>
      <c r="CW110" s="22">
        <f t="shared" si="67"/>
        <v>637.79546167190244</v>
      </c>
      <c r="CX110" s="60">
        <f t="shared" si="68"/>
        <v>931.12879500523582</v>
      </c>
      <c r="CY110" s="60">
        <f ca="1">AVERAGE(OFFSET($CX$3,0,0,'Données projet'!$E$13+1,1))-AVERAGE(OFFSET($H$3,0,0,'Données projet'!$E$13+1,1))</f>
        <v>475.47920969424894</v>
      </c>
      <c r="CZ110" s="60">
        <f t="shared" si="96"/>
        <v>271.73544012419364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7.9089743589743575</v>
      </c>
      <c r="DO110" s="13">
        <f>IF('Données projet'!$A$166&gt;35,DO109+DN110-DW109,IF(A110&lt;'Données projet'!$A$166,$DL$205^A110,IF(A110='Données projet'!$A$166,'Données projet'!$B$166,DO109+DN110-DW109)))</f>
        <v>397.38205128205124</v>
      </c>
      <c r="DP110" s="18">
        <f>DO110*VLOOKUP('Données projet'!$B$14,Paramètres!$A$1:$I$89,3,0)*VLOOKUP('Données projet'!$B$14,Paramètres!$A$1:$I$89,5,0)</f>
        <v>185.97479999999996</v>
      </c>
      <c r="DQ110" s="14">
        <f t="shared" si="97"/>
        <v>46.648932284261271</v>
      </c>
      <c r="DR110" s="22">
        <f t="shared" si="70"/>
        <v>405.15300039508821</v>
      </c>
      <c r="DS110" s="60">
        <f t="shared" si="71"/>
        <v>698.48633372842153</v>
      </c>
      <c r="DT110" s="60">
        <f ca="1">AVERAGE(OFFSET($DS$3,0,0,'Données projet'!$E$14+1,1))-AVERAGE(OFFSET($H$3,0,0,'Données projet'!$E$14+1,1))</f>
        <v>284.71577701131588</v>
      </c>
      <c r="DU110" s="60">
        <f t="shared" si="98"/>
        <v>190.4880882944471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-1.7053025658242404E-13</v>
      </c>
      <c r="EK110" s="18">
        <f>EJ110*VLOOKUP('Données projet'!$B$15,Paramètres!$A$1:$I$89,3,0)*VLOOKUP('Données projet'!$B$15,Paramètres!$A$1:$I$89,5,0)</f>
        <v>-1.250327841262333E-13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290.85271051443431</v>
      </c>
      <c r="EP110" s="60">
        <f t="shared" si="100"/>
        <v>318.66958823451142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0">
        <f t="shared" si="55"/>
        <v>872.30995628558094</v>
      </c>
      <c r="S111" s="60">
        <f ca="1">AVERAGE(OFFSET($R$3,0,0,'Données projet'!$E$9+1,1))-AVERAGE(OFFSET($H$3,0,0,'Données projet'!$E$9+1,1))</f>
        <v>428.8489304403459</v>
      </c>
      <c r="T111" s="60">
        <f t="shared" si="88"/>
        <v>247.01165577562966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1.2710188457276673E-13</v>
      </c>
      <c r="AK111" s="14">
        <f t="shared" si="89"/>
        <v>1.856866851063998E-12</v>
      </c>
      <c r="AL111" s="22">
        <f t="shared" si="58"/>
        <v>3.4554122145673649E-12</v>
      </c>
      <c r="AM111" s="60">
        <f t="shared" si="59"/>
        <v>293.33333333333678</v>
      </c>
      <c r="AN111" s="60">
        <f ca="1">AVERAGE(OFFSET($AM$3,0,0,'Données projet'!$E$10+1,1))-AVERAGE(OFFSET($H$3,0,0,'Données projet'!$E$10+1,1))</f>
        <v>323.98185264074681</v>
      </c>
      <c r="AO111" s="60">
        <f t="shared" si="90"/>
        <v>301.22207291854005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0.9521249876753427</v>
      </c>
      <c r="AV111" s="23">
        <f>EXP(-LN(2)/25)*AV110+(1-EXP(-LN(2)/25))/(LN(2)/25)*Calculateur!AQ111*Calculateur!AS111*VLOOKUP('Données projet'!$B$10,Paramètres!$A$1:$I$89,3,0)*0.475*44/12</f>
        <v>0.94863291009079864</v>
      </c>
      <c r="AW111" s="23">
        <f>EXP(-LN(2)/2)*AW110+(1-EXP(-LN(2)/2))/(LN(2)/2)*AQ111*AT111*VLOOKUP('Données projet'!$B$10,Paramètres!$A$1:$I$89,3,0)*0.475*44/12</f>
        <v>1.1073656750555566E-11</v>
      </c>
      <c r="AX111" s="23">
        <f t="shared" si="60"/>
        <v>1.900757897777215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-2.8421709430404007E-13</v>
      </c>
      <c r="BE111" s="14">
        <f>BD111*VLOOKUP('Données projet'!$B$11,Paramètres!$A$1:$I$89,3,0)*VLOOKUP('Données projet'!$B$11,Paramètres!$A$1:$I$89,5,0)</f>
        <v>-1.69961822393816E-13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289.12367833861299</v>
      </c>
      <c r="BJ111" s="60">
        <f t="shared" si="92"/>
        <v>229.06617320689003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7.5430490651805476E-12</v>
      </c>
      <c r="BS111" s="24">
        <f t="shared" si="63"/>
        <v>7.5430490651805476E-12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-1.7053025658242404E-13</v>
      </c>
      <c r="BZ111" s="14">
        <f>BY111*VLOOKUP('Données projet'!$B$12,Paramètres!$A$1:$I$89,3,0)*VLOOKUP('Données projet'!$B$12,Paramètres!$A$1:$I$89,5,0)</f>
        <v>-1.3567387213697657E-13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312.53381881960331</v>
      </c>
      <c r="CE111" s="60">
        <f t="shared" si="94"/>
        <v>342.06887933351783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300.34679999999963</v>
      </c>
      <c r="CV111" s="14">
        <f t="shared" si="95"/>
        <v>71.249161187153291</v>
      </c>
      <c r="CW111" s="22">
        <f t="shared" si="67"/>
        <v>647.19629906762464</v>
      </c>
      <c r="CX111" s="60">
        <f t="shared" si="68"/>
        <v>940.52963240095801</v>
      </c>
      <c r="CY111" s="60">
        <f ca="1">AVERAGE(OFFSET($CX$3,0,0,'Données projet'!$E$13+1,1))-AVERAGE(OFFSET($H$3,0,0,'Données projet'!$E$13+1,1))</f>
        <v>475.47920969424894</v>
      </c>
      <c r="CZ111" s="60">
        <f t="shared" si="96"/>
        <v>271.73544012419364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7.9089743589743575</v>
      </c>
      <c r="DO111" s="13">
        <f>IF('Données projet'!$A$166&gt;35,DO110+DN111-DW110,IF(A111&lt;'Données projet'!$A$166,$DL$205^A111,IF(A111='Données projet'!$A$166,'Données projet'!$B$166,DO110+DN111-DW110)))</f>
        <v>405.29102564102561</v>
      </c>
      <c r="DP111" s="18">
        <f>DO111*VLOOKUP('Données projet'!$B$14,Paramètres!$A$1:$I$89,3,0)*VLOOKUP('Données projet'!$B$14,Paramètres!$A$1:$I$89,5,0)</f>
        <v>189.67619999999997</v>
      </c>
      <c r="DQ111" s="14">
        <f t="shared" si="97"/>
        <v>47.468358163684449</v>
      </c>
      <c r="DR111" s="22">
        <f t="shared" si="70"/>
        <v>413.02677213508372</v>
      </c>
      <c r="DS111" s="60">
        <f t="shared" si="71"/>
        <v>706.36010546841703</v>
      </c>
      <c r="DT111" s="60">
        <f ca="1">AVERAGE(OFFSET($DS$3,0,0,'Données projet'!$E$14+1,1))-AVERAGE(OFFSET($H$3,0,0,'Données projet'!$E$14+1,1))</f>
        <v>284.71577701131588</v>
      </c>
      <c r="DU111" s="60">
        <f t="shared" si="98"/>
        <v>190.4880882944471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-1.7053025658242404E-13</v>
      </c>
      <c r="EK111" s="18">
        <f>EJ111*VLOOKUP('Données projet'!$B$15,Paramètres!$A$1:$I$89,3,0)*VLOOKUP('Données projet'!$B$15,Paramètres!$A$1:$I$89,5,0)</f>
        <v>-1.250327841262333E-13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290.85271051443431</v>
      </c>
      <c r="EP111" s="60">
        <f t="shared" si="100"/>
        <v>318.66958823451142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0">
        <f t="shared" si="55"/>
        <v>880.71527085193179</v>
      </c>
      <c r="S112" s="60">
        <f ca="1">AVERAGE(OFFSET($R$3,0,0,'Données projet'!$E$9+1,1))-AVERAGE(OFFSET($H$3,0,0,'Données projet'!$E$9+1,1))</f>
        <v>428.8489304403459</v>
      </c>
      <c r="T112" s="60">
        <f t="shared" si="88"/>
        <v>247.01165577562966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1.2710188457276673E-13</v>
      </c>
      <c r="AK112" s="14">
        <f t="shared" si="89"/>
        <v>1.856866851063998E-12</v>
      </c>
      <c r="AL112" s="22">
        <f t="shared" si="58"/>
        <v>3.4554122145673649E-12</v>
      </c>
      <c r="AM112" s="60">
        <f t="shared" si="59"/>
        <v>293.33333333333678</v>
      </c>
      <c r="AN112" s="60">
        <f ca="1">AVERAGE(OFFSET($AM$3,0,0,'Données projet'!$E$10+1,1))-AVERAGE(OFFSET($H$3,0,0,'Données projet'!$E$10+1,1))</f>
        <v>323.98185264074681</v>
      </c>
      <c r="AO112" s="60">
        <f t="shared" si="90"/>
        <v>301.22207291854005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0.9334543974059285</v>
      </c>
      <c r="AV112" s="23">
        <f>EXP(-LN(2)/25)*AV111+(1-EXP(-LN(2)/25))/(LN(2)/25)*Calculateur!AQ112*Calculateur!AS112*VLOOKUP('Données projet'!$B$10,Paramètres!$A$1:$I$89,3,0)*0.475*44/12</f>
        <v>0.92269249327792913</v>
      </c>
      <c r="AW112" s="23">
        <f>EXP(-LN(2)/2)*AW111+(1-EXP(-LN(2)/2))/(LN(2)/2)*AQ112*AT112*VLOOKUP('Données projet'!$B$10,Paramètres!$A$1:$I$89,3,0)*0.475*44/12</f>
        <v>7.8302577808500294E-12</v>
      </c>
      <c r="AX112" s="23">
        <f t="shared" si="60"/>
        <v>1.8561468906916878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-2.8421709430404007E-13</v>
      </c>
      <c r="BE112" s="14">
        <f>BD112*VLOOKUP('Données projet'!$B$11,Paramètres!$A$1:$I$89,3,0)*VLOOKUP('Données projet'!$B$11,Paramètres!$A$1:$I$89,5,0)</f>
        <v>-1.69961822393816E-13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289.12367833861299</v>
      </c>
      <c r="BJ112" s="60">
        <f t="shared" si="92"/>
        <v>229.06617320689003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5.3337411448120134E-12</v>
      </c>
      <c r="BS112" s="24">
        <f t="shared" si="63"/>
        <v>5.3337411448120134E-12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-1.7053025658242404E-13</v>
      </c>
      <c r="BZ112" s="14">
        <f>BY112*VLOOKUP('Données projet'!$B$12,Paramètres!$A$1:$I$89,3,0)*VLOOKUP('Données projet'!$B$12,Paramètres!$A$1:$I$89,5,0)</f>
        <v>-1.3567387213697657E-13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312.53381881960331</v>
      </c>
      <c r="CE112" s="60">
        <f t="shared" si="94"/>
        <v>342.06887933351783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304.80839999999961</v>
      </c>
      <c r="CV112" s="14">
        <f t="shared" si="95"/>
        <v>72.183554053972728</v>
      </c>
      <c r="CW112" s="22">
        <f t="shared" si="67"/>
        <v>656.59431997733509</v>
      </c>
      <c r="CX112" s="60">
        <f t="shared" si="68"/>
        <v>949.92765331066835</v>
      </c>
      <c r="CY112" s="60">
        <f ca="1">AVERAGE(OFFSET($CX$3,0,0,'Données projet'!$E$13+1,1))-AVERAGE(OFFSET($H$3,0,0,'Données projet'!$E$13+1,1))</f>
        <v>475.47920969424894</v>
      </c>
      <c r="CZ112" s="60">
        <f t="shared" si="96"/>
        <v>271.73544012419364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>
        <f>VLOOKUP(A112,'Données projet'!$A$165:$I$185,2,0)</f>
        <v>413.2</v>
      </c>
      <c r="DM112" s="13">
        <f>VLOOKUP(A112,'Données projet'!$A$165:$I$185,9,0)</f>
        <v>7.9089743589743575</v>
      </c>
      <c r="DN112" s="13">
        <f t="array" ref="DN112">INDEX(DM:DM,MIN(IF(ISNUMBER(DM112:DM308),ROW(DM112:DM308),"")))</f>
        <v>7.9089743589743575</v>
      </c>
      <c r="DO112" s="13">
        <f>IF('Données projet'!$A$166&gt;35,DO111+DN112-DW111,IF(A112&lt;'Données projet'!$A$166,$DL$205^A112,IF(A112='Données projet'!$A$166,'Données projet'!$B$166,DO111+DN112-DW111)))</f>
        <v>413.2</v>
      </c>
      <c r="DP112" s="18">
        <f>DO112*VLOOKUP('Données projet'!$B$14,Paramètres!$A$1:$I$89,3,0)*VLOOKUP('Données projet'!$B$14,Paramètres!$A$1:$I$89,5,0)</f>
        <v>193.37759999999997</v>
      </c>
      <c r="DQ112" s="14">
        <f t="shared" si="97"/>
        <v>48.285924733018234</v>
      </c>
      <c r="DR112" s="22">
        <f t="shared" si="70"/>
        <v>420.89730557667332</v>
      </c>
      <c r="DS112" s="60">
        <f t="shared" si="71"/>
        <v>714.23063891000663</v>
      </c>
      <c r="DT112" s="60">
        <f ca="1">AVERAGE(OFFSET($DS$3,0,0,'Données projet'!$E$14+1,1))-AVERAGE(OFFSET($H$3,0,0,'Données projet'!$E$14+1,1))</f>
        <v>284.71577701131588</v>
      </c>
      <c r="DU112" s="60">
        <f t="shared" si="98"/>
        <v>190.4880882944471</v>
      </c>
      <c r="DV112" s="16">
        <f>IF(ISNA(VLOOKUP(A112,'Données projet'!$A$165:$I$185,3,0)),0,VLOOKUP(A112,'Données projet'!$A$165:$I$185,3,0))</f>
        <v>6</v>
      </c>
      <c r="DW112" s="16">
        <f>IF(ISNA(VLOOKUP(A112,'Données projet'!$A$165:$I$185,4,0)),0,VLOOKUP(A112,'Données projet'!$A$165:$I$185,4,0))</f>
        <v>80.653846153846146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-1.7053025658242404E-13</v>
      </c>
      <c r="EK112" s="18">
        <f>EJ112*VLOOKUP('Données projet'!$B$15,Paramètres!$A$1:$I$89,3,0)*VLOOKUP('Données projet'!$B$15,Paramètres!$A$1:$I$89,5,0)</f>
        <v>-1.250327841262333E-13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290.85271051443431</v>
      </c>
      <c r="EP112" s="60">
        <f t="shared" si="100"/>
        <v>318.66958823451142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0">
        <f t="shared" si="55"/>
        <v>889.11808027572556</v>
      </c>
      <c r="S113" s="60">
        <f ca="1">AVERAGE(OFFSET($R$3,0,0,'Données projet'!$E$9+1,1))-AVERAGE(OFFSET($H$3,0,0,'Données projet'!$E$9+1,1))</f>
        <v>428.8489304403459</v>
      </c>
      <c r="T113" s="60">
        <f t="shared" si="88"/>
        <v>247.01165577562966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1.2710188457276673E-13</v>
      </c>
      <c r="AK113" s="14">
        <f t="shared" si="89"/>
        <v>1.856866851063998E-12</v>
      </c>
      <c r="AL113" s="22">
        <f t="shared" si="58"/>
        <v>3.4554122145673649E-12</v>
      </c>
      <c r="AM113" s="60">
        <f t="shared" si="59"/>
        <v>293.33333333333678</v>
      </c>
      <c r="AN113" s="60">
        <f ca="1">AVERAGE(OFFSET($AM$3,0,0,'Données projet'!$E$10+1,1))-AVERAGE(OFFSET($H$3,0,0,'Données projet'!$E$10+1,1))</f>
        <v>323.98185264074681</v>
      </c>
      <c r="AO113" s="60">
        <f t="shared" si="90"/>
        <v>301.22207291854005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0.91514992602376188</v>
      </c>
      <c r="AV113" s="23">
        <f>EXP(-LN(2)/25)*AV112+(1-EXP(-LN(2)/25))/(LN(2)/25)*Calculateur!AQ113*Calculateur!AS113*VLOOKUP('Données projet'!$B$10,Paramètres!$A$1:$I$89,3,0)*0.475*44/12</f>
        <v>0.89746141852695482</v>
      </c>
      <c r="AW113" s="23">
        <f>EXP(-LN(2)/2)*AW112+(1-EXP(-LN(2)/2))/(LN(2)/2)*AQ113*AT113*VLOOKUP('Données projet'!$B$10,Paramètres!$A$1:$I$89,3,0)*0.475*44/12</f>
        <v>5.5368283752777831E-12</v>
      </c>
      <c r="AX113" s="23">
        <f t="shared" si="60"/>
        <v>1.8126113445562537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-2.8421709430404007E-13</v>
      </c>
      <c r="BE113" s="14">
        <f>BD113*VLOOKUP('Données projet'!$B$11,Paramètres!$A$1:$I$89,3,0)*VLOOKUP('Données projet'!$B$11,Paramètres!$A$1:$I$89,5,0)</f>
        <v>-1.69961822393816E-13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289.12367833861299</v>
      </c>
      <c r="BJ113" s="60">
        <f t="shared" si="92"/>
        <v>229.06617320689003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3.7715245325902738E-12</v>
      </c>
      <c r="BS113" s="24">
        <f t="shared" si="63"/>
        <v>3.7715245325902738E-12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-1.7053025658242404E-13</v>
      </c>
      <c r="BZ113" s="14">
        <f>BY113*VLOOKUP('Données projet'!$B$12,Paramètres!$A$1:$I$89,3,0)*VLOOKUP('Données projet'!$B$12,Paramètres!$A$1:$I$89,5,0)</f>
        <v>-1.3567387213697657E-13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312.53381881960331</v>
      </c>
      <c r="CE113" s="60">
        <f t="shared" si="94"/>
        <v>342.06887933351783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309.26999999999958</v>
      </c>
      <c r="CV113" s="14">
        <f t="shared" si="95"/>
        <v>73.116356204710968</v>
      </c>
      <c r="CW113" s="22">
        <f t="shared" si="67"/>
        <v>665.98957038987078</v>
      </c>
      <c r="CX113" s="60">
        <f t="shared" si="68"/>
        <v>959.32290372320404</v>
      </c>
      <c r="CY113" s="60">
        <f ca="1">AVERAGE(OFFSET($CX$3,0,0,'Données projet'!$E$13+1,1))-AVERAGE(OFFSET($H$3,0,0,'Données projet'!$E$13+1,1))</f>
        <v>475.47920969424894</v>
      </c>
      <c r="CZ113" s="60">
        <f t="shared" si="96"/>
        <v>271.73544012419364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7.0935897435897362</v>
      </c>
      <c r="DO113" s="13">
        <f>IF('Données projet'!$A$166&gt;35,DO112+DN113-DW112,IF(A113&lt;'Données projet'!$A$166,$DL$205^A113,IF(A113='Données projet'!$A$166,'Données projet'!$B$166,DO112+DN113-DW112)))</f>
        <v>339.6397435897436</v>
      </c>
      <c r="DP113" s="18">
        <f>DO113*VLOOKUP('Données projet'!$B$14,Paramètres!$A$1:$I$89,3,0)*VLOOKUP('Données projet'!$B$14,Paramètres!$A$1:$I$89,5,0)</f>
        <v>158.95140000000001</v>
      </c>
      <c r="DQ113" s="14">
        <f t="shared" si="97"/>
        <v>40.605910315547177</v>
      </c>
      <c r="DR113" s="22">
        <f t="shared" si="70"/>
        <v>347.56231546624463</v>
      </c>
      <c r="DS113" s="60">
        <f t="shared" si="71"/>
        <v>640.89564879957788</v>
      </c>
      <c r="DT113" s="60">
        <f ca="1">AVERAGE(OFFSET($DS$3,0,0,'Données projet'!$E$14+1,1))-AVERAGE(OFFSET($H$3,0,0,'Données projet'!$E$14+1,1))</f>
        <v>284.71577701131588</v>
      </c>
      <c r="DU113" s="60">
        <f t="shared" si="98"/>
        <v>190.4880882944471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-1.7053025658242404E-13</v>
      </c>
      <c r="EK113" s="18">
        <f>EJ113*VLOOKUP('Données projet'!$B$15,Paramètres!$A$1:$I$89,3,0)*VLOOKUP('Données projet'!$B$15,Paramètres!$A$1:$I$89,5,0)</f>
        <v>-1.250327841262333E-13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290.85271051443431</v>
      </c>
      <c r="EP113" s="60">
        <f t="shared" si="100"/>
        <v>318.66958823451142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0">
        <f t="shared" si="55"/>
        <v>821.63161043190416</v>
      </c>
      <c r="S114" s="60">
        <f ca="1">AVERAGE(OFFSET($R$3,0,0,'Données projet'!$E$9+1,1))-AVERAGE(OFFSET($H$3,0,0,'Données projet'!$E$9+1,1))</f>
        <v>428.8489304403459</v>
      </c>
      <c r="T114" s="60">
        <f t="shared" si="88"/>
        <v>247.01165577562966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1.2710188457276673E-13</v>
      </c>
      <c r="AK114" s="14">
        <f t="shared" si="89"/>
        <v>1.856866851063998E-12</v>
      </c>
      <c r="AL114" s="22">
        <f t="shared" si="58"/>
        <v>3.4554122145673649E-12</v>
      </c>
      <c r="AM114" s="60">
        <f t="shared" si="59"/>
        <v>293.33333333333678</v>
      </c>
      <c r="AN114" s="60">
        <f ca="1">AVERAGE(OFFSET($AM$3,0,0,'Données projet'!$E$10+1,1))-AVERAGE(OFFSET($H$3,0,0,'Données projet'!$E$10+1,1))</f>
        <v>323.98185264074681</v>
      </c>
      <c r="AO114" s="60">
        <f t="shared" si="90"/>
        <v>301.22207291854005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0.89720439416077447</v>
      </c>
      <c r="AV114" s="23">
        <f>EXP(-LN(2)/25)*AV113+(1-EXP(-LN(2)/25))/(LN(2)/25)*Calculateur!AQ114*Calculateur!AS114*VLOOKUP('Données projet'!$B$10,Paramètres!$A$1:$I$89,3,0)*0.475*44/12</f>
        <v>0.87292028884189043</v>
      </c>
      <c r="AW114" s="23">
        <f>EXP(-LN(2)/2)*AW113+(1-EXP(-LN(2)/2))/(LN(2)/2)*AQ114*AT114*VLOOKUP('Données projet'!$B$10,Paramètres!$A$1:$I$89,3,0)*0.475*44/12</f>
        <v>3.9151288904250147E-12</v>
      </c>
      <c r="AX114" s="23">
        <f t="shared" si="60"/>
        <v>1.77012468300658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-2.8421709430404007E-13</v>
      </c>
      <c r="BE114" s="14">
        <f>BD114*VLOOKUP('Données projet'!$B$11,Paramètres!$A$1:$I$89,3,0)*VLOOKUP('Données projet'!$B$11,Paramètres!$A$1:$I$89,5,0)</f>
        <v>-1.69961822393816E-13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289.12367833861299</v>
      </c>
      <c r="BJ114" s="60">
        <f t="shared" si="92"/>
        <v>229.06617320689003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2.6668705724060067E-12</v>
      </c>
      <c r="BS114" s="24">
        <f t="shared" si="63"/>
        <v>2.6668705724060067E-12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-1.7053025658242404E-13</v>
      </c>
      <c r="BZ114" s="14">
        <f>BY114*VLOOKUP('Données projet'!$B$12,Paramètres!$A$1:$I$89,3,0)*VLOOKUP('Données projet'!$B$12,Paramètres!$A$1:$I$89,5,0)</f>
        <v>-1.3567387213697657E-13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312.53381881960331</v>
      </c>
      <c r="CE114" s="60">
        <f t="shared" si="94"/>
        <v>342.06887933351783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273.47579999999959</v>
      </c>
      <c r="CV114" s="14">
        <f t="shared" si="95"/>
        <v>65.586371730977532</v>
      </c>
      <c r="CW114" s="22">
        <f t="shared" si="67"/>
        <v>590.53328243145177</v>
      </c>
      <c r="CX114" s="60">
        <f t="shared" si="68"/>
        <v>883.86661576478514</v>
      </c>
      <c r="CY114" s="60">
        <f ca="1">AVERAGE(OFFSET($CX$3,0,0,'Données projet'!$E$13+1,1))-AVERAGE(OFFSET($H$3,0,0,'Données projet'!$E$13+1,1))</f>
        <v>475.47920969424894</v>
      </c>
      <c r="CZ114" s="60">
        <f t="shared" si="96"/>
        <v>271.73544012419364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7.0935897435897362</v>
      </c>
      <c r="DO114" s="13">
        <f>IF('Données projet'!$A$166&gt;35,DO113+DN114-DW113,IF(A114&lt;'Données projet'!$A$166,$DL$205^A114,IF(A114='Données projet'!$A$166,'Données projet'!$B$166,DO113+DN114-DW113)))</f>
        <v>346.73333333333335</v>
      </c>
      <c r="DP114" s="18">
        <f>DO114*VLOOKUP('Données projet'!$B$14,Paramètres!$A$1:$I$89,3,0)*VLOOKUP('Données projet'!$B$14,Paramètres!$A$1:$I$89,5,0)</f>
        <v>162.27119999999999</v>
      </c>
      <c r="DQ114" s="14">
        <f t="shared" si="97"/>
        <v>41.354369909446504</v>
      </c>
      <c r="DR114" s="22">
        <f t="shared" si="70"/>
        <v>354.64786759228599</v>
      </c>
      <c r="DS114" s="60">
        <f t="shared" si="71"/>
        <v>647.98120092561931</v>
      </c>
      <c r="DT114" s="60">
        <f ca="1">AVERAGE(OFFSET($DS$3,0,0,'Données projet'!$E$14+1,1))-AVERAGE(OFFSET($H$3,0,0,'Données projet'!$E$14+1,1))</f>
        <v>284.71577701131588</v>
      </c>
      <c r="DU114" s="60">
        <f t="shared" si="98"/>
        <v>190.4880882944471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-1.7053025658242404E-13</v>
      </c>
      <c r="EK114" s="18">
        <f>EJ114*VLOOKUP('Données projet'!$B$15,Paramètres!$A$1:$I$89,3,0)*VLOOKUP('Données projet'!$B$15,Paramètres!$A$1:$I$89,5,0)</f>
        <v>-1.250327841262333E-13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290.85271051443431</v>
      </c>
      <c r="EP114" s="60">
        <f t="shared" si="100"/>
        <v>318.66958823451142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0">
        <f t="shared" si="55"/>
        <v>828.7133714063857</v>
      </c>
      <c r="S115" s="60">
        <f ca="1">AVERAGE(OFFSET($R$3,0,0,'Données projet'!$E$9+1,1))-AVERAGE(OFFSET($H$3,0,0,'Données projet'!$E$9+1,1))</f>
        <v>428.8489304403459</v>
      </c>
      <c r="T115" s="60">
        <f t="shared" si="88"/>
        <v>247.01165577562966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1.2710188457276673E-13</v>
      </c>
      <c r="AK115" s="14">
        <f t="shared" si="89"/>
        <v>1.856866851063998E-12</v>
      </c>
      <c r="AL115" s="22">
        <f t="shared" si="58"/>
        <v>3.4554122145673649E-12</v>
      </c>
      <c r="AM115" s="60">
        <f t="shared" si="59"/>
        <v>293.33333333333678</v>
      </c>
      <c r="AN115" s="60">
        <f ca="1">AVERAGE(OFFSET($AM$3,0,0,'Données projet'!$E$10+1,1))-AVERAGE(OFFSET($H$3,0,0,'Données projet'!$E$10+1,1))</f>
        <v>323.98185264074681</v>
      </c>
      <c r="AO115" s="60">
        <f t="shared" si="90"/>
        <v>301.22207291854005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0.87961076323192655</v>
      </c>
      <c r="AV115" s="23">
        <f>EXP(-LN(2)/25)*AV114+(1-EXP(-LN(2)/25))/(LN(2)/25)*Calculateur!AQ115*Calculateur!AS115*VLOOKUP('Données projet'!$B$10,Paramètres!$A$1:$I$89,3,0)*0.475*44/12</f>
        <v>0.84905023763862608</v>
      </c>
      <c r="AW115" s="23">
        <f>EXP(-LN(2)/2)*AW114+(1-EXP(-LN(2)/2))/(LN(2)/2)*AQ115*AT115*VLOOKUP('Données projet'!$B$10,Paramètres!$A$1:$I$89,3,0)*0.475*44/12</f>
        <v>2.7684141876388915E-12</v>
      </c>
      <c r="AX115" s="23">
        <f t="shared" si="60"/>
        <v>1.7286610008733212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-2.8421709430404007E-13</v>
      </c>
      <c r="BE115" s="14">
        <f>BD115*VLOOKUP('Données projet'!$B$11,Paramètres!$A$1:$I$89,3,0)*VLOOKUP('Données projet'!$B$11,Paramètres!$A$1:$I$89,5,0)</f>
        <v>-1.69961822393816E-13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289.12367833861299</v>
      </c>
      <c r="BJ115" s="60">
        <f t="shared" si="92"/>
        <v>229.06617320689003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1.8857622662951369E-12</v>
      </c>
      <c r="BS115" s="24">
        <f t="shared" si="63"/>
        <v>1.8857622662951369E-12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-1.7053025658242404E-13</v>
      </c>
      <c r="BZ115" s="14">
        <f>BY115*VLOOKUP('Données projet'!$B$12,Paramètres!$A$1:$I$89,3,0)*VLOOKUP('Données projet'!$B$12,Paramètres!$A$1:$I$89,5,0)</f>
        <v>-1.3567387213697657E-13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312.53381881960331</v>
      </c>
      <c r="CE115" s="60">
        <f t="shared" si="94"/>
        <v>342.06887933351783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277.2275999999996</v>
      </c>
      <c r="CV115" s="14">
        <f t="shared" si="95"/>
        <v>66.380782187895392</v>
      </c>
      <c r="CW115" s="22">
        <f t="shared" si="67"/>
        <v>598.45126564391705</v>
      </c>
      <c r="CX115" s="60">
        <f t="shared" si="68"/>
        <v>891.78459897725043</v>
      </c>
      <c r="CY115" s="60">
        <f ca="1">AVERAGE(OFFSET($CX$3,0,0,'Données projet'!$E$13+1,1))-AVERAGE(OFFSET($H$3,0,0,'Données projet'!$E$13+1,1))</f>
        <v>475.47920969424894</v>
      </c>
      <c r="CZ115" s="60">
        <f t="shared" si="96"/>
        <v>271.73544012419364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7.0935897435897362</v>
      </c>
      <c r="DO115" s="13">
        <f>IF('Données projet'!$A$166&gt;35,DO114+DN115-DW114,IF(A115&lt;'Données projet'!$A$166,$DL$205^A115,IF(A115='Données projet'!$A$166,'Données projet'!$B$166,DO114+DN115-DW114)))</f>
        <v>353.82692307692309</v>
      </c>
      <c r="DP115" s="18">
        <f>DO115*VLOOKUP('Données projet'!$B$14,Paramètres!$A$1:$I$89,3,0)*VLOOKUP('Données projet'!$B$14,Paramètres!$A$1:$I$89,5,0)</f>
        <v>165.59100000000001</v>
      </c>
      <c r="DQ115" s="14">
        <f t="shared" si="97"/>
        <v>42.101049147412809</v>
      </c>
      <c r="DR115" s="22">
        <f t="shared" si="70"/>
        <v>361.73031893174402</v>
      </c>
      <c r="DS115" s="60">
        <f t="shared" si="71"/>
        <v>655.06365226507728</v>
      </c>
      <c r="DT115" s="60">
        <f ca="1">AVERAGE(OFFSET($DS$3,0,0,'Données projet'!$E$14+1,1))-AVERAGE(OFFSET($H$3,0,0,'Données projet'!$E$14+1,1))</f>
        <v>284.71577701131588</v>
      </c>
      <c r="DU115" s="60">
        <f t="shared" si="98"/>
        <v>190.4880882944471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-1.7053025658242404E-13</v>
      </c>
      <c r="EK115" s="18">
        <f>EJ115*VLOOKUP('Données projet'!$B$15,Paramètres!$A$1:$I$89,3,0)*VLOOKUP('Données projet'!$B$15,Paramètres!$A$1:$I$89,5,0)</f>
        <v>-1.250327841262333E-13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290.85271051443431</v>
      </c>
      <c r="EP115" s="60">
        <f t="shared" si="100"/>
        <v>318.66958823451142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0">
        <f t="shared" si="55"/>
        <v>835.79316307617296</v>
      </c>
      <c r="S116" s="60">
        <f ca="1">AVERAGE(OFFSET($R$3,0,0,'Données projet'!$E$9+1,1))-AVERAGE(OFFSET($H$3,0,0,'Données projet'!$E$9+1,1))</f>
        <v>428.8489304403459</v>
      </c>
      <c r="T116" s="60">
        <f t="shared" si="88"/>
        <v>247.01165577562966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1.2710188457276673E-13</v>
      </c>
      <c r="AK116" s="14">
        <f t="shared" si="89"/>
        <v>1.856866851063998E-12</v>
      </c>
      <c r="AL116" s="22">
        <f t="shared" si="58"/>
        <v>3.4554122145673649E-12</v>
      </c>
      <c r="AM116" s="60">
        <f t="shared" si="59"/>
        <v>293.33333333333678</v>
      </c>
      <c r="AN116" s="60">
        <f ca="1">AVERAGE(OFFSET($AM$3,0,0,'Données projet'!$E$10+1,1))-AVERAGE(OFFSET($H$3,0,0,'Données projet'!$E$10+1,1))</f>
        <v>323.98185264074681</v>
      </c>
      <c r="AO116" s="60">
        <f t="shared" si="90"/>
        <v>301.22207291854005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0.8623621326745381</v>
      </c>
      <c r="AV116" s="23">
        <f>EXP(-LN(2)/25)*AV115+(1-EXP(-LN(2)/25))/(LN(2)/25)*Calculateur!AQ116*Calculateur!AS116*VLOOKUP('Données projet'!$B$10,Paramètres!$A$1:$I$89,3,0)*0.475*44/12</f>
        <v>0.82583291424078642</v>
      </c>
      <c r="AW116" s="23">
        <f>EXP(-LN(2)/2)*AW115+(1-EXP(-LN(2)/2))/(LN(2)/2)*AQ116*AT116*VLOOKUP('Données projet'!$B$10,Paramètres!$A$1:$I$89,3,0)*0.475*44/12</f>
        <v>1.9575644452125074E-12</v>
      </c>
      <c r="AX116" s="23">
        <f t="shared" si="60"/>
        <v>1.6881950469172819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-2.8421709430404007E-13</v>
      </c>
      <c r="BE116" s="14">
        <f>BD116*VLOOKUP('Données projet'!$B$11,Paramètres!$A$1:$I$89,3,0)*VLOOKUP('Données projet'!$B$11,Paramètres!$A$1:$I$89,5,0)</f>
        <v>-1.69961822393816E-13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289.12367833861299</v>
      </c>
      <c r="BJ116" s="60">
        <f t="shared" si="92"/>
        <v>229.06617320689003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1.3334352862030033E-12</v>
      </c>
      <c r="BS116" s="24">
        <f t="shared" si="63"/>
        <v>1.3334352862030033E-12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-1.7053025658242404E-13</v>
      </c>
      <c r="BZ116" s="14">
        <f>BY116*VLOOKUP('Données projet'!$B$12,Paramètres!$A$1:$I$89,3,0)*VLOOKUP('Données projet'!$B$12,Paramètres!$A$1:$I$89,5,0)</f>
        <v>-1.3567387213697657E-13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312.53381881960331</v>
      </c>
      <c r="CE116" s="60">
        <f t="shared" si="94"/>
        <v>342.06887933351783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280.9793999999996</v>
      </c>
      <c r="CV116" s="14">
        <f t="shared" si="95"/>
        <v>67.173942175199358</v>
      </c>
      <c r="CW116" s="22">
        <f t="shared" si="67"/>
        <v>606.36707095513827</v>
      </c>
      <c r="CX116" s="60">
        <f t="shared" si="68"/>
        <v>899.70040428847165</v>
      </c>
      <c r="CY116" s="60">
        <f ca="1">AVERAGE(OFFSET($CX$3,0,0,'Données projet'!$E$13+1,1))-AVERAGE(OFFSET($H$3,0,0,'Données projet'!$E$13+1,1))</f>
        <v>475.47920969424894</v>
      </c>
      <c r="CZ116" s="60">
        <f t="shared" si="96"/>
        <v>271.73544012419364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7.0935897435897362</v>
      </c>
      <c r="DO116" s="13">
        <f>IF('Données projet'!$A$166&gt;35,DO115+DN116-DW115,IF(A116&lt;'Données projet'!$A$166,$DL$205^A116,IF(A116='Données projet'!$A$166,'Données projet'!$B$166,DO115+DN116-DW115)))</f>
        <v>360.92051282051284</v>
      </c>
      <c r="DP116" s="18">
        <f>DO116*VLOOKUP('Données projet'!$B$14,Paramètres!$A$1:$I$89,3,0)*VLOOKUP('Données projet'!$B$14,Paramètres!$A$1:$I$89,5,0)</f>
        <v>168.91079999999999</v>
      </c>
      <c r="DQ116" s="14">
        <f t="shared" si="97"/>
        <v>42.845987835941031</v>
      </c>
      <c r="DR116" s="22">
        <f t="shared" si="70"/>
        <v>368.80973881426394</v>
      </c>
      <c r="DS116" s="60">
        <f t="shared" si="71"/>
        <v>662.14307214759719</v>
      </c>
      <c r="DT116" s="60">
        <f ca="1">AVERAGE(OFFSET($DS$3,0,0,'Données projet'!$E$14+1,1))-AVERAGE(OFFSET($H$3,0,0,'Données projet'!$E$14+1,1))</f>
        <v>284.71577701131588</v>
      </c>
      <c r="DU116" s="60">
        <f t="shared" si="98"/>
        <v>190.4880882944471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-1.7053025658242404E-13</v>
      </c>
      <c r="EK116" s="18">
        <f>EJ116*VLOOKUP('Données projet'!$B$15,Paramètres!$A$1:$I$89,3,0)*VLOOKUP('Données projet'!$B$15,Paramètres!$A$1:$I$89,5,0)</f>
        <v>-1.250327841262333E-13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290.85271051443431</v>
      </c>
      <c r="EP116" s="60">
        <f t="shared" si="100"/>
        <v>318.66958823451142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0">
        <f t="shared" si="55"/>
        <v>842.87101477628994</v>
      </c>
      <c r="S117" s="60">
        <f ca="1">AVERAGE(OFFSET($R$3,0,0,'Données projet'!$E$9+1,1))-AVERAGE(OFFSET($H$3,0,0,'Données projet'!$E$9+1,1))</f>
        <v>428.8489304403459</v>
      </c>
      <c r="T117" s="60">
        <f t="shared" si="88"/>
        <v>247.01165577562966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1.2710188457276673E-13</v>
      </c>
      <c r="AK117" s="14">
        <f t="shared" si="89"/>
        <v>1.856866851063998E-12</v>
      </c>
      <c r="AL117" s="22">
        <f t="shared" si="58"/>
        <v>3.4554122145673649E-12</v>
      </c>
      <c r="AM117" s="60">
        <f t="shared" si="59"/>
        <v>293.33333333333678</v>
      </c>
      <c r="AN117" s="60">
        <f ca="1">AVERAGE(OFFSET($AM$3,0,0,'Données projet'!$E$10+1,1))-AVERAGE(OFFSET($H$3,0,0,'Données projet'!$E$10+1,1))</f>
        <v>323.98185264074681</v>
      </c>
      <c r="AO117" s="60">
        <f t="shared" si="90"/>
        <v>301.22207291854005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0.84545173724175426</v>
      </c>
      <c r="AV117" s="23">
        <f>EXP(-LN(2)/25)*AV116+(1-EXP(-LN(2)/25))/(LN(2)/25)*Calculateur!AQ117*Calculateur!AS117*VLOOKUP('Données projet'!$B$10,Paramètres!$A$1:$I$89,3,0)*0.475*44/12</f>
        <v>0.8032504697722066</v>
      </c>
      <c r="AW117" s="23">
        <f>EXP(-LN(2)/2)*AW116+(1-EXP(-LN(2)/2))/(LN(2)/2)*AQ117*AT117*VLOOKUP('Données projet'!$B$10,Paramètres!$A$1:$I$89,3,0)*0.475*44/12</f>
        <v>1.3842070938194458E-12</v>
      </c>
      <c r="AX117" s="23">
        <f t="shared" si="60"/>
        <v>1.648702207015345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-2.8421709430404007E-13</v>
      </c>
      <c r="BE117" s="14">
        <f>BD117*VLOOKUP('Données projet'!$B$11,Paramètres!$A$1:$I$89,3,0)*VLOOKUP('Données projet'!$B$11,Paramètres!$A$1:$I$89,5,0)</f>
        <v>-1.69961822393816E-13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289.12367833861299</v>
      </c>
      <c r="BJ117" s="60">
        <f t="shared" si="92"/>
        <v>229.06617320689003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9.4288113314756844E-13</v>
      </c>
      <c r="BS117" s="24">
        <f t="shared" si="63"/>
        <v>9.4288113314756844E-13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-1.7053025658242404E-13</v>
      </c>
      <c r="BZ117" s="14">
        <f>BY117*VLOOKUP('Données projet'!$B$12,Paramètres!$A$1:$I$89,3,0)*VLOOKUP('Données projet'!$B$12,Paramètres!$A$1:$I$89,5,0)</f>
        <v>-1.3567387213697657E-13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312.53381881960331</v>
      </c>
      <c r="CE117" s="60">
        <f t="shared" si="94"/>
        <v>342.06887933351783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284.7311999999996</v>
      </c>
      <c r="CV117" s="14">
        <f t="shared" si="95"/>
        <v>67.965870320050882</v>
      </c>
      <c r="CW117" s="22">
        <f t="shared" si="67"/>
        <v>614.28073080742126</v>
      </c>
      <c r="CX117" s="60">
        <f t="shared" si="68"/>
        <v>907.61406414075464</v>
      </c>
      <c r="CY117" s="60">
        <f ca="1">AVERAGE(OFFSET($CX$3,0,0,'Données projet'!$E$13+1,1))-AVERAGE(OFFSET($H$3,0,0,'Données projet'!$E$13+1,1))</f>
        <v>475.47920969424894</v>
      </c>
      <c r="CZ117" s="60">
        <f t="shared" si="96"/>
        <v>271.73544012419364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7.0935897435897362</v>
      </c>
      <c r="DO117" s="13">
        <f>IF('Données projet'!$A$166&gt;35,DO116+DN117-DW116,IF(A117&lt;'Données projet'!$A$166,$DL$205^A117,IF(A117='Données projet'!$A$166,'Données projet'!$B$166,DO116+DN117-DW116)))</f>
        <v>368.01410256410259</v>
      </c>
      <c r="DP117" s="18">
        <f>DO117*VLOOKUP('Données projet'!$B$14,Paramètres!$A$1:$I$89,3,0)*VLOOKUP('Données projet'!$B$14,Paramètres!$A$1:$I$89,5,0)</f>
        <v>172.23060000000001</v>
      </c>
      <c r="DQ117" s="14">
        <f t="shared" si="97"/>
        <v>43.58922412730584</v>
      </c>
      <c r="DR117" s="22">
        <f t="shared" si="70"/>
        <v>375.88619368839096</v>
      </c>
      <c r="DS117" s="60">
        <f t="shared" si="71"/>
        <v>669.21952702172428</v>
      </c>
      <c r="DT117" s="60">
        <f ca="1">AVERAGE(OFFSET($DS$3,0,0,'Données projet'!$E$14+1,1))-AVERAGE(OFFSET($H$3,0,0,'Données projet'!$E$14+1,1))</f>
        <v>284.71577701131588</v>
      </c>
      <c r="DU117" s="60">
        <f t="shared" si="98"/>
        <v>190.4880882944471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-1.7053025658242404E-13</v>
      </c>
      <c r="EK117" s="18">
        <f>EJ117*VLOOKUP('Données projet'!$B$15,Paramètres!$A$1:$I$89,3,0)*VLOOKUP('Données projet'!$B$15,Paramètres!$A$1:$I$89,5,0)</f>
        <v>-1.250327841262333E-13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290.85271051443431</v>
      </c>
      <c r="EP117" s="60">
        <f t="shared" si="100"/>
        <v>318.66958823451142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0">
        <f t="shared" si="55"/>
        <v>849.94695502425111</v>
      </c>
      <c r="S118" s="60">
        <f ca="1">AVERAGE(OFFSET($R$3,0,0,'Données projet'!$E$9+1,1))-AVERAGE(OFFSET($H$3,0,0,'Données projet'!$E$9+1,1))</f>
        <v>428.8489304403459</v>
      </c>
      <c r="T118" s="60">
        <f t="shared" si="88"/>
        <v>247.01165577562966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1.2710188457276673E-13</v>
      </c>
      <c r="AK118" s="14">
        <f t="shared" si="89"/>
        <v>1.856866851063998E-12</v>
      </c>
      <c r="AL118" s="22">
        <f t="shared" si="58"/>
        <v>3.4554122145673649E-12</v>
      </c>
      <c r="AM118" s="60">
        <f t="shared" si="59"/>
        <v>293.33333333333678</v>
      </c>
      <c r="AN118" s="60">
        <f ca="1">AVERAGE(OFFSET($AM$3,0,0,'Données projet'!$E$10+1,1))-AVERAGE(OFFSET($H$3,0,0,'Données projet'!$E$10+1,1))</f>
        <v>323.98185264074681</v>
      </c>
      <c r="AO118" s="60">
        <f t="shared" si="90"/>
        <v>301.22207291854005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0.82887294434908454</v>
      </c>
      <c r="AV118" s="23">
        <f>EXP(-LN(2)/25)*AV117+(1-EXP(-LN(2)/25))/(LN(2)/25)*Calculateur!AQ118*Calculateur!AS118*VLOOKUP('Données projet'!$B$10,Paramètres!$A$1:$I$89,3,0)*0.475*44/12</f>
        <v>0.78128554343517931</v>
      </c>
      <c r="AW118" s="23">
        <f>EXP(-LN(2)/2)*AW117+(1-EXP(-LN(2)/2))/(LN(2)/2)*AQ118*AT118*VLOOKUP('Données projet'!$B$10,Paramètres!$A$1:$I$89,3,0)*0.475*44/12</f>
        <v>9.7878222260625368E-13</v>
      </c>
      <c r="AX118" s="23">
        <f t="shared" si="60"/>
        <v>1.6101584877852426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-2.8421709430404007E-13</v>
      </c>
      <c r="BE118" s="14">
        <f>BD118*VLOOKUP('Données projet'!$B$11,Paramètres!$A$1:$I$89,3,0)*VLOOKUP('Données projet'!$B$11,Paramètres!$A$1:$I$89,5,0)</f>
        <v>-1.69961822393816E-13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289.12367833861299</v>
      </c>
      <c r="BJ118" s="60">
        <f t="shared" si="92"/>
        <v>229.06617320689003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6.6671764310150167E-13</v>
      </c>
      <c r="BS118" s="24">
        <f t="shared" si="63"/>
        <v>6.6671764310150167E-13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-1.7053025658242404E-13</v>
      </c>
      <c r="BZ118" s="14">
        <f>BY118*VLOOKUP('Données projet'!$B$12,Paramètres!$A$1:$I$89,3,0)*VLOOKUP('Données projet'!$B$12,Paramètres!$A$1:$I$89,5,0)</f>
        <v>-1.3567387213697657E-13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312.53381881960331</v>
      </c>
      <c r="CE118" s="60">
        <f t="shared" si="94"/>
        <v>342.06887933351783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288.48299999999955</v>
      </c>
      <c r="CV118" s="14">
        <f t="shared" si="95"/>
        <v>68.756584730508635</v>
      </c>
      <c r="CW118" s="22">
        <f t="shared" si="67"/>
        <v>622.19227673896842</v>
      </c>
      <c r="CX118" s="60">
        <f t="shared" si="68"/>
        <v>915.52561007230179</v>
      </c>
      <c r="CY118" s="60">
        <f ca="1">AVERAGE(OFFSET($CX$3,0,0,'Données projet'!$E$13+1,1))-AVERAGE(OFFSET($H$3,0,0,'Données projet'!$E$13+1,1))</f>
        <v>475.47920969424894</v>
      </c>
      <c r="CZ118" s="60">
        <f t="shared" si="96"/>
        <v>271.73544012419364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375.10769230769228</v>
      </c>
      <c r="DM118" s="13">
        <f>VLOOKUP(A118,'Données projet'!$A$165:$I$185,9,0)</f>
        <v>7.0935897435897362</v>
      </c>
      <c r="DN118" s="13">
        <f t="array" ref="DN118">INDEX(DM:DM,MIN(IF(ISNUMBER(DM118:DM314),ROW(DM118:DM314),"")))</f>
        <v>7.0935897435897362</v>
      </c>
      <c r="DO118" s="13">
        <f>IF('Données projet'!$A$166&gt;35,DO117+DN118-DW117,IF(A118&lt;'Données projet'!$A$166,$DL$205^A118,IF(A118='Données projet'!$A$166,'Données projet'!$B$166,DO117+DN118-DW117)))</f>
        <v>375.10769230769233</v>
      </c>
      <c r="DP118" s="18">
        <f>DO118*VLOOKUP('Données projet'!$B$14,Paramètres!$A$1:$I$89,3,0)*VLOOKUP('Données projet'!$B$14,Paramètres!$A$1:$I$89,5,0)</f>
        <v>175.55040000000002</v>
      </c>
      <c r="DQ118" s="14">
        <f t="shared" si="97"/>
        <v>44.330794618843079</v>
      </c>
      <c r="DR118" s="22">
        <f t="shared" si="70"/>
        <v>382.95974729448511</v>
      </c>
      <c r="DS118" s="60">
        <f t="shared" si="71"/>
        <v>676.29308062781843</v>
      </c>
      <c r="DT118" s="60">
        <f ca="1">AVERAGE(OFFSET($DS$3,0,0,'Données projet'!$E$14+1,1))-AVERAGE(OFFSET($H$3,0,0,'Données projet'!$E$14+1,1))</f>
        <v>284.71577701131588</v>
      </c>
      <c r="DU118" s="60">
        <f t="shared" si="98"/>
        <v>190.4880882944471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-1.7053025658242404E-13</v>
      </c>
      <c r="EK118" s="18">
        <f>EJ118*VLOOKUP('Données projet'!$B$15,Paramètres!$A$1:$I$89,3,0)*VLOOKUP('Données projet'!$B$15,Paramètres!$A$1:$I$89,5,0)</f>
        <v>-1.250327841262333E-13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290.85271051443431</v>
      </c>
      <c r="EP118" s="60">
        <f t="shared" si="100"/>
        <v>318.66958823451142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0">
        <f t="shared" si="55"/>
        <v>857.02101155317155</v>
      </c>
      <c r="S119" s="60">
        <f ca="1">AVERAGE(OFFSET($R$3,0,0,'Données projet'!$E$9+1,1))-AVERAGE(OFFSET($H$3,0,0,'Données projet'!$E$9+1,1))</f>
        <v>428.8489304403459</v>
      </c>
      <c r="T119" s="60">
        <f t="shared" si="88"/>
        <v>247.01165577562966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1.2710188457276673E-13</v>
      </c>
      <c r="AK119" s="14">
        <f t="shared" si="89"/>
        <v>1.856866851063998E-12</v>
      </c>
      <c r="AL119" s="22">
        <f t="shared" si="58"/>
        <v>3.4554122145673649E-12</v>
      </c>
      <c r="AM119" s="60">
        <f t="shared" si="59"/>
        <v>293.33333333333678</v>
      </c>
      <c r="AN119" s="60">
        <f ca="1">AVERAGE(OFFSET($AM$3,0,0,'Données projet'!$E$10+1,1))-AVERAGE(OFFSET($H$3,0,0,'Données projet'!$E$10+1,1))</f>
        <v>323.98185264074681</v>
      </c>
      <c r="AO119" s="60">
        <f t="shared" si="90"/>
        <v>301.22207291854005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0.81261925147297487</v>
      </c>
      <c r="AV119" s="23">
        <f>EXP(-LN(2)/25)*AV118+(1-EXP(-LN(2)/25))/(LN(2)/25)*Calculateur!AQ119*Calculateur!AS119*VLOOKUP('Données projet'!$B$10,Paramètres!$A$1:$I$89,3,0)*0.475*44/12</f>
        <v>0.75992124916392323</v>
      </c>
      <c r="AW119" s="23">
        <f>EXP(-LN(2)/2)*AW118+(1-EXP(-LN(2)/2))/(LN(2)/2)*AQ119*AT119*VLOOKUP('Données projet'!$B$10,Paramètres!$A$1:$I$89,3,0)*0.475*44/12</f>
        <v>6.9210354690972288E-13</v>
      </c>
      <c r="AX119" s="23">
        <f t="shared" si="60"/>
        <v>1.5725405006375903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-2.8421709430404007E-13</v>
      </c>
      <c r="BE119" s="14">
        <f>BD119*VLOOKUP('Données projet'!$B$11,Paramètres!$A$1:$I$89,3,0)*VLOOKUP('Données projet'!$B$11,Paramètres!$A$1:$I$89,5,0)</f>
        <v>-1.69961822393816E-13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289.12367833861299</v>
      </c>
      <c r="BJ119" s="60">
        <f t="shared" si="92"/>
        <v>229.06617320689003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4.7144056657378422E-13</v>
      </c>
      <c r="BS119" s="24">
        <f t="shared" si="63"/>
        <v>4.7144056657378422E-13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-1.7053025658242404E-13</v>
      </c>
      <c r="BZ119" s="14">
        <f>BY119*VLOOKUP('Données projet'!$B$12,Paramètres!$A$1:$I$89,3,0)*VLOOKUP('Données projet'!$B$12,Paramètres!$A$1:$I$89,5,0)</f>
        <v>-1.3567387213697657E-13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312.53381881960331</v>
      </c>
      <c r="CE119" s="60">
        <f t="shared" si="94"/>
        <v>342.06887933351783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292.23479999999955</v>
      </c>
      <c r="CV119" s="14">
        <f t="shared" si="95"/>
        <v>69.546103016553644</v>
      </c>
      <c r="CW119" s="22">
        <f t="shared" si="67"/>
        <v>630.10173942049676</v>
      </c>
      <c r="CX119" s="60">
        <f t="shared" si="68"/>
        <v>923.43507275383013</v>
      </c>
      <c r="CY119" s="60">
        <f ca="1">AVERAGE(OFFSET($CX$3,0,0,'Données projet'!$E$13+1,1))-AVERAGE(OFFSET($H$3,0,0,'Données projet'!$E$13+1,1))</f>
        <v>475.47920969424894</v>
      </c>
      <c r="CZ119" s="60">
        <f t="shared" si="96"/>
        <v>271.73544012419364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7.083333333333333</v>
      </c>
      <c r="DO119" s="13">
        <f>IF('Données projet'!$A$166&gt;35,DO118+DN119-DW118,IF(A119&lt;'Données projet'!$A$166,$DL$205^A119,IF(A119='Données projet'!$A$166,'Données projet'!$B$166,DO118+DN119-DW118)))</f>
        <v>382.19102564102565</v>
      </c>
      <c r="DP119" s="18">
        <f>DO119*VLOOKUP('Données projet'!$B$14,Paramètres!$A$1:$I$89,3,0)*VLOOKUP('Données projet'!$B$14,Paramètres!$A$1:$I$89,5,0)</f>
        <v>178.86539999999999</v>
      </c>
      <c r="DQ119" s="14">
        <f t="shared" si="97"/>
        <v>45.069665748308438</v>
      </c>
      <c r="DR119" s="22">
        <f t="shared" si="70"/>
        <v>390.02023951163716</v>
      </c>
      <c r="DS119" s="60">
        <f t="shared" si="71"/>
        <v>683.35357284497047</v>
      </c>
      <c r="DT119" s="60">
        <f ca="1">AVERAGE(OFFSET($DS$3,0,0,'Données projet'!$E$14+1,1))-AVERAGE(OFFSET($H$3,0,0,'Données projet'!$E$14+1,1))</f>
        <v>284.71577701131588</v>
      </c>
      <c r="DU119" s="60">
        <f t="shared" si="98"/>
        <v>190.4880882944471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-1.7053025658242404E-13</v>
      </c>
      <c r="EK119" s="18">
        <f>EJ119*VLOOKUP('Données projet'!$B$15,Paramètres!$A$1:$I$89,3,0)*VLOOKUP('Données projet'!$B$15,Paramètres!$A$1:$I$89,5,0)</f>
        <v>-1.250327841262333E-13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290.85271051443431</v>
      </c>
      <c r="EP119" s="60">
        <f t="shared" si="100"/>
        <v>318.66958823451142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0">
        <f t="shared" si="55"/>
        <v>864.09321134313223</v>
      </c>
      <c r="S120" s="60">
        <f ca="1">AVERAGE(OFFSET($R$3,0,0,'Données projet'!$E$9+1,1))-AVERAGE(OFFSET($H$3,0,0,'Données projet'!$E$9+1,1))</f>
        <v>428.8489304403459</v>
      </c>
      <c r="T120" s="60">
        <f t="shared" si="88"/>
        <v>247.01165577562966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1.2710188457276673E-13</v>
      </c>
      <c r="AK120" s="14">
        <f t="shared" si="89"/>
        <v>1.856866851063998E-12</v>
      </c>
      <c r="AL120" s="22">
        <f t="shared" si="58"/>
        <v>3.4554122145673649E-12</v>
      </c>
      <c r="AM120" s="60">
        <f t="shared" si="59"/>
        <v>293.33333333333678</v>
      </c>
      <c r="AN120" s="60">
        <f ca="1">AVERAGE(OFFSET($AM$3,0,0,'Données projet'!$E$10+1,1))-AVERAGE(OFFSET($H$3,0,0,'Données projet'!$E$10+1,1))</f>
        <v>323.98185264074681</v>
      </c>
      <c r="AO120" s="60">
        <f t="shared" si="90"/>
        <v>301.22207291854005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0.79668428360039201</v>
      </c>
      <c r="AV120" s="23">
        <f>EXP(-LN(2)/25)*AV119+(1-EXP(-LN(2)/25))/(LN(2)/25)*Calculateur!AQ120*Calculateur!AS120*VLOOKUP('Données projet'!$B$10,Paramètres!$A$1:$I$89,3,0)*0.475*44/12</f>
        <v>0.7391411626430141</v>
      </c>
      <c r="AW120" s="23">
        <f>EXP(-LN(2)/2)*AW119+(1-EXP(-LN(2)/2))/(LN(2)/2)*AQ120*AT120*VLOOKUP('Données projet'!$B$10,Paramètres!$A$1:$I$89,3,0)*0.475*44/12</f>
        <v>4.8939111130312684E-13</v>
      </c>
      <c r="AX120" s="23">
        <f t="shared" si="60"/>
        <v>1.5358254462438956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-2.8421709430404007E-13</v>
      </c>
      <c r="BE120" s="14">
        <f>BD120*VLOOKUP('Données projet'!$B$11,Paramètres!$A$1:$I$89,3,0)*VLOOKUP('Données projet'!$B$11,Paramètres!$A$1:$I$89,5,0)</f>
        <v>-1.69961822393816E-13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289.12367833861299</v>
      </c>
      <c r="BJ120" s="60">
        <f t="shared" si="92"/>
        <v>229.06617320689003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3.3335882155075084E-13</v>
      </c>
      <c r="BS120" s="24">
        <f t="shared" si="63"/>
        <v>3.3335882155075084E-13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-1.7053025658242404E-13</v>
      </c>
      <c r="BZ120" s="14">
        <f>BY120*VLOOKUP('Données projet'!$B$12,Paramètres!$A$1:$I$89,3,0)*VLOOKUP('Données projet'!$B$12,Paramètres!$A$1:$I$89,5,0)</f>
        <v>-1.3567387213697657E-13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312.53381881960331</v>
      </c>
      <c r="CE120" s="60">
        <f t="shared" si="94"/>
        <v>342.06887933351783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295.98659999999956</v>
      </c>
      <c r="CV120" s="14">
        <f t="shared" si="95"/>
        <v>70.334442310004661</v>
      </c>
      <c r="CW120" s="22">
        <f t="shared" si="67"/>
        <v>638.00914868992402</v>
      </c>
      <c r="CX120" s="60">
        <f t="shared" si="68"/>
        <v>931.34248202325739</v>
      </c>
      <c r="CY120" s="60">
        <f ca="1">AVERAGE(OFFSET($CX$3,0,0,'Données projet'!$E$13+1,1))-AVERAGE(OFFSET($H$3,0,0,'Données projet'!$E$13+1,1))</f>
        <v>475.47920969424894</v>
      </c>
      <c r="CZ120" s="60">
        <f t="shared" si="96"/>
        <v>271.73544012419364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7.083333333333333</v>
      </c>
      <c r="DO120" s="13">
        <f>IF('Données projet'!$A$166&gt;35,DO119+DN120-DW119,IF(A120&lt;'Données projet'!$A$166,$DL$205^A120,IF(A120='Données projet'!$A$166,'Données projet'!$B$166,DO119+DN120-DW119)))</f>
        <v>389.27435897435896</v>
      </c>
      <c r="DP120" s="18">
        <f>DO120*VLOOKUP('Données projet'!$B$14,Paramètres!$A$1:$I$89,3,0)*VLOOKUP('Données projet'!$B$14,Paramètres!$A$1:$I$89,5,0)</f>
        <v>182.18039999999999</v>
      </c>
      <c r="DQ120" s="14">
        <f t="shared" si="97"/>
        <v>45.806944534163691</v>
      </c>
      <c r="DR120" s="22">
        <f t="shared" si="70"/>
        <v>397.07795839700174</v>
      </c>
      <c r="DS120" s="60">
        <f t="shared" si="71"/>
        <v>690.41129173033505</v>
      </c>
      <c r="DT120" s="60">
        <f ca="1">AVERAGE(OFFSET($DS$3,0,0,'Données projet'!$E$14+1,1))-AVERAGE(OFFSET($H$3,0,0,'Données projet'!$E$14+1,1))</f>
        <v>284.71577701131588</v>
      </c>
      <c r="DU120" s="60">
        <f t="shared" si="98"/>
        <v>190.4880882944471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-1.7053025658242404E-13</v>
      </c>
      <c r="EK120" s="18">
        <f>EJ120*VLOOKUP('Données projet'!$B$15,Paramètres!$A$1:$I$89,3,0)*VLOOKUP('Données projet'!$B$15,Paramètres!$A$1:$I$89,5,0)</f>
        <v>-1.250327841262333E-13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290.85271051443431</v>
      </c>
      <c r="EP120" s="60">
        <f t="shared" si="100"/>
        <v>318.66958823451142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0">
        <f t="shared" si="55"/>
        <v>871.16358065090617</v>
      </c>
      <c r="S121" s="60">
        <f ca="1">AVERAGE(OFFSET($R$3,0,0,'Données projet'!$E$9+1,1))-AVERAGE(OFFSET($H$3,0,0,'Données projet'!$E$9+1,1))</f>
        <v>428.8489304403459</v>
      </c>
      <c r="T121" s="60">
        <f t="shared" si="88"/>
        <v>247.01165577562966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1.2710188457276673E-13</v>
      </c>
      <c r="AK121" s="14">
        <f t="shared" si="89"/>
        <v>1.856866851063998E-12</v>
      </c>
      <c r="AL121" s="22">
        <f t="shared" si="58"/>
        <v>3.4554122145673649E-12</v>
      </c>
      <c r="AM121" s="60">
        <f t="shared" si="59"/>
        <v>293.33333333333678</v>
      </c>
      <c r="AN121" s="60">
        <f ca="1">AVERAGE(OFFSET($AM$3,0,0,'Données projet'!$E$10+1,1))-AVERAGE(OFFSET($H$3,0,0,'Données projet'!$E$10+1,1))</f>
        <v>323.98185264074681</v>
      </c>
      <c r="AO121" s="60">
        <f t="shared" si="90"/>
        <v>301.22207291854005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0.78106179072841975</v>
      </c>
      <c r="AV121" s="23">
        <f>EXP(-LN(2)/25)*AV120+(1-EXP(-LN(2)/25))/(LN(2)/25)*Calculateur!AQ121*Calculateur!AS121*VLOOKUP('Données projet'!$B$10,Paramètres!$A$1:$I$89,3,0)*0.475*44/12</f>
        <v>0.71892930868079652</v>
      </c>
      <c r="AW121" s="23">
        <f>EXP(-LN(2)/2)*AW120+(1-EXP(-LN(2)/2))/(LN(2)/2)*AQ121*AT121*VLOOKUP('Données projet'!$B$10,Paramètres!$A$1:$I$89,3,0)*0.475*44/12</f>
        <v>3.4605177345486144E-13</v>
      </c>
      <c r="AX121" s="23">
        <f t="shared" si="60"/>
        <v>1.4999910994095622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-2.8421709430404007E-13</v>
      </c>
      <c r="BE121" s="14">
        <f>BD121*VLOOKUP('Données projet'!$B$11,Paramètres!$A$1:$I$89,3,0)*VLOOKUP('Données projet'!$B$11,Paramètres!$A$1:$I$89,5,0)</f>
        <v>-1.69961822393816E-13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289.12367833861299</v>
      </c>
      <c r="BJ121" s="60">
        <f t="shared" si="92"/>
        <v>229.06617320689003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2.3572028328689211E-13</v>
      </c>
      <c r="BS121" s="24">
        <f t="shared" si="63"/>
        <v>2.3572028328689211E-13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-1.7053025658242404E-13</v>
      </c>
      <c r="BZ121" s="14">
        <f>BY121*VLOOKUP('Données projet'!$B$12,Paramètres!$A$1:$I$89,3,0)*VLOOKUP('Données projet'!$B$12,Paramètres!$A$1:$I$89,5,0)</f>
        <v>-1.3567387213697657E-13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312.53381881960331</v>
      </c>
      <c r="CE121" s="60">
        <f t="shared" si="94"/>
        <v>342.06887933351783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299.73839999999956</v>
      </c>
      <c r="CV121" s="14">
        <f t="shared" si="95"/>
        <v>71.121619283394352</v>
      </c>
      <c r="CW121" s="22">
        <f t="shared" si="67"/>
        <v>645.91453358524438</v>
      </c>
      <c r="CX121" s="60">
        <f t="shared" si="68"/>
        <v>939.24786691857776</v>
      </c>
      <c r="CY121" s="60">
        <f ca="1">AVERAGE(OFFSET($CX$3,0,0,'Données projet'!$E$13+1,1))-AVERAGE(OFFSET($H$3,0,0,'Données projet'!$E$13+1,1))</f>
        <v>475.47920969424894</v>
      </c>
      <c r="CZ121" s="60">
        <f t="shared" si="96"/>
        <v>271.73544012419364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7.083333333333333</v>
      </c>
      <c r="DO121" s="13">
        <f>IF('Données projet'!$A$166&gt;35,DO120+DN121-DW120,IF(A121&lt;'Données projet'!$A$166,$DL$205^A121,IF(A121='Données projet'!$A$166,'Données projet'!$B$166,DO120+DN121-DW120)))</f>
        <v>396.35769230769228</v>
      </c>
      <c r="DP121" s="18">
        <f>DO121*VLOOKUP('Données projet'!$B$14,Paramètres!$A$1:$I$89,3,0)*VLOOKUP('Données projet'!$B$14,Paramètres!$A$1:$I$89,5,0)</f>
        <v>185.49539999999999</v>
      </c>
      <c r="DQ121" s="14">
        <f t="shared" si="97"/>
        <v>46.542663293107267</v>
      </c>
      <c r="DR121" s="22">
        <f t="shared" si="70"/>
        <v>404.13296023549515</v>
      </c>
      <c r="DS121" s="60">
        <f t="shared" si="71"/>
        <v>697.46629356882841</v>
      </c>
      <c r="DT121" s="60">
        <f ca="1">AVERAGE(OFFSET($DS$3,0,0,'Données projet'!$E$14+1,1))-AVERAGE(OFFSET($H$3,0,0,'Données projet'!$E$14+1,1))</f>
        <v>284.71577701131588</v>
      </c>
      <c r="DU121" s="60">
        <f t="shared" si="98"/>
        <v>190.4880882944471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-1.7053025658242404E-13</v>
      </c>
      <c r="EK121" s="18">
        <f>EJ121*VLOOKUP('Données projet'!$B$15,Paramètres!$A$1:$I$89,3,0)*VLOOKUP('Données projet'!$B$15,Paramètres!$A$1:$I$89,5,0)</f>
        <v>-1.250327841262333E-13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290.85271051443431</v>
      </c>
      <c r="EP121" s="60">
        <f t="shared" si="100"/>
        <v>318.66958823451142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0">
        <f t="shared" si="55"/>
        <v>878.23214503815643</v>
      </c>
      <c r="S122" s="60">
        <f ca="1">AVERAGE(OFFSET($R$3,0,0,'Données projet'!$E$9+1,1))-AVERAGE(OFFSET($H$3,0,0,'Données projet'!$E$9+1,1))</f>
        <v>428.8489304403459</v>
      </c>
      <c r="T122" s="60">
        <f t="shared" si="88"/>
        <v>247.01165577562966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1.2710188457276673E-13</v>
      </c>
      <c r="AK122" s="14">
        <f t="shared" si="89"/>
        <v>1.856866851063998E-12</v>
      </c>
      <c r="AL122" s="22">
        <f t="shared" si="58"/>
        <v>3.4554122145673649E-12</v>
      </c>
      <c r="AM122" s="60">
        <f t="shared" si="59"/>
        <v>293.33333333333678</v>
      </c>
      <c r="AN122" s="60">
        <f ca="1">AVERAGE(OFFSET($AM$3,0,0,'Données projet'!$E$10+1,1))-AVERAGE(OFFSET($H$3,0,0,'Données projet'!$E$10+1,1))</f>
        <v>323.98185264074681</v>
      </c>
      <c r="AO122" s="60">
        <f t="shared" si="90"/>
        <v>301.22207291854005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0.76574564541288714</v>
      </c>
      <c r="AV122" s="23">
        <f>EXP(-LN(2)/25)*AV121+(1-EXP(-LN(2)/25))/(LN(2)/25)*Calculateur!AQ122*Calculateur!AS122*VLOOKUP('Données projet'!$B$10,Paramètres!$A$1:$I$89,3,0)*0.475*44/12</f>
        <v>0.69927014892807093</v>
      </c>
      <c r="AW122" s="23">
        <f>EXP(-LN(2)/2)*AW121+(1-EXP(-LN(2)/2))/(LN(2)/2)*AQ122*AT122*VLOOKUP('Données projet'!$B$10,Paramètres!$A$1:$I$89,3,0)*0.475*44/12</f>
        <v>2.4469555565156342E-13</v>
      </c>
      <c r="AX122" s="23">
        <f t="shared" si="60"/>
        <v>1.4650157943412028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-2.8421709430404007E-13</v>
      </c>
      <c r="BE122" s="14">
        <f>BD122*VLOOKUP('Données projet'!$B$11,Paramètres!$A$1:$I$89,3,0)*VLOOKUP('Données projet'!$B$11,Paramètres!$A$1:$I$89,5,0)</f>
        <v>-1.69961822393816E-13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289.12367833861299</v>
      </c>
      <c r="BJ122" s="60">
        <f t="shared" si="92"/>
        <v>229.06617320689003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1.6667941077537542E-13</v>
      </c>
      <c r="BS122" s="24">
        <f t="shared" si="63"/>
        <v>1.6667941077537542E-13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-1.7053025658242404E-13</v>
      </c>
      <c r="BZ122" s="14">
        <f>BY122*VLOOKUP('Données projet'!$B$12,Paramètres!$A$1:$I$89,3,0)*VLOOKUP('Données projet'!$B$12,Paramètres!$A$1:$I$89,5,0)</f>
        <v>-1.3567387213697657E-13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312.53381881960331</v>
      </c>
      <c r="CE122" s="60">
        <f t="shared" si="94"/>
        <v>342.06887933351783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303.4901999999995</v>
      </c>
      <c r="CV122" s="14">
        <f t="shared" si="95"/>
        <v>71.907650167874138</v>
      </c>
      <c r="CW122" s="22">
        <f t="shared" si="67"/>
        <v>653.81792237571324</v>
      </c>
      <c r="CX122" s="60">
        <f t="shared" si="68"/>
        <v>947.15125570904661</v>
      </c>
      <c r="CY122" s="60">
        <f ca="1">AVERAGE(OFFSET($CX$3,0,0,'Données projet'!$E$13+1,1))-AVERAGE(OFFSET($H$3,0,0,'Données projet'!$E$13+1,1))</f>
        <v>475.47920969424894</v>
      </c>
      <c r="CZ122" s="60">
        <f t="shared" si="96"/>
        <v>271.73544012419364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7.083333333333333</v>
      </c>
      <c r="DO122" s="13">
        <f>IF('Données projet'!$A$166&gt;35,DO121+DN122-DW121,IF(A122&lt;'Données projet'!$A$166,$DL$205^A122,IF(A122='Données projet'!$A$166,'Données projet'!$B$166,DO121+DN122-DW121)))</f>
        <v>403.44102564102559</v>
      </c>
      <c r="DP122" s="18">
        <f>DO122*VLOOKUP('Données projet'!$B$14,Paramètres!$A$1:$I$89,3,0)*VLOOKUP('Données projet'!$B$14,Paramètres!$A$1:$I$89,5,0)</f>
        <v>188.81039999999999</v>
      </c>
      <c r="DQ122" s="14">
        <f t="shared" si="97"/>
        <v>47.276853120620757</v>
      </c>
      <c r="DR122" s="22">
        <f t="shared" si="70"/>
        <v>411.18529918508108</v>
      </c>
      <c r="DS122" s="60">
        <f t="shared" si="71"/>
        <v>704.51863251841439</v>
      </c>
      <c r="DT122" s="60">
        <f ca="1">AVERAGE(OFFSET($DS$3,0,0,'Données projet'!$E$14+1,1))-AVERAGE(OFFSET($H$3,0,0,'Données projet'!$E$14+1,1))</f>
        <v>284.71577701131588</v>
      </c>
      <c r="DU122" s="60">
        <f t="shared" si="98"/>
        <v>190.4880882944471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-1.7053025658242404E-13</v>
      </c>
      <c r="EK122" s="18">
        <f>EJ122*VLOOKUP('Données projet'!$B$15,Paramètres!$A$1:$I$89,3,0)*VLOOKUP('Données projet'!$B$15,Paramètres!$A$1:$I$89,5,0)</f>
        <v>-1.250327841262333E-13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290.85271051443431</v>
      </c>
      <c r="EP122" s="60">
        <f t="shared" si="100"/>
        <v>318.66958823451142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0">
        <f t="shared" si="55"/>
        <v>885.29892939819752</v>
      </c>
      <c r="S123" s="60">
        <f ca="1">AVERAGE(OFFSET($R$3,0,0,'Données projet'!$E$9+1,1))-AVERAGE(OFFSET($H$3,0,0,'Données projet'!$E$9+1,1))</f>
        <v>428.8489304403459</v>
      </c>
      <c r="T123" s="60">
        <f t="shared" si="88"/>
        <v>247.01165577562966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1.2710188457276673E-13</v>
      </c>
      <c r="AK123" s="14">
        <f t="shared" si="89"/>
        <v>1.856866851063998E-12</v>
      </c>
      <c r="AL123" s="22">
        <f t="shared" si="58"/>
        <v>3.4554122145673649E-12</v>
      </c>
      <c r="AM123" s="60">
        <f t="shared" si="59"/>
        <v>293.33333333333678</v>
      </c>
      <c r="AN123" s="60">
        <f ca="1">AVERAGE(OFFSET($AM$3,0,0,'Données projet'!$E$10+1,1))-AVERAGE(OFFSET($H$3,0,0,'Données projet'!$E$10+1,1))</f>
        <v>323.98185264074681</v>
      </c>
      <c r="AO123" s="60">
        <f t="shared" si="90"/>
        <v>301.22207291854005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0.75072984036506596</v>
      </c>
      <c r="AV123" s="23">
        <f>EXP(-LN(2)/25)*AV122+(1-EXP(-LN(2)/25))/(LN(2)/25)*Calculateur!AQ123*Calculateur!AS123*VLOOKUP('Données projet'!$B$10,Paramètres!$A$1:$I$89,3,0)*0.475*44/12</f>
        <v>0.68014856993261386</v>
      </c>
      <c r="AW123" s="23">
        <f>EXP(-LN(2)/2)*AW122+(1-EXP(-LN(2)/2))/(LN(2)/2)*AQ123*AT123*VLOOKUP('Données projet'!$B$10,Paramètres!$A$1:$I$89,3,0)*0.475*44/12</f>
        <v>1.7302588672743072E-13</v>
      </c>
      <c r="AX123" s="23">
        <f t="shared" si="60"/>
        <v>1.4308784102978527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-2.8421709430404007E-13</v>
      </c>
      <c r="BE123" s="14">
        <f>BD123*VLOOKUP('Données projet'!$B$11,Paramètres!$A$1:$I$89,3,0)*VLOOKUP('Données projet'!$B$11,Paramètres!$A$1:$I$89,5,0)</f>
        <v>-1.69961822393816E-13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289.12367833861299</v>
      </c>
      <c r="BJ123" s="60">
        <f t="shared" si="92"/>
        <v>229.06617320689003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1.1786014164344606E-13</v>
      </c>
      <c r="BS123" s="24">
        <f t="shared" si="63"/>
        <v>1.1786014164344606E-13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-1.7053025658242404E-13</v>
      </c>
      <c r="BZ123" s="14">
        <f>BY123*VLOOKUP('Données projet'!$B$12,Paramètres!$A$1:$I$89,3,0)*VLOOKUP('Données projet'!$B$12,Paramètres!$A$1:$I$89,5,0)</f>
        <v>-1.3567387213697657E-13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312.53381881960331</v>
      </c>
      <c r="CE123" s="60">
        <f t="shared" si="94"/>
        <v>342.06887933351783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307.24199999999951</v>
      </c>
      <c r="CV123" s="14">
        <f t="shared" si="95"/>
        <v>72.692550770207717</v>
      </c>
      <c r="CW123" s="22">
        <f t="shared" si="67"/>
        <v>661.71934259144427</v>
      </c>
      <c r="CX123" s="60">
        <f t="shared" si="68"/>
        <v>955.05267592477753</v>
      </c>
      <c r="CY123" s="60">
        <f ca="1">AVERAGE(OFFSET($CX$3,0,0,'Données projet'!$E$13+1,1))-AVERAGE(OFFSET($H$3,0,0,'Données projet'!$E$13+1,1))</f>
        <v>475.47920969424894</v>
      </c>
      <c r="CZ123" s="60">
        <f t="shared" si="96"/>
        <v>271.73544012419364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7.083333333333333</v>
      </c>
      <c r="DO123" s="13">
        <f>IF('Données projet'!$A$166&gt;35,DO122+DN123-DW122,IF(A123&lt;'Données projet'!$A$166,$DL$205^A123,IF(A123='Données projet'!$A$166,'Données projet'!$B$166,DO122+DN123-DW122)))</f>
        <v>410.5243589743589</v>
      </c>
      <c r="DP123" s="18">
        <f>DO123*VLOOKUP('Données projet'!$B$14,Paramètres!$A$1:$I$89,3,0)*VLOOKUP('Données projet'!$B$14,Paramètres!$A$1:$I$89,5,0)</f>
        <v>192.12539999999996</v>
      </c>
      <c r="DQ123" s="14">
        <f t="shared" si="97"/>
        <v>48.009543957734422</v>
      </c>
      <c r="DR123" s="22">
        <f t="shared" si="70"/>
        <v>418.235027393054</v>
      </c>
      <c r="DS123" s="60">
        <f t="shared" si="71"/>
        <v>711.56836072638725</v>
      </c>
      <c r="DT123" s="60">
        <f ca="1">AVERAGE(OFFSET($DS$3,0,0,'Données projet'!$E$14+1,1))-AVERAGE(OFFSET($H$3,0,0,'Données projet'!$E$14+1,1))</f>
        <v>284.71577701131588</v>
      </c>
      <c r="DU123" s="60">
        <f t="shared" si="98"/>
        <v>190.4880882944471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-1.7053025658242404E-13</v>
      </c>
      <c r="EK123" s="18">
        <f>EJ123*VLOOKUP('Données projet'!$B$15,Paramètres!$A$1:$I$89,3,0)*VLOOKUP('Données projet'!$B$15,Paramètres!$A$1:$I$89,5,0)</f>
        <v>-1.250327841262333E-13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290.85271051443431</v>
      </c>
      <c r="EP123" s="60">
        <f t="shared" si="100"/>
        <v>318.66958823451142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0">
        <f t="shared" si="55"/>
        <v>824.50283387733225</v>
      </c>
      <c r="S124" s="60">
        <f ca="1">AVERAGE(OFFSET($R$3,0,0,'Données projet'!$E$9+1,1))-AVERAGE(OFFSET($H$3,0,0,'Données projet'!$E$9+1,1))</f>
        <v>428.8489304403459</v>
      </c>
      <c r="T124" s="60">
        <f t="shared" si="88"/>
        <v>247.01165577562966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1.2710188457276673E-13</v>
      </c>
      <c r="AK124" s="14">
        <f t="shared" si="89"/>
        <v>1.856866851063998E-12</v>
      </c>
      <c r="AL124" s="22">
        <f t="shared" si="58"/>
        <v>3.4554122145673649E-12</v>
      </c>
      <c r="AM124" s="60">
        <f t="shared" si="59"/>
        <v>293.33333333333678</v>
      </c>
      <c r="AN124" s="60">
        <f ca="1">AVERAGE(OFFSET($AM$3,0,0,'Données projet'!$E$10+1,1))-AVERAGE(OFFSET($H$3,0,0,'Données projet'!$E$10+1,1))</f>
        <v>323.98185264074681</v>
      </c>
      <c r="AO124" s="60">
        <f t="shared" si="90"/>
        <v>301.22207291854005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0.73600848609549574</v>
      </c>
      <c r="AV124" s="23">
        <f>EXP(-LN(2)/25)*AV123+(1-EXP(-LN(2)/25))/(LN(2)/25)*Calculateur!AQ124*Calculateur!AS124*VLOOKUP('Données projet'!$B$10,Paramètres!$A$1:$I$89,3,0)*0.475*44/12</f>
        <v>0.66154987152034772</v>
      </c>
      <c r="AW124" s="23">
        <f>EXP(-LN(2)/2)*AW123+(1-EXP(-LN(2)/2))/(LN(2)/2)*AQ124*AT124*VLOOKUP('Données projet'!$B$10,Paramètres!$A$1:$I$89,3,0)*0.475*44/12</f>
        <v>1.2234777782578171E-13</v>
      </c>
      <c r="AX124" s="23">
        <f t="shared" si="60"/>
        <v>1.3975583576159658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-2.8421709430404007E-13</v>
      </c>
      <c r="BE124" s="14">
        <f>BD124*VLOOKUP('Données projet'!$B$11,Paramètres!$A$1:$I$89,3,0)*VLOOKUP('Données projet'!$B$11,Paramètres!$A$1:$I$89,5,0)</f>
        <v>-1.69961822393816E-13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289.12367833861299</v>
      </c>
      <c r="BJ124" s="60">
        <f t="shared" si="92"/>
        <v>229.06617320689003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8.3339705387687709E-14</v>
      </c>
      <c r="BS124" s="24">
        <f t="shared" si="63"/>
        <v>8.3339705387687709E-14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-1.7053025658242404E-13</v>
      </c>
      <c r="BZ124" s="14">
        <f>BY124*VLOOKUP('Données projet'!$B$12,Paramètres!$A$1:$I$89,3,0)*VLOOKUP('Données projet'!$B$12,Paramètres!$A$1:$I$89,5,0)</f>
        <v>-1.3567387213697657E-13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312.53381881960331</v>
      </c>
      <c r="CE124" s="60">
        <f t="shared" si="94"/>
        <v>342.06887933351783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274.9967999999995</v>
      </c>
      <c r="CV124" s="14">
        <f t="shared" si="95"/>
        <v>65.908581953881495</v>
      </c>
      <c r="CW124" s="22">
        <f t="shared" si="67"/>
        <v>593.74354023634271</v>
      </c>
      <c r="CX124" s="60">
        <f t="shared" si="68"/>
        <v>887.07687356967608</v>
      </c>
      <c r="CY124" s="60">
        <f ca="1">AVERAGE(OFFSET($CX$3,0,0,'Données projet'!$E$13+1,1))-AVERAGE(OFFSET($H$3,0,0,'Données projet'!$E$13+1,1))</f>
        <v>475.47920969424894</v>
      </c>
      <c r="CZ124" s="60">
        <f t="shared" si="96"/>
        <v>271.73544012419364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>
        <f>VLOOKUP(A124,'Données projet'!$A$165:$I$185,2,0)</f>
        <v>417.60769230769228</v>
      </c>
      <c r="DM124" s="13">
        <f>VLOOKUP(A124,'Données projet'!$A$165:$I$185,9,0)</f>
        <v>7.083333333333333</v>
      </c>
      <c r="DN124" s="13">
        <f t="array" ref="DN124">INDEX(DM:DM,MIN(IF(ISNUMBER(DM124:DM320),ROW(DM124:DM320),"")))</f>
        <v>7.083333333333333</v>
      </c>
      <c r="DO124" s="13">
        <f>IF('Données projet'!$A$166&gt;35,DO123+DN124-DW123,IF(A124&lt;'Données projet'!$A$166,$DL$205^A124,IF(A124='Données projet'!$A$166,'Données projet'!$B$166,DO123+DN124-DW123)))</f>
        <v>417.60769230769222</v>
      </c>
      <c r="DP124" s="18">
        <f>DO124*VLOOKUP('Données projet'!$B$14,Paramètres!$A$1:$I$89,3,0)*VLOOKUP('Données projet'!$B$14,Paramètres!$A$1:$I$89,5,0)</f>
        <v>195.44039999999998</v>
      </c>
      <c r="DQ124" s="14">
        <f t="shared" si="97"/>
        <v>48.740764653053269</v>
      </c>
      <c r="DR124" s="22">
        <f t="shared" si="70"/>
        <v>425.28219510406774</v>
      </c>
      <c r="DS124" s="60">
        <f t="shared" si="71"/>
        <v>718.61552843740105</v>
      </c>
      <c r="DT124" s="60">
        <f ca="1">AVERAGE(OFFSET($DS$3,0,0,'Données projet'!$E$14+1,1))-AVERAGE(OFFSET($H$3,0,0,'Données projet'!$E$14+1,1))</f>
        <v>284.71577701131588</v>
      </c>
      <c r="DU124" s="60">
        <f t="shared" si="98"/>
        <v>190.4880882944471</v>
      </c>
      <c r="DV124" s="16">
        <f>IF(ISNA(VLOOKUP(A124,'Données projet'!$A$165:$I$185,3,0)),0,VLOOKUP(A124,'Données projet'!$A$165:$I$185,3,0))</f>
        <v>7</v>
      </c>
      <c r="DW124" s="16">
        <f>IF(ISNA(VLOOKUP(A124,'Données projet'!$A$165:$I$185,4,0)),0,VLOOKUP(A124,'Données projet'!$A$165:$I$185,4,0))</f>
        <v>207.07692307692307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-1.7053025658242404E-13</v>
      </c>
      <c r="EK124" s="18">
        <f>EJ124*VLOOKUP('Données projet'!$B$15,Paramètres!$A$1:$I$89,3,0)*VLOOKUP('Données projet'!$B$15,Paramètres!$A$1:$I$89,5,0)</f>
        <v>-1.250327841262333E-13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290.85271051443431</v>
      </c>
      <c r="EP124" s="60">
        <f t="shared" si="100"/>
        <v>318.66958823451142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0">
        <f t="shared" si="55"/>
        <v>830.62702157178478</v>
      </c>
      <c r="S125" s="60">
        <f ca="1">AVERAGE(OFFSET($R$3,0,0,'Données projet'!$E$9+1,1))-AVERAGE(OFFSET($H$3,0,0,'Données projet'!$E$9+1,1))</f>
        <v>428.8489304403459</v>
      </c>
      <c r="T125" s="60">
        <f t="shared" si="88"/>
        <v>247.01165577562966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1.2710188457276673E-13</v>
      </c>
      <c r="AK125" s="14">
        <f t="shared" si="89"/>
        <v>1.856866851063998E-12</v>
      </c>
      <c r="AL125" s="22">
        <f t="shared" si="58"/>
        <v>3.4554122145673649E-12</v>
      </c>
      <c r="AM125" s="60">
        <f t="shared" si="59"/>
        <v>293.33333333333678</v>
      </c>
      <c r="AN125" s="60">
        <f ca="1">AVERAGE(OFFSET($AM$3,0,0,'Données projet'!$E$10+1,1))-AVERAGE(OFFSET($H$3,0,0,'Données projet'!$E$10+1,1))</f>
        <v>323.98185264074681</v>
      </c>
      <c r="AO125" s="60">
        <f t="shared" si="90"/>
        <v>301.22207291854005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0.72157580860401238</v>
      </c>
      <c r="AV125" s="23">
        <f>EXP(-LN(2)/25)*AV124+(1-EXP(-LN(2)/25))/(LN(2)/25)*Calculateur!AQ125*Calculateur!AS125*VLOOKUP('Données projet'!$B$10,Paramètres!$A$1:$I$89,3,0)*0.475*44/12</f>
        <v>0.64345975549422807</v>
      </c>
      <c r="AW125" s="23">
        <f>EXP(-LN(2)/2)*AW124+(1-EXP(-LN(2)/2))/(LN(2)/2)*AQ125*AT125*VLOOKUP('Données projet'!$B$10,Paramètres!$A$1:$I$89,3,0)*0.475*44/12</f>
        <v>8.651294336371536E-14</v>
      </c>
      <c r="AX125" s="23">
        <f t="shared" si="60"/>
        <v>1.3650355640983269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-2.8421709430404007E-13</v>
      </c>
      <c r="BE125" s="14">
        <f>BD125*VLOOKUP('Données projet'!$B$11,Paramètres!$A$1:$I$89,3,0)*VLOOKUP('Données projet'!$B$11,Paramètres!$A$1:$I$89,5,0)</f>
        <v>-1.69961822393816E-13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289.12367833861299</v>
      </c>
      <c r="BJ125" s="60">
        <f t="shared" si="92"/>
        <v>229.06617320689003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5.8930070821723028E-14</v>
      </c>
      <c r="BS125" s="24">
        <f t="shared" si="63"/>
        <v>5.8930070821723028E-14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-1.7053025658242404E-13</v>
      </c>
      <c r="BZ125" s="14">
        <f>BY125*VLOOKUP('Données projet'!$B$12,Paramètres!$A$1:$I$89,3,0)*VLOOKUP('Données projet'!$B$12,Paramètres!$A$1:$I$89,5,0)</f>
        <v>-1.3567387213697657E-13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312.53381881960331</v>
      </c>
      <c r="CE125" s="60">
        <f t="shared" si="94"/>
        <v>342.06887933351783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278.24159999999949</v>
      </c>
      <c r="CV125" s="14">
        <f t="shared" si="95"/>
        <v>66.595272276139681</v>
      </c>
      <c r="CW125" s="22">
        <f t="shared" si="67"/>
        <v>600.59088588094244</v>
      </c>
      <c r="CX125" s="60">
        <f t="shared" si="68"/>
        <v>893.92421921427581</v>
      </c>
      <c r="CY125" s="60">
        <f ca="1">AVERAGE(OFFSET($CX$3,0,0,'Données projet'!$E$13+1,1))-AVERAGE(OFFSET($H$3,0,0,'Données projet'!$E$13+1,1))</f>
        <v>475.47920969424894</v>
      </c>
      <c r="CZ125" s="60">
        <f t="shared" si="96"/>
        <v>271.73544012419364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5.1538461538461551</v>
      </c>
      <c r="DO125" s="13">
        <f>IF('Données projet'!$A$166&gt;35,DO124+DN125-DW124,IF(A125&lt;'Données projet'!$A$166,$DL$205^A125,IF(A125='Données projet'!$A$166,'Données projet'!$B$166,DO124+DN125-DW124)))</f>
        <v>215.68461538461528</v>
      </c>
      <c r="DP125" s="18">
        <f>DO125*VLOOKUP('Données projet'!$B$14,Paramètres!$A$1:$I$89,3,0)*VLOOKUP('Données projet'!$B$14,Paramètres!$A$1:$I$89,5,0)</f>
        <v>100.94039999999994</v>
      </c>
      <c r="DQ125" s="14">
        <f t="shared" si="97"/>
        <v>27.185912689038414</v>
      </c>
      <c r="DR125" s="22">
        <f t="shared" si="70"/>
        <v>223.15332793340841</v>
      </c>
      <c r="DS125" s="60">
        <f t="shared" si="71"/>
        <v>516.48666126674175</v>
      </c>
      <c r="DT125" s="60">
        <f ca="1">AVERAGE(OFFSET($DS$3,0,0,'Données projet'!$E$14+1,1))-AVERAGE(OFFSET($H$3,0,0,'Données projet'!$E$14+1,1))</f>
        <v>284.71577701131588</v>
      </c>
      <c r="DU125" s="60">
        <f t="shared" si="98"/>
        <v>190.4880882944471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-1.7053025658242404E-13</v>
      </c>
      <c r="EK125" s="18">
        <f>EJ125*VLOOKUP('Données projet'!$B$15,Paramètres!$A$1:$I$89,3,0)*VLOOKUP('Données projet'!$B$15,Paramètres!$A$1:$I$89,5,0)</f>
        <v>-1.250327841262333E-13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290.85271051443431</v>
      </c>
      <c r="EP125" s="60">
        <f t="shared" si="100"/>
        <v>318.66958823451142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0">
        <f t="shared" si="55"/>
        <v>836.74974224894845</v>
      </c>
      <c r="S126" s="60">
        <f ca="1">AVERAGE(OFFSET($R$3,0,0,'Données projet'!$E$9+1,1))-AVERAGE(OFFSET($H$3,0,0,'Données projet'!$E$9+1,1))</f>
        <v>428.8489304403459</v>
      </c>
      <c r="T126" s="60">
        <f t="shared" si="88"/>
        <v>247.01165577562966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1.2710188457276673E-13</v>
      </c>
      <c r="AK126" s="14">
        <f t="shared" si="89"/>
        <v>1.856866851063998E-12</v>
      </c>
      <c r="AL126" s="22">
        <f t="shared" si="58"/>
        <v>3.4554122145673649E-12</v>
      </c>
      <c r="AM126" s="60">
        <f t="shared" si="59"/>
        <v>293.33333333333678</v>
      </c>
      <c r="AN126" s="60">
        <f ca="1">AVERAGE(OFFSET($AM$3,0,0,'Données projet'!$E$10+1,1))-AVERAGE(OFFSET($H$3,0,0,'Données projet'!$E$10+1,1))</f>
        <v>323.98185264074681</v>
      </c>
      <c r="AO126" s="60">
        <f t="shared" si="90"/>
        <v>301.22207291854005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0.7074261471150729</v>
      </c>
      <c r="AV126" s="23">
        <f>EXP(-LN(2)/25)*AV125+(1-EXP(-LN(2)/25))/(LN(2)/25)*Calculateur!AQ126*Calculateur!AS126*VLOOKUP('Données projet'!$B$10,Paramètres!$A$1:$I$89,3,0)*0.475*44/12</f>
        <v>0.62586431464216052</v>
      </c>
      <c r="AW126" s="23">
        <f>EXP(-LN(2)/2)*AW125+(1-EXP(-LN(2)/2))/(LN(2)/2)*AQ126*AT126*VLOOKUP('Données projet'!$B$10,Paramètres!$A$1:$I$89,3,0)*0.475*44/12</f>
        <v>6.1173888912890855E-14</v>
      </c>
      <c r="AX126" s="23">
        <f t="shared" si="60"/>
        <v>1.3332904617572947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-2.8421709430404007E-13</v>
      </c>
      <c r="BE126" s="14">
        <f>BD126*VLOOKUP('Données projet'!$B$11,Paramètres!$A$1:$I$89,3,0)*VLOOKUP('Données projet'!$B$11,Paramètres!$A$1:$I$89,5,0)</f>
        <v>-1.69961822393816E-13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289.12367833861299</v>
      </c>
      <c r="BJ126" s="60">
        <f t="shared" si="92"/>
        <v>229.06617320689003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4.1669852693843854E-14</v>
      </c>
      <c r="BS126" s="24">
        <f t="shared" si="63"/>
        <v>4.1669852693843854E-14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-1.7053025658242404E-13</v>
      </c>
      <c r="BZ126" s="14">
        <f>BY126*VLOOKUP('Données projet'!$B$12,Paramètres!$A$1:$I$89,3,0)*VLOOKUP('Données projet'!$B$12,Paramètres!$A$1:$I$89,5,0)</f>
        <v>-1.3567387213697657E-13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312.53381881960331</v>
      </c>
      <c r="CE126" s="60">
        <f t="shared" si="94"/>
        <v>342.06887933351783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281.48639999999949</v>
      </c>
      <c r="CV126" s="14">
        <f t="shared" si="95"/>
        <v>67.281031071373235</v>
      </c>
      <c r="CW126" s="22">
        <f t="shared" si="67"/>
        <v>607.43660911597419</v>
      </c>
      <c r="CX126" s="60">
        <f t="shared" si="68"/>
        <v>900.76994244930756</v>
      </c>
      <c r="CY126" s="60">
        <f ca="1">AVERAGE(OFFSET($CX$3,0,0,'Données projet'!$E$13+1,1))-AVERAGE(OFFSET($H$3,0,0,'Données projet'!$E$13+1,1))</f>
        <v>475.47920969424894</v>
      </c>
      <c r="CZ126" s="60">
        <f t="shared" si="96"/>
        <v>271.73544012419364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5.1538461538461551</v>
      </c>
      <c r="DO126" s="13">
        <f>IF('Données projet'!$A$166&gt;35,DO125+DN126-DW125,IF(A126&lt;'Données projet'!$A$166,$DL$205^A126,IF(A126='Données projet'!$A$166,'Données projet'!$B$166,DO125+DN126-DW125)))</f>
        <v>220.83846153846144</v>
      </c>
      <c r="DP126" s="18">
        <f>DO126*VLOOKUP('Données projet'!$B$14,Paramètres!$A$1:$I$89,3,0)*VLOOKUP('Données projet'!$B$14,Paramètres!$A$1:$I$89,5,0)</f>
        <v>103.35239999999996</v>
      </c>
      <c r="DQ126" s="14">
        <f t="shared" si="97"/>
        <v>27.759121453172455</v>
      </c>
      <c r="DR126" s="22">
        <f t="shared" si="70"/>
        <v>228.35256653094197</v>
      </c>
      <c r="DS126" s="60">
        <f t="shared" si="71"/>
        <v>521.68589986427526</v>
      </c>
      <c r="DT126" s="60">
        <f ca="1">AVERAGE(OFFSET($DS$3,0,0,'Données projet'!$E$14+1,1))-AVERAGE(OFFSET($H$3,0,0,'Données projet'!$E$14+1,1))</f>
        <v>284.71577701131588</v>
      </c>
      <c r="DU126" s="60">
        <f t="shared" si="98"/>
        <v>190.4880882944471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-1.7053025658242404E-13</v>
      </c>
      <c r="EK126" s="18">
        <f>EJ126*VLOOKUP('Données projet'!$B$15,Paramètres!$A$1:$I$89,3,0)*VLOOKUP('Données projet'!$B$15,Paramètres!$A$1:$I$89,5,0)</f>
        <v>-1.250327841262333E-13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290.85271051443431</v>
      </c>
      <c r="EP126" s="60">
        <f t="shared" si="100"/>
        <v>318.66958823451142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0">
        <f t="shared" si="55"/>
        <v>842.87101477628971</v>
      </c>
      <c r="S127" s="60">
        <f ca="1">AVERAGE(OFFSET($R$3,0,0,'Données projet'!$E$9+1,1))-AVERAGE(OFFSET($H$3,0,0,'Données projet'!$E$9+1,1))</f>
        <v>428.8489304403459</v>
      </c>
      <c r="T127" s="60">
        <f t="shared" si="88"/>
        <v>247.01165577562966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1.2710188457276673E-13</v>
      </c>
      <c r="AK127" s="14">
        <f t="shared" si="89"/>
        <v>1.856866851063998E-12</v>
      </c>
      <c r="AL127" s="22">
        <f t="shared" si="58"/>
        <v>3.4554122145673649E-12</v>
      </c>
      <c r="AM127" s="60">
        <f t="shared" si="59"/>
        <v>293.33333333333678</v>
      </c>
      <c r="AN127" s="60">
        <f ca="1">AVERAGE(OFFSET($AM$3,0,0,'Données projet'!$E$10+1,1))-AVERAGE(OFFSET($H$3,0,0,'Données projet'!$E$10+1,1))</f>
        <v>323.98185264074681</v>
      </c>
      <c r="AO127" s="60">
        <f t="shared" si="90"/>
        <v>301.22207291854005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0.69355395185749025</v>
      </c>
      <c r="AV127" s="23">
        <f>EXP(-LN(2)/25)*AV126+(1-EXP(-LN(2)/25))/(LN(2)/25)*Calculateur!AQ127*Calculateur!AS127*VLOOKUP('Données projet'!$B$10,Paramètres!$A$1:$I$89,3,0)*0.475*44/12</f>
        <v>0.60875002204549677</v>
      </c>
      <c r="AW127" s="23">
        <f>EXP(-LN(2)/2)*AW126+(1-EXP(-LN(2)/2))/(LN(2)/2)*AQ127*AT127*VLOOKUP('Données projet'!$B$10,Paramètres!$A$1:$I$89,3,0)*0.475*44/12</f>
        <v>4.325647168185768E-14</v>
      </c>
      <c r="AX127" s="23">
        <f t="shared" si="60"/>
        <v>1.3023039739030302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-2.8421709430404007E-13</v>
      </c>
      <c r="BE127" s="14">
        <f>BD127*VLOOKUP('Données projet'!$B$11,Paramètres!$A$1:$I$89,3,0)*VLOOKUP('Données projet'!$B$11,Paramètres!$A$1:$I$89,5,0)</f>
        <v>-1.69961822393816E-13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289.12367833861299</v>
      </c>
      <c r="BJ127" s="60">
        <f t="shared" si="92"/>
        <v>229.06617320689003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2.9465035410861514E-14</v>
      </c>
      <c r="BS127" s="24">
        <f t="shared" si="63"/>
        <v>2.9465035410861514E-14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-1.7053025658242404E-13</v>
      </c>
      <c r="BZ127" s="14">
        <f>BY127*VLOOKUP('Données projet'!$B$12,Paramètres!$A$1:$I$89,3,0)*VLOOKUP('Données projet'!$B$12,Paramètres!$A$1:$I$89,5,0)</f>
        <v>-1.3567387213697657E-13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312.53381881960331</v>
      </c>
      <c r="CE127" s="60">
        <f t="shared" si="94"/>
        <v>342.06887933351783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284.73119999999943</v>
      </c>
      <c r="CV127" s="14">
        <f t="shared" si="95"/>
        <v>67.965870320050826</v>
      </c>
      <c r="CW127" s="22">
        <f t="shared" si="67"/>
        <v>614.28073080742081</v>
      </c>
      <c r="CX127" s="60">
        <f t="shared" si="68"/>
        <v>907.61406414075418</v>
      </c>
      <c r="CY127" s="60">
        <f ca="1">AVERAGE(OFFSET($CX$3,0,0,'Données projet'!$E$13+1,1))-AVERAGE(OFFSET($H$3,0,0,'Données projet'!$E$13+1,1))</f>
        <v>475.47920969424894</v>
      </c>
      <c r="CZ127" s="60">
        <f t="shared" si="96"/>
        <v>271.73544012419364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5.1538461538461551</v>
      </c>
      <c r="DO127" s="13">
        <f>IF('Données projet'!$A$166&gt;35,DO126+DN127-DW126,IF(A127&lt;'Données projet'!$A$166,$DL$205^A127,IF(A127='Données projet'!$A$166,'Données projet'!$B$166,DO126+DN127-DW126)))</f>
        <v>225.99230769230761</v>
      </c>
      <c r="DP127" s="18">
        <f>DO127*VLOOKUP('Données projet'!$B$14,Paramètres!$A$1:$I$89,3,0)*VLOOKUP('Données projet'!$B$14,Paramètres!$A$1:$I$89,5,0)</f>
        <v>105.76439999999997</v>
      </c>
      <c r="DQ127" s="14">
        <f t="shared" si="97"/>
        <v>28.330775059514437</v>
      </c>
      <c r="DR127" s="22">
        <f t="shared" si="70"/>
        <v>233.54909656198762</v>
      </c>
      <c r="DS127" s="60">
        <f t="shared" si="71"/>
        <v>526.88242989532091</v>
      </c>
      <c r="DT127" s="60">
        <f ca="1">AVERAGE(OFFSET($DS$3,0,0,'Données projet'!$E$14+1,1))-AVERAGE(OFFSET($H$3,0,0,'Données projet'!$E$14+1,1))</f>
        <v>284.71577701131588</v>
      </c>
      <c r="DU127" s="60">
        <f t="shared" si="98"/>
        <v>190.4880882944471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-1.7053025658242404E-13</v>
      </c>
      <c r="EK127" s="18">
        <f>EJ127*VLOOKUP('Données projet'!$B$15,Paramètres!$A$1:$I$89,3,0)*VLOOKUP('Données projet'!$B$15,Paramètres!$A$1:$I$89,5,0)</f>
        <v>-1.250327841262333E-13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290.85271051443431</v>
      </c>
      <c r="EP127" s="60">
        <f t="shared" si="100"/>
        <v>318.66958823451142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0">
        <f t="shared" si="55"/>
        <v>848.99085756649174</v>
      </c>
      <c r="S128" s="60">
        <f ca="1">AVERAGE(OFFSET($R$3,0,0,'Données projet'!$E$9+1,1))-AVERAGE(OFFSET($H$3,0,0,'Données projet'!$E$9+1,1))</f>
        <v>428.8489304403459</v>
      </c>
      <c r="T128" s="60">
        <f t="shared" si="88"/>
        <v>247.01165577562966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1.2710188457276673E-13</v>
      </c>
      <c r="AK128" s="14">
        <f t="shared" si="89"/>
        <v>1.856866851063998E-12</v>
      </c>
      <c r="AL128" s="22">
        <f t="shared" si="58"/>
        <v>3.4554122145673649E-12</v>
      </c>
      <c r="AM128" s="60">
        <f t="shared" si="59"/>
        <v>293.33333333333678</v>
      </c>
      <c r="AN128" s="60">
        <f ca="1">AVERAGE(OFFSET($AM$3,0,0,'Données projet'!$E$10+1,1))-AVERAGE(OFFSET($H$3,0,0,'Données projet'!$E$10+1,1))</f>
        <v>323.98185264074681</v>
      </c>
      <c r="AO128" s="60">
        <f t="shared" si="90"/>
        <v>301.22207291854005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0.67995378188770517</v>
      </c>
      <c r="AV128" s="23">
        <f>EXP(-LN(2)/25)*AV127+(1-EXP(-LN(2)/25))/(LN(2)/25)*Calculateur!AQ128*Calculateur!AS128*VLOOKUP('Données projet'!$B$10,Paramètres!$A$1:$I$89,3,0)*0.475*44/12</f>
        <v>0.59210372067989037</v>
      </c>
      <c r="AW128" s="23">
        <f>EXP(-LN(2)/2)*AW127+(1-EXP(-LN(2)/2))/(LN(2)/2)*AQ128*AT128*VLOOKUP('Données projet'!$B$10,Paramètres!$A$1:$I$89,3,0)*0.475*44/12</f>
        <v>3.0586944456445427E-14</v>
      </c>
      <c r="AX128" s="23">
        <f t="shared" si="60"/>
        <v>1.2720575025676262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-2.8421709430404007E-13</v>
      </c>
      <c r="BE128" s="14">
        <f>BD128*VLOOKUP('Données projet'!$B$11,Paramètres!$A$1:$I$89,3,0)*VLOOKUP('Données projet'!$B$11,Paramètres!$A$1:$I$89,5,0)</f>
        <v>-1.69961822393816E-13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289.12367833861299</v>
      </c>
      <c r="BJ128" s="60">
        <f t="shared" si="92"/>
        <v>229.06617320689003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2.0834926346921927E-14</v>
      </c>
      <c r="BS128" s="24">
        <f t="shared" si="63"/>
        <v>2.0834926346921927E-14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-1.7053025658242404E-13</v>
      </c>
      <c r="BZ128" s="14">
        <f>BY128*VLOOKUP('Données projet'!$B$12,Paramètres!$A$1:$I$89,3,0)*VLOOKUP('Données projet'!$B$12,Paramètres!$A$1:$I$89,5,0)</f>
        <v>-1.3567387213697657E-13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312.53381881960331</v>
      </c>
      <c r="CE128" s="60">
        <f t="shared" si="94"/>
        <v>342.06887933351783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287.97599999999943</v>
      </c>
      <c r="CV128" s="14">
        <f t="shared" si="95"/>
        <v>68.649801713863027</v>
      </c>
      <c r="CW128" s="22">
        <f t="shared" si="67"/>
        <v>621.12327131831046</v>
      </c>
      <c r="CX128" s="60">
        <f t="shared" si="68"/>
        <v>914.45660465164383</v>
      </c>
      <c r="CY128" s="60">
        <f ca="1">AVERAGE(OFFSET($CX$3,0,0,'Données projet'!$E$13+1,1))-AVERAGE(OFFSET($H$3,0,0,'Données projet'!$E$13+1,1))</f>
        <v>475.47920969424894</v>
      </c>
      <c r="CZ128" s="60">
        <f t="shared" si="96"/>
        <v>271.73544012419364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5.1538461538461551</v>
      </c>
      <c r="DO128" s="13">
        <f>IF('Données projet'!$A$166&gt;35,DO127+DN128-DW127,IF(A128&lt;'Données projet'!$A$166,$DL$205^A128,IF(A128='Données projet'!$A$166,'Données projet'!$B$166,DO127+DN128-DW127)))</f>
        <v>231.14615384615377</v>
      </c>
      <c r="DP128" s="18">
        <f>DO128*VLOOKUP('Données projet'!$B$14,Paramètres!$A$1:$I$89,3,0)*VLOOKUP('Données projet'!$B$14,Paramètres!$A$1:$I$89,5,0)</f>
        <v>108.17639999999996</v>
      </c>
      <c r="DQ128" s="14">
        <f t="shared" si="97"/>
        <v>28.900913056732801</v>
      </c>
      <c r="DR128" s="22">
        <f t="shared" si="70"/>
        <v>238.74298690714286</v>
      </c>
      <c r="DS128" s="60">
        <f t="shared" si="71"/>
        <v>532.07632024047621</v>
      </c>
      <c r="DT128" s="60">
        <f ca="1">AVERAGE(OFFSET($DS$3,0,0,'Données projet'!$E$14+1,1))-AVERAGE(OFFSET($H$3,0,0,'Données projet'!$E$14+1,1))</f>
        <v>284.71577701131588</v>
      </c>
      <c r="DU128" s="60">
        <f t="shared" si="98"/>
        <v>190.4880882944471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-1.7053025658242404E-13</v>
      </c>
      <c r="EK128" s="18">
        <f>EJ128*VLOOKUP('Données projet'!$B$15,Paramètres!$A$1:$I$89,3,0)*VLOOKUP('Données projet'!$B$15,Paramètres!$A$1:$I$89,5,0)</f>
        <v>-1.250327841262333E-13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290.85271051443431</v>
      </c>
      <c r="EP128" s="60">
        <f t="shared" si="100"/>
        <v>318.66958823451142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0">
        <f t="shared" si="55"/>
        <v>855.10928859341493</v>
      </c>
      <c r="S129" s="60">
        <f ca="1">AVERAGE(OFFSET($R$3,0,0,'Données projet'!$E$9+1,1))-AVERAGE(OFFSET($H$3,0,0,'Données projet'!$E$9+1,1))</f>
        <v>428.8489304403459</v>
      </c>
      <c r="T129" s="60">
        <f t="shared" si="88"/>
        <v>247.01165577562966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1.2710188457276673E-13</v>
      </c>
      <c r="AK129" s="14">
        <f t="shared" si="89"/>
        <v>1.856866851063998E-12</v>
      </c>
      <c r="AL129" s="22">
        <f t="shared" si="58"/>
        <v>3.4554122145673649E-12</v>
      </c>
      <c r="AM129" s="60">
        <f t="shared" si="59"/>
        <v>293.33333333333678</v>
      </c>
      <c r="AN129" s="60">
        <f ca="1">AVERAGE(OFFSET($AM$3,0,0,'Données projet'!$E$10+1,1))-AVERAGE(OFFSET($H$3,0,0,'Données projet'!$E$10+1,1))</f>
        <v>323.98185264074681</v>
      </c>
      <c r="AO129" s="60">
        <f t="shared" si="90"/>
        <v>301.22207291854005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0.66662030295574293</v>
      </c>
      <c r="AV129" s="23">
        <f>EXP(-LN(2)/25)*AV128+(1-EXP(-LN(2)/25))/(LN(2)/25)*Calculateur!AQ129*Calculateur!AS129*VLOOKUP('Données projet'!$B$10,Paramètres!$A$1:$I$89,3,0)*0.475*44/12</f>
        <v>0.57591261330051735</v>
      </c>
      <c r="AW129" s="23">
        <f>EXP(-LN(2)/2)*AW128+(1-EXP(-LN(2)/2))/(LN(2)/2)*AQ129*AT129*VLOOKUP('Données projet'!$B$10,Paramètres!$A$1:$I$89,3,0)*0.475*44/12</f>
        <v>2.162823584092884E-14</v>
      </c>
      <c r="AX129" s="23">
        <f t="shared" si="60"/>
        <v>1.2425329162562819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-2.8421709430404007E-13</v>
      </c>
      <c r="BE129" s="14">
        <f>BD129*VLOOKUP('Données projet'!$B$11,Paramètres!$A$1:$I$89,3,0)*VLOOKUP('Données projet'!$B$11,Paramètres!$A$1:$I$89,5,0)</f>
        <v>-1.69961822393816E-13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289.12367833861299</v>
      </c>
      <c r="BJ129" s="60">
        <f t="shared" si="92"/>
        <v>229.06617320689003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1.4732517705430757E-14</v>
      </c>
      <c r="BS129" s="24">
        <f t="shared" si="63"/>
        <v>1.4732517705430757E-14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-1.7053025658242404E-13</v>
      </c>
      <c r="BZ129" s="14">
        <f>BY129*VLOOKUP('Données projet'!$B$12,Paramètres!$A$1:$I$89,3,0)*VLOOKUP('Données projet'!$B$12,Paramètres!$A$1:$I$89,5,0)</f>
        <v>-1.3567387213697657E-13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312.53381881960331</v>
      </c>
      <c r="CE129" s="60">
        <f t="shared" si="94"/>
        <v>342.06887933351783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291.22079999999943</v>
      </c>
      <c r="CV129" s="14">
        <f t="shared" si="95"/>
        <v>69.33283666585649</v>
      </c>
      <c r="CW129" s="22">
        <f t="shared" si="67"/>
        <v>627.96425052636573</v>
      </c>
      <c r="CX129" s="60">
        <f t="shared" si="68"/>
        <v>921.29758385969899</v>
      </c>
      <c r="CY129" s="60">
        <f ca="1">AVERAGE(OFFSET($CX$3,0,0,'Données projet'!$E$13+1,1))-AVERAGE(OFFSET($H$3,0,0,'Données projet'!$E$13+1,1))</f>
        <v>475.47920969424894</v>
      </c>
      <c r="CZ129" s="60">
        <f t="shared" si="96"/>
        <v>271.73544012419364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>
        <f>VLOOKUP(A129,'Données projet'!$A$165:$I$185,2,0)</f>
        <v>236.29999999999998</v>
      </c>
      <c r="DM129" s="13">
        <f>VLOOKUP(A129,'Données projet'!$A$165:$I$185,9,0)</f>
        <v>5.1538461538461551</v>
      </c>
      <c r="DN129" s="13">
        <f t="array" ref="DN129">INDEX(DM:DM,MIN(IF(ISNUMBER(DM129:DM325),ROW(DM129:DM325),"")))</f>
        <v>5.1538461538461551</v>
      </c>
      <c r="DO129" s="13">
        <f>IF('Données projet'!$A$166&gt;35,DO128+DN129-DW128,IF(A129&lt;'Données projet'!$A$166,$DL$205^A129,IF(A129='Données projet'!$A$166,'Données projet'!$B$166,DO128+DN129-DW128)))</f>
        <v>236.29999999999993</v>
      </c>
      <c r="DP129" s="18">
        <f>DO129*VLOOKUP('Données projet'!$B$14,Paramètres!$A$1:$I$89,3,0)*VLOOKUP('Données projet'!$B$14,Paramètres!$A$1:$I$89,5,0)</f>
        <v>110.58839999999996</v>
      </c>
      <c r="DQ129" s="14">
        <f t="shared" si="97"/>
        <v>29.469573129181644</v>
      </c>
      <c r="DR129" s="22">
        <f t="shared" si="70"/>
        <v>243.93430319999132</v>
      </c>
      <c r="DS129" s="60">
        <f t="shared" si="71"/>
        <v>537.26763653332466</v>
      </c>
      <c r="DT129" s="60">
        <f ca="1">AVERAGE(OFFSET($DS$3,0,0,'Données projet'!$E$14+1,1))-AVERAGE(OFFSET($H$3,0,0,'Données projet'!$E$14+1,1))</f>
        <v>284.71577701131588</v>
      </c>
      <c r="DU129" s="60">
        <f t="shared" si="98"/>
        <v>190.4880882944471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-1.7053025658242404E-13</v>
      </c>
      <c r="EK129" s="18">
        <f>EJ129*VLOOKUP('Données projet'!$B$15,Paramètres!$A$1:$I$89,3,0)*VLOOKUP('Données projet'!$B$15,Paramètres!$A$1:$I$89,5,0)</f>
        <v>-1.250327841262333E-13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290.85271051443431</v>
      </c>
      <c r="EP129" s="60">
        <f t="shared" si="100"/>
        <v>318.66958823451142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0">
        <f t="shared" si="55"/>
        <v>861.22632540732639</v>
      </c>
      <c r="S130" s="60">
        <f ca="1">AVERAGE(OFFSET($R$3,0,0,'Données projet'!$E$9+1,1))-AVERAGE(OFFSET($H$3,0,0,'Données projet'!$E$9+1,1))</f>
        <v>428.8489304403459</v>
      </c>
      <c r="T130" s="60">
        <f t="shared" si="88"/>
        <v>247.01165577562966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1.2710188457276673E-13</v>
      </c>
      <c r="AK130" s="14">
        <f t="shared" si="89"/>
        <v>1.856866851063998E-12</v>
      </c>
      <c r="AL130" s="22">
        <f t="shared" si="58"/>
        <v>3.4554122145673649E-12</v>
      </c>
      <c r="AM130" s="60">
        <f t="shared" si="59"/>
        <v>293.33333333333678</v>
      </c>
      <c r="AN130" s="60">
        <f ca="1">AVERAGE(OFFSET($AM$3,0,0,'Données projet'!$E$10+1,1))-AVERAGE(OFFSET($H$3,0,0,'Données projet'!$E$10+1,1))</f>
        <v>323.98185264074681</v>
      </c>
      <c r="AO130" s="60">
        <f t="shared" si="90"/>
        <v>301.22207291854005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0.65354828541301735</v>
      </c>
      <c r="AV130" s="23">
        <f>EXP(-LN(2)/25)*AV129+(1-EXP(-LN(2)/25))/(LN(2)/25)*Calculateur!AQ130*Calculateur!AS130*VLOOKUP('Données projet'!$B$10,Paramètres!$A$1:$I$89,3,0)*0.475*44/12</f>
        <v>0.56016425260388669</v>
      </c>
      <c r="AW130" s="23">
        <f>EXP(-LN(2)/2)*AW129+(1-EXP(-LN(2)/2))/(LN(2)/2)*AQ130*AT130*VLOOKUP('Données projet'!$B$10,Paramètres!$A$1:$I$89,3,0)*0.475*44/12</f>
        <v>1.5293472228222714E-14</v>
      </c>
      <c r="AX130" s="23">
        <f t="shared" si="60"/>
        <v>1.2137125380169194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-2.8421709430404007E-13</v>
      </c>
      <c r="BE130" s="14">
        <f>BD130*VLOOKUP('Données projet'!$B$11,Paramètres!$A$1:$I$89,3,0)*VLOOKUP('Données projet'!$B$11,Paramètres!$A$1:$I$89,5,0)</f>
        <v>-1.69961822393816E-13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289.12367833861299</v>
      </c>
      <c r="BJ130" s="60">
        <f t="shared" si="92"/>
        <v>229.06617320689003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1.0417463173460964E-14</v>
      </c>
      <c r="BS130" s="24">
        <f t="shared" si="63"/>
        <v>1.0417463173460964E-14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-1.7053025658242404E-13</v>
      </c>
      <c r="BZ130" s="14">
        <f>BY130*VLOOKUP('Données projet'!$B$12,Paramètres!$A$1:$I$89,3,0)*VLOOKUP('Données projet'!$B$12,Paramètres!$A$1:$I$89,5,0)</f>
        <v>-1.3567387213697657E-13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312.53381881960331</v>
      </c>
      <c r="CE130" s="60">
        <f t="shared" si="94"/>
        <v>342.06887933351783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294.46559999999943</v>
      </c>
      <c r="CV130" s="14">
        <f t="shared" si="95"/>
        <v>70.0149863201041</v>
      </c>
      <c r="CW130" s="22">
        <f t="shared" si="67"/>
        <v>634.80368784084692</v>
      </c>
      <c r="CX130" s="60">
        <f t="shared" si="68"/>
        <v>928.13702117418029</v>
      </c>
      <c r="CY130" s="60">
        <f ca="1">AVERAGE(OFFSET($CX$3,0,0,'Données projet'!$E$13+1,1))-AVERAGE(OFFSET($H$3,0,0,'Données projet'!$E$13+1,1))</f>
        <v>475.47920969424894</v>
      </c>
      <c r="CZ130" s="60">
        <f t="shared" si="96"/>
        <v>271.73544012419364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4.66307692307692</v>
      </c>
      <c r="DO130" s="13">
        <f>IF('Données projet'!$A$166&gt;35,DO129+DN130-DW129,IF(A130&lt;'Données projet'!$A$166,$DL$205^A130,IF(A130='Données projet'!$A$166,'Données projet'!$B$166,DO129+DN130-DW129)))</f>
        <v>240.96307692307684</v>
      </c>
      <c r="DP130" s="18">
        <f>DO130*VLOOKUP('Données projet'!$B$14,Paramètres!$A$1:$I$89,3,0)*VLOOKUP('Données projet'!$B$14,Paramètres!$A$1:$I$89,5,0)</f>
        <v>112.77071999999997</v>
      </c>
      <c r="DQ130" s="14">
        <f t="shared" si="97"/>
        <v>29.982839682662075</v>
      </c>
      <c r="DR130" s="22">
        <f t="shared" si="70"/>
        <v>248.62911644730306</v>
      </c>
      <c r="DS130" s="60">
        <f t="shared" si="71"/>
        <v>541.96244978063635</v>
      </c>
      <c r="DT130" s="60">
        <f ca="1">AVERAGE(OFFSET($DS$3,0,0,'Données projet'!$E$14+1,1))-AVERAGE(OFFSET($H$3,0,0,'Données projet'!$E$14+1,1))</f>
        <v>284.71577701131588</v>
      </c>
      <c r="DU130" s="60">
        <f t="shared" si="98"/>
        <v>190.4880882944471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-1.7053025658242404E-13</v>
      </c>
      <c r="EK130" s="18">
        <f>EJ130*VLOOKUP('Données projet'!$B$15,Paramètres!$A$1:$I$89,3,0)*VLOOKUP('Données projet'!$B$15,Paramètres!$A$1:$I$89,5,0)</f>
        <v>-1.250327841262333E-13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290.85271051443431</v>
      </c>
      <c r="EP130" s="60">
        <f t="shared" si="100"/>
        <v>318.66958823451142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0">
        <f t="shared" ref="R131:R194" si="109">Q131+(I131+J131)*44/12</f>
        <v>867.3419851494366</v>
      </c>
      <c r="S131" s="60">
        <f ca="1">AVERAGE(OFFSET($R$3,0,0,'Données projet'!$E$9+1,1))-AVERAGE(OFFSET($H$3,0,0,'Données projet'!$E$9+1,1))</f>
        <v>428.8489304403459</v>
      </c>
      <c r="T131" s="60">
        <f t="shared" si="88"/>
        <v>247.01165577562966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1.2710188457276673E-13</v>
      </c>
      <c r="AK131" s="14">
        <f t="shared" si="89"/>
        <v>1.856866851063998E-12</v>
      </c>
      <c r="AL131" s="22">
        <f t="shared" si="58"/>
        <v>3.4554122145673649E-12</v>
      </c>
      <c r="AM131" s="60">
        <f t="shared" si="59"/>
        <v>293.33333333333678</v>
      </c>
      <c r="AN131" s="60">
        <f ca="1">AVERAGE(OFFSET($AM$3,0,0,'Données projet'!$E$10+1,1))-AVERAGE(OFFSET($H$3,0,0,'Données projet'!$E$10+1,1))</f>
        <v>323.98185264074681</v>
      </c>
      <c r="AO131" s="60">
        <f t="shared" si="90"/>
        <v>301.22207291854005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0.64073260216116124</v>
      </c>
      <c r="AV131" s="23">
        <f>EXP(-LN(2)/25)*AV130+(1-EXP(-LN(2)/25))/(LN(2)/25)*Calculateur!AQ131*Calculateur!AS131*VLOOKUP('Données projet'!$B$10,Paramètres!$A$1:$I$89,3,0)*0.475*44/12</f>
        <v>0.54484653165867569</v>
      </c>
      <c r="AW131" s="23">
        <f>EXP(-LN(2)/2)*AW130+(1-EXP(-LN(2)/2))/(LN(2)/2)*AQ131*AT131*VLOOKUP('Données projet'!$B$10,Paramètres!$A$1:$I$89,3,0)*0.475*44/12</f>
        <v>1.081411792046442E-14</v>
      </c>
      <c r="AX131" s="23">
        <f t="shared" si="60"/>
        <v>1.1855791338198478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-2.8421709430404007E-13</v>
      </c>
      <c r="BE131" s="14">
        <f>BD131*VLOOKUP('Données projet'!$B$11,Paramètres!$A$1:$I$89,3,0)*VLOOKUP('Données projet'!$B$11,Paramètres!$A$1:$I$89,5,0)</f>
        <v>-1.69961822393816E-13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289.12367833861299</v>
      </c>
      <c r="BJ131" s="60">
        <f t="shared" si="92"/>
        <v>229.06617320689003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7.3662588527153785E-15</v>
      </c>
      <c r="BS131" s="24">
        <f t="shared" si="63"/>
        <v>7.3662588527153785E-15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-1.7053025658242404E-13</v>
      </c>
      <c r="BZ131" s="14">
        <f>BY131*VLOOKUP('Données projet'!$B$12,Paramètres!$A$1:$I$89,3,0)*VLOOKUP('Données projet'!$B$12,Paramètres!$A$1:$I$89,5,0)</f>
        <v>-1.3567387213697657E-13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312.53381881960331</v>
      </c>
      <c r="CE131" s="60">
        <f t="shared" si="94"/>
        <v>342.06887933351783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297.71039999999937</v>
      </c>
      <c r="CV131" s="14">
        <f t="shared" si="95"/>
        <v>70.696261560936534</v>
      </c>
      <c r="CW131" s="22">
        <f t="shared" si="67"/>
        <v>641.64160221862994</v>
      </c>
      <c r="CX131" s="60">
        <f t="shared" si="68"/>
        <v>934.9749355519632</v>
      </c>
      <c r="CY131" s="60">
        <f ca="1">AVERAGE(OFFSET($CX$3,0,0,'Données projet'!$E$13+1,1))-AVERAGE(OFFSET($H$3,0,0,'Données projet'!$E$13+1,1))</f>
        <v>475.47920969424894</v>
      </c>
      <c r="CZ131" s="60">
        <f t="shared" si="96"/>
        <v>271.73544012419364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4.66307692307692</v>
      </c>
      <c r="DO131" s="13">
        <f>IF('Données projet'!$A$166&gt;35,DO130+DN131-DW130,IF(A131&lt;'Données projet'!$A$166,$DL$205^A131,IF(A131='Données projet'!$A$166,'Données projet'!$B$166,DO130+DN131-DW130)))</f>
        <v>245.62615384615376</v>
      </c>
      <c r="DP131" s="18">
        <f>DO131*VLOOKUP('Données projet'!$B$14,Paramètres!$A$1:$I$89,3,0)*VLOOKUP('Données projet'!$B$14,Paramètres!$A$1:$I$89,5,0)</f>
        <v>114.95303999999996</v>
      </c>
      <c r="DQ131" s="14">
        <f t="shared" si="97"/>
        <v>30.494951300893501</v>
      </c>
      <c r="DR131" s="22">
        <f t="shared" si="70"/>
        <v>253.3219181823894</v>
      </c>
      <c r="DS131" s="60">
        <f t="shared" si="71"/>
        <v>546.65525151572274</v>
      </c>
      <c r="DT131" s="60">
        <f ca="1">AVERAGE(OFFSET($DS$3,0,0,'Données projet'!$E$14+1,1))-AVERAGE(OFFSET($H$3,0,0,'Données projet'!$E$14+1,1))</f>
        <v>284.71577701131588</v>
      </c>
      <c r="DU131" s="60">
        <f t="shared" si="98"/>
        <v>190.4880882944471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-1.7053025658242404E-13</v>
      </c>
      <c r="EK131" s="18">
        <f>EJ131*VLOOKUP('Données projet'!$B$15,Paramètres!$A$1:$I$89,3,0)*VLOOKUP('Données projet'!$B$15,Paramètres!$A$1:$I$89,5,0)</f>
        <v>-1.250327841262333E-13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290.85271051443431</v>
      </c>
      <c r="EP131" s="60">
        <f t="shared" si="100"/>
        <v>318.66958823451142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0">
        <f t="shared" si="109"/>
        <v>873.4562845657872</v>
      </c>
      <c r="S132" s="60">
        <f ca="1">AVERAGE(OFFSET($R$3,0,0,'Données projet'!$E$9+1,1))-AVERAGE(OFFSET($H$3,0,0,'Données projet'!$E$9+1,1))</f>
        <v>428.8489304403459</v>
      </c>
      <c r="T132" s="60">
        <f t="shared" si="88"/>
        <v>247.01165577562966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1.2710188457276673E-13</v>
      </c>
      <c r="AK132" s="14">
        <f t="shared" si="89"/>
        <v>1.856866851063998E-12</v>
      </c>
      <c r="AL132" s="22">
        <f t="shared" ref="AL132:AL153" si="112">(AJ132+AK132)*0.475*44/12</f>
        <v>3.4554122145673649E-12</v>
      </c>
      <c r="AM132" s="60">
        <f t="shared" ref="AM132:AM195" si="113">AL132+(AD132+AE132)*44/12</f>
        <v>293.33333333333678</v>
      </c>
      <c r="AN132" s="60">
        <f ca="1">AVERAGE(OFFSET($AM$3,0,0,'Données projet'!$E$10+1,1))-AVERAGE(OFFSET($H$3,0,0,'Données projet'!$E$10+1,1))</f>
        <v>323.98185264074681</v>
      </c>
      <c r="AO132" s="60">
        <f t="shared" si="90"/>
        <v>301.22207291854005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0.62816822664107907</v>
      </c>
      <c r="AV132" s="23">
        <f>EXP(-LN(2)/25)*AV131+(1-EXP(-LN(2)/25))/(LN(2)/25)*Calculateur!AQ132*Calculateur!AS132*VLOOKUP('Données projet'!$B$10,Paramètres!$A$1:$I$89,3,0)*0.475*44/12</f>
        <v>0.52994767459823533</v>
      </c>
      <c r="AW132" s="23">
        <f>EXP(-LN(2)/2)*AW131+(1-EXP(-LN(2)/2))/(LN(2)/2)*AQ132*AT132*VLOOKUP('Données projet'!$B$10,Paramètres!$A$1:$I$89,3,0)*0.475*44/12</f>
        <v>7.6467361141113569E-15</v>
      </c>
      <c r="AX132" s="23">
        <f t="shared" ref="AX132:AX153" si="114">SUM(AU132:AW132)</f>
        <v>1.1581159012393218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-2.8421709430404007E-13</v>
      </c>
      <c r="BE132" s="14">
        <f>BD132*VLOOKUP('Données projet'!$B$11,Paramètres!$A$1:$I$89,3,0)*VLOOKUP('Données projet'!$B$11,Paramètres!$A$1:$I$89,5,0)</f>
        <v>-1.69961822393816E-13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289.12367833861299</v>
      </c>
      <c r="BJ132" s="60">
        <f t="shared" si="92"/>
        <v>229.06617320689003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5.2087315867304818E-15</v>
      </c>
      <c r="BS132" s="24">
        <f t="shared" ref="BS132:BS153" si="117">SUM(BP132:BR132)</f>
        <v>5.2087315867304818E-15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-1.7053025658242404E-13</v>
      </c>
      <c r="BZ132" s="14">
        <f>BY132*VLOOKUP('Données projet'!$B$12,Paramètres!$A$1:$I$89,3,0)*VLOOKUP('Données projet'!$B$12,Paramètres!$A$1:$I$89,5,0)</f>
        <v>-1.3567387213697657E-13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312.53381881960331</v>
      </c>
      <c r="CE132" s="60">
        <f t="shared" si="94"/>
        <v>342.06887933351783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300.95519999999942</v>
      </c>
      <c r="CV132" s="14">
        <f t="shared" si="95"/>
        <v>71.376673021759657</v>
      </c>
      <c r="CW132" s="22">
        <f t="shared" ref="CW132:CW153" si="121">(CU132+CV132)*0.475*44/12</f>
        <v>648.47801217956373</v>
      </c>
      <c r="CX132" s="60">
        <f t="shared" ref="CX132:CX195" si="122">CW132+(CO132+CP132)*44/12</f>
        <v>941.81134551289711</v>
      </c>
      <c r="CY132" s="60">
        <f ca="1">AVERAGE(OFFSET($CX$3,0,0,'Données projet'!$E$13+1,1))-AVERAGE(OFFSET($H$3,0,0,'Données projet'!$E$13+1,1))</f>
        <v>475.47920969424894</v>
      </c>
      <c r="CZ132" s="60">
        <f t="shared" si="96"/>
        <v>271.73544012419364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4.66307692307692</v>
      </c>
      <c r="DO132" s="13">
        <f>IF('Données projet'!$A$166&gt;35,DO131+DN132-DW131,IF(A132&lt;'Données projet'!$A$166,$DL$205^A132,IF(A132='Données projet'!$A$166,'Données projet'!$B$166,DO131+DN132-DW131)))</f>
        <v>250.28923076923067</v>
      </c>
      <c r="DP132" s="18">
        <f>DO132*VLOOKUP('Données projet'!$B$14,Paramètres!$A$1:$I$89,3,0)*VLOOKUP('Données projet'!$B$14,Paramètres!$A$1:$I$89,5,0)</f>
        <v>117.13535999999995</v>
      </c>
      <c r="DQ132" s="14">
        <f t="shared" si="97"/>
        <v>31.005932437785589</v>
      </c>
      <c r="DR132" s="22">
        <f t="shared" ref="DR132:DR153" si="124">(DP132+DQ132)*0.475*44/12</f>
        <v>258.01275099580977</v>
      </c>
      <c r="DS132" s="60">
        <f t="shared" ref="DS132:DS195" si="125">DR132+(DJ132+DK132)*44/12</f>
        <v>551.34608432914308</v>
      </c>
      <c r="DT132" s="60">
        <f ca="1">AVERAGE(OFFSET($DS$3,0,0,'Données projet'!$E$14+1,1))-AVERAGE(OFFSET($H$3,0,0,'Données projet'!$E$14+1,1))</f>
        <v>284.71577701131588</v>
      </c>
      <c r="DU132" s="60">
        <f t="shared" si="98"/>
        <v>190.4880882944471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-1.7053025658242404E-13</v>
      </c>
      <c r="EK132" s="18">
        <f>EJ132*VLOOKUP('Données projet'!$B$15,Paramètres!$A$1:$I$89,3,0)*VLOOKUP('Données projet'!$B$15,Paramètres!$A$1:$I$89,5,0)</f>
        <v>-1.250327841262333E-13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290.85271051443431</v>
      </c>
      <c r="EP132" s="60">
        <f t="shared" si="100"/>
        <v>318.66958823451142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0">
        <f t="shared" si="109"/>
        <v>879.56924002052051</v>
      </c>
      <c r="S133" s="60">
        <f ca="1">AVERAGE(OFFSET($R$3,0,0,'Données projet'!$E$9+1,1))-AVERAGE(OFFSET($H$3,0,0,'Données projet'!$E$9+1,1))</f>
        <v>428.8489304403459</v>
      </c>
      <c r="T133" s="60">
        <f t="shared" ref="T133:T196" si="142">$T$3</f>
        <v>247.01165577562966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1.2710188457276673E-13</v>
      </c>
      <c r="AK133" s="14">
        <f t="shared" ref="AK133:AK153" si="143">EXP(-1.0587+0.8836*LN(AJ133)+0.284)</f>
        <v>1.856866851063998E-12</v>
      </c>
      <c r="AL133" s="22">
        <f t="shared" si="112"/>
        <v>3.4554122145673649E-12</v>
      </c>
      <c r="AM133" s="60">
        <f t="shared" si="113"/>
        <v>293.33333333333678</v>
      </c>
      <c r="AN133" s="60">
        <f ca="1">AVERAGE(OFFSET($AM$3,0,0,'Données projet'!$E$10+1,1))-AVERAGE(OFFSET($H$3,0,0,'Données projet'!$E$10+1,1))</f>
        <v>323.98185264074681</v>
      </c>
      <c r="AO133" s="60">
        <f t="shared" ref="AO133:AO196" si="144">$AO$3</f>
        <v>301.22207291854005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0.61585023086143331</v>
      </c>
      <c r="AV133" s="23">
        <f>EXP(-LN(2)/25)*AV132+(1-EXP(-LN(2)/25))/(LN(2)/25)*Calculateur!AQ133*Calculateur!AS133*VLOOKUP('Données projet'!$B$10,Paramètres!$A$1:$I$89,3,0)*0.475*44/12</f>
        <v>0.51545622756760956</v>
      </c>
      <c r="AW133" s="23">
        <f>EXP(-LN(2)/2)*AW132+(1-EXP(-LN(2)/2))/(LN(2)/2)*AQ133*AT133*VLOOKUP('Données projet'!$B$10,Paramètres!$A$1:$I$89,3,0)*0.475*44/12</f>
        <v>5.40705896023221E-15</v>
      </c>
      <c r="AX133" s="23">
        <f t="shared" si="114"/>
        <v>1.1313064584290482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-2.8421709430404007E-13</v>
      </c>
      <c r="BE133" s="14">
        <f>BD133*VLOOKUP('Données projet'!$B$11,Paramètres!$A$1:$I$89,3,0)*VLOOKUP('Données projet'!$B$11,Paramètres!$A$1:$I$89,5,0)</f>
        <v>-1.69961822393816E-13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289.12367833861299</v>
      </c>
      <c r="BJ133" s="60">
        <f t="shared" ref="BJ133:BJ196" si="146">$BJ$3</f>
        <v>229.06617320689003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3.6831294263576892E-15</v>
      </c>
      <c r="BS133" s="24">
        <f t="shared" si="117"/>
        <v>3.6831294263576892E-15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-1.7053025658242404E-13</v>
      </c>
      <c r="BZ133" s="14">
        <f>BY133*VLOOKUP('Données projet'!$B$12,Paramètres!$A$1:$I$89,3,0)*VLOOKUP('Données projet'!$B$12,Paramètres!$A$1:$I$89,5,0)</f>
        <v>-1.3567387213697657E-13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312.53381881960331</v>
      </c>
      <c r="CE133" s="60">
        <f t="shared" ref="CE133:CE196" si="148">$CE$3</f>
        <v>342.06887933351783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304.19999999999936</v>
      </c>
      <c r="CV133" s="14">
        <f t="shared" ref="CV133:CV153" si="149">EXP(-1.0587+0.8836*LN(CU133)+0.284)</f>
        <v>72.056231093480946</v>
      </c>
      <c r="CW133" s="22">
        <f t="shared" si="121"/>
        <v>655.31293582114483</v>
      </c>
      <c r="CX133" s="60">
        <f t="shared" si="122"/>
        <v>948.6462691544782</v>
      </c>
      <c r="CY133" s="60">
        <f ca="1">AVERAGE(OFFSET($CX$3,0,0,'Données projet'!$E$13+1,1))-AVERAGE(OFFSET($H$3,0,0,'Données projet'!$E$13+1,1))</f>
        <v>475.47920969424894</v>
      </c>
      <c r="CZ133" s="60">
        <f t="shared" ref="CZ133:CZ196" si="150">$CZ$3</f>
        <v>271.73544012419364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4.66307692307692</v>
      </c>
      <c r="DO133" s="13">
        <f>IF('Données projet'!$A$166&gt;35,DO132+DN133-DW132,IF(A133&lt;'Données projet'!$A$166,$DL$205^A133,IF(A133='Données projet'!$A$166,'Données projet'!$B$166,DO132+DN133-DW132)))</f>
        <v>254.95230769230758</v>
      </c>
      <c r="DP133" s="18">
        <f>DO133*VLOOKUP('Données projet'!$B$14,Paramètres!$A$1:$I$89,3,0)*VLOOKUP('Données projet'!$B$14,Paramètres!$A$1:$I$89,5,0)</f>
        <v>119.31767999999995</v>
      </c>
      <c r="DQ133" s="14">
        <f t="shared" ref="DQ133:DQ153" si="151">EXP(-1.0587+0.8836*LN(DP133)+0.284)</f>
        <v>31.515806583905047</v>
      </c>
      <c r="DR133" s="22">
        <f t="shared" si="124"/>
        <v>262.70165580030124</v>
      </c>
      <c r="DS133" s="60">
        <f t="shared" si="125"/>
        <v>556.03498913363455</v>
      </c>
      <c r="DT133" s="60">
        <f ca="1">AVERAGE(OFFSET($DS$3,0,0,'Données projet'!$E$14+1,1))-AVERAGE(OFFSET($H$3,0,0,'Données projet'!$E$14+1,1))</f>
        <v>284.71577701131588</v>
      </c>
      <c r="DU133" s="60">
        <f t="shared" ref="DU133:DU196" si="152">$DU$3</f>
        <v>190.4880882944471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-1.7053025658242404E-13</v>
      </c>
      <c r="EK133" s="18">
        <f>EJ133*VLOOKUP('Données projet'!$B$15,Paramètres!$A$1:$I$89,3,0)*VLOOKUP('Données projet'!$B$15,Paramètres!$A$1:$I$89,5,0)</f>
        <v>-1.250327841262333E-13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290.85271051443431</v>
      </c>
      <c r="EP133" s="60">
        <f t="shared" ref="EP133:EP196" si="154">$EP$3</f>
        <v>318.66958823451142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0">
        <f t="shared" si="109"/>
        <v>825.45983568521592</v>
      </c>
      <c r="S134" s="60">
        <f ca="1">AVERAGE(OFFSET($R$3,0,0,'Données projet'!$E$9+1,1))-AVERAGE(OFFSET($H$3,0,0,'Données projet'!$E$9+1,1))</f>
        <v>428.8489304403459</v>
      </c>
      <c r="T134" s="60">
        <f t="shared" si="142"/>
        <v>247.01165577562966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1.2710188457276673E-13</v>
      </c>
      <c r="AK134" s="14">
        <f t="shared" si="143"/>
        <v>1.856866851063998E-12</v>
      </c>
      <c r="AL134" s="22">
        <f t="shared" si="112"/>
        <v>3.4554122145673649E-12</v>
      </c>
      <c r="AM134" s="60">
        <f t="shared" si="113"/>
        <v>293.33333333333678</v>
      </c>
      <c r="AN134" s="60">
        <f ca="1">AVERAGE(OFFSET($AM$3,0,0,'Données projet'!$E$10+1,1))-AVERAGE(OFFSET($H$3,0,0,'Données projet'!$E$10+1,1))</f>
        <v>323.98185264074681</v>
      </c>
      <c r="AO134" s="60">
        <f t="shared" si="144"/>
        <v>301.22207291854005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0.60377378346579091</v>
      </c>
      <c r="AV134" s="23">
        <f>EXP(-LN(2)/25)*AV133+(1-EXP(-LN(2)/25))/(LN(2)/25)*Calculateur!AQ134*Calculateur!AS134*VLOOKUP('Données projet'!$B$10,Paramètres!$A$1:$I$89,3,0)*0.475*44/12</f>
        <v>0.50136104991810837</v>
      </c>
      <c r="AW134" s="23">
        <f>EXP(-LN(2)/2)*AW133+(1-EXP(-LN(2)/2))/(LN(2)/2)*AQ134*AT134*VLOOKUP('Données projet'!$B$10,Paramètres!$A$1:$I$89,3,0)*0.475*44/12</f>
        <v>3.8233680570556784E-15</v>
      </c>
      <c r="AX134" s="23">
        <f t="shared" si="114"/>
        <v>1.1051348333839031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-2.8421709430404007E-13</v>
      </c>
      <c r="BE134" s="14">
        <f>BD134*VLOOKUP('Données projet'!$B$11,Paramètres!$A$1:$I$89,3,0)*VLOOKUP('Données projet'!$B$11,Paramètres!$A$1:$I$89,5,0)</f>
        <v>-1.69961822393816E-13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289.12367833861299</v>
      </c>
      <c r="BJ134" s="60">
        <f t="shared" si="146"/>
        <v>229.06617320689003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2.6043657933652409E-15</v>
      </c>
      <c r="BS134" s="24">
        <f t="shared" si="117"/>
        <v>2.6043657933652409E-15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-1.7053025658242404E-13</v>
      </c>
      <c r="BZ134" s="14">
        <f>BY134*VLOOKUP('Données projet'!$B$12,Paramètres!$A$1:$I$89,3,0)*VLOOKUP('Données projet'!$B$12,Paramètres!$A$1:$I$89,5,0)</f>
        <v>-1.3567387213697657E-13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312.53381881960331</v>
      </c>
      <c r="CE134" s="60">
        <f t="shared" si="148"/>
        <v>342.06887933351783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275.50379999999939</v>
      </c>
      <c r="CV134" s="14">
        <f t="shared" si="149"/>
        <v>66.015939215007748</v>
      </c>
      <c r="CW134" s="22">
        <f t="shared" si="121"/>
        <v>594.81354579947072</v>
      </c>
      <c r="CX134" s="60">
        <f t="shared" si="122"/>
        <v>888.14687913280409</v>
      </c>
      <c r="CY134" s="60">
        <f ca="1">AVERAGE(OFFSET($CX$3,0,0,'Données projet'!$E$13+1,1))-AVERAGE(OFFSET($H$3,0,0,'Données projet'!$E$13+1,1))</f>
        <v>475.47920969424894</v>
      </c>
      <c r="CZ134" s="60">
        <f t="shared" si="150"/>
        <v>271.73544012419364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>
        <f>VLOOKUP(A134,'Données projet'!$A$165:$I$185,2,0)</f>
        <v>259.61538461538458</v>
      </c>
      <c r="DM134" s="13">
        <f>VLOOKUP(A134,'Données projet'!$A$165:$I$185,9,0)</f>
        <v>4.66307692307692</v>
      </c>
      <c r="DN134" s="13">
        <f t="array" ref="DN134">INDEX(DM:DM,MIN(IF(ISNUMBER(DM134:DM330),ROW(DM134:DM330),"")))</f>
        <v>4.66307692307692</v>
      </c>
      <c r="DO134" s="13">
        <f>IF('Données projet'!$A$166&gt;35,DO133+DN134-DW133,IF(A134&lt;'Données projet'!$A$166,$DL$205^A134,IF(A134='Données projet'!$A$166,'Données projet'!$B$166,DO133+DN134-DW133)))</f>
        <v>259.61538461538453</v>
      </c>
      <c r="DP134" s="18">
        <f>DO134*VLOOKUP('Données projet'!$B$14,Paramètres!$A$1:$I$89,3,0)*VLOOKUP('Données projet'!$B$14,Paramètres!$A$1:$I$89,5,0)</f>
        <v>121.49999999999996</v>
      </c>
      <c r="DQ134" s="14">
        <f t="shared" si="151"/>
        <v>32.024596321339054</v>
      </c>
      <c r="DR134" s="22">
        <f t="shared" si="124"/>
        <v>267.38867192633211</v>
      </c>
      <c r="DS134" s="60">
        <f t="shared" si="125"/>
        <v>560.72200525966537</v>
      </c>
      <c r="DT134" s="60">
        <f ca="1">AVERAGE(OFFSET($DS$3,0,0,'Données projet'!$E$14+1,1))-AVERAGE(OFFSET($H$3,0,0,'Données projet'!$E$14+1,1))</f>
        <v>284.71577701131588</v>
      </c>
      <c r="DU134" s="60">
        <f t="shared" si="152"/>
        <v>190.4880882944471</v>
      </c>
      <c r="DV134" s="16">
        <f>IF(ISNA(VLOOKUP(A134,'Données projet'!$A$165:$I$185,3,0)),0,VLOOKUP(A134,'Données projet'!$A$165:$I$185,3,0))</f>
        <v>8</v>
      </c>
      <c r="DW134" s="16">
        <f>IF(ISNA(VLOOKUP(A134,'Données projet'!$A$165:$I$185,4,0)),0,VLOOKUP(A134,'Données projet'!$A$165:$I$185,4,0))</f>
        <v>259.61538461538458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-1.7053025658242404E-13</v>
      </c>
      <c r="EK134" s="18">
        <f>EJ134*VLOOKUP('Données projet'!$B$15,Paramètres!$A$1:$I$89,3,0)*VLOOKUP('Données projet'!$B$15,Paramètres!$A$1:$I$89,5,0)</f>
        <v>-1.250327841262333E-13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290.85271051443431</v>
      </c>
      <c r="EP134" s="60">
        <f t="shared" si="154"/>
        <v>318.66958823451142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0">
        <f t="shared" si="109"/>
        <v>830.62702157178455</v>
      </c>
      <c r="S135" s="60">
        <f ca="1">AVERAGE(OFFSET($R$3,0,0,'Données projet'!$E$9+1,1))-AVERAGE(OFFSET($H$3,0,0,'Données projet'!$E$9+1,1))</f>
        <v>428.8489304403459</v>
      </c>
      <c r="T135" s="60">
        <f t="shared" si="142"/>
        <v>247.01165577562966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1.2710188457276673E-13</v>
      </c>
      <c r="AK135" s="14">
        <f t="shared" si="143"/>
        <v>1.856866851063998E-12</v>
      </c>
      <c r="AL135" s="22">
        <f t="shared" si="112"/>
        <v>3.4554122145673649E-12</v>
      </c>
      <c r="AM135" s="60">
        <f t="shared" si="113"/>
        <v>293.33333333333678</v>
      </c>
      <c r="AN135" s="60">
        <f ca="1">AVERAGE(OFFSET($AM$3,0,0,'Données projet'!$E$10+1,1))-AVERAGE(OFFSET($H$3,0,0,'Données projet'!$E$10+1,1))</f>
        <v>323.98185264074681</v>
      </c>
      <c r="AO135" s="60">
        <f t="shared" si="144"/>
        <v>301.22207291854005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0.59193414783767151</v>
      </c>
      <c r="AV135" s="23">
        <f>EXP(-LN(2)/25)*AV134+(1-EXP(-LN(2)/25))/(LN(2)/25)*Calculateur!AQ135*Calculateur!AS135*VLOOKUP('Données projet'!$B$10,Paramètres!$A$1:$I$89,3,0)*0.475*44/12</f>
        <v>0.48765130564266596</v>
      </c>
      <c r="AW135" s="23">
        <f>EXP(-LN(2)/2)*AW134+(1-EXP(-LN(2)/2))/(LN(2)/2)*AQ135*AT135*VLOOKUP('Données projet'!$B$10,Paramètres!$A$1:$I$89,3,0)*0.475*44/12</f>
        <v>2.703529480116105E-15</v>
      </c>
      <c r="AX135" s="23">
        <f t="shared" si="114"/>
        <v>1.0795854534803402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-2.8421709430404007E-13</v>
      </c>
      <c r="BE135" s="14">
        <f>BD135*VLOOKUP('Données projet'!$B$11,Paramètres!$A$1:$I$89,3,0)*VLOOKUP('Données projet'!$B$11,Paramètres!$A$1:$I$89,5,0)</f>
        <v>-1.69961822393816E-13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289.12367833861299</v>
      </c>
      <c r="BJ135" s="60">
        <f t="shared" si="146"/>
        <v>229.06617320689003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1.8415647131788446E-15</v>
      </c>
      <c r="BS135" s="24">
        <f t="shared" si="117"/>
        <v>1.8415647131788446E-15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-1.7053025658242404E-13</v>
      </c>
      <c r="BZ135" s="14">
        <f>BY135*VLOOKUP('Données projet'!$B$12,Paramètres!$A$1:$I$89,3,0)*VLOOKUP('Données projet'!$B$12,Paramètres!$A$1:$I$89,5,0)</f>
        <v>-1.3567387213697657E-13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312.53381881960331</v>
      </c>
      <c r="CE135" s="60">
        <f t="shared" si="148"/>
        <v>342.06887933351783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278.24159999999938</v>
      </c>
      <c r="CV135" s="14">
        <f t="shared" si="149"/>
        <v>66.595272276139625</v>
      </c>
      <c r="CW135" s="22">
        <f t="shared" si="121"/>
        <v>600.59088588094198</v>
      </c>
      <c r="CX135" s="60">
        <f t="shared" si="122"/>
        <v>893.92421921427535</v>
      </c>
      <c r="CY135" s="60">
        <f ca="1">AVERAGE(OFFSET($CX$3,0,0,'Données projet'!$E$13+1,1))-AVERAGE(OFFSET($H$3,0,0,'Données projet'!$E$13+1,1))</f>
        <v>475.47920969424894</v>
      </c>
      <c r="CZ135" s="60">
        <f t="shared" si="150"/>
        <v>271.73544012419364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-5.6843418860808015E-14</v>
      </c>
      <c r="DP135" s="18">
        <f>DO135*VLOOKUP('Données projet'!$B$14,Paramètres!$A$1:$I$89,3,0)*VLOOKUP('Données projet'!$B$14,Paramètres!$A$1:$I$89,5,0)</f>
        <v>-2.6602720026858149E-14</v>
      </c>
      <c r="DQ135" s="14" t="e">
        <f t="shared" si="151"/>
        <v>#NUM!</v>
      </c>
      <c r="DR135" s="22" t="e">
        <f t="shared" si="124"/>
        <v>#NUM!</v>
      </c>
      <c r="DS135" s="60" t="e">
        <f t="shared" si="125"/>
        <v>#NUM!</v>
      </c>
      <c r="DT135" s="60">
        <f ca="1">AVERAGE(OFFSET($DS$3,0,0,'Données projet'!$E$14+1,1))-AVERAGE(OFFSET($H$3,0,0,'Données projet'!$E$14+1,1))</f>
        <v>284.71577701131588</v>
      </c>
      <c r="DU135" s="60">
        <f t="shared" si="152"/>
        <v>190.4880882944471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-1.7053025658242404E-13</v>
      </c>
      <c r="EK135" s="18">
        <f>EJ135*VLOOKUP('Données projet'!$B$15,Paramètres!$A$1:$I$89,3,0)*VLOOKUP('Données projet'!$B$15,Paramètres!$A$1:$I$89,5,0)</f>
        <v>-1.250327841262333E-13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290.85271051443431</v>
      </c>
      <c r="EP135" s="60">
        <f t="shared" si="154"/>
        <v>318.66958823451142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0">
        <f t="shared" si="109"/>
        <v>835.7931630761725</v>
      </c>
      <c r="S136" s="60">
        <f ca="1">AVERAGE(OFFSET($R$3,0,0,'Données projet'!$E$9+1,1))-AVERAGE(OFFSET($H$3,0,0,'Données projet'!$E$9+1,1))</f>
        <v>428.8489304403459</v>
      </c>
      <c r="T136" s="60">
        <f t="shared" si="142"/>
        <v>247.01165577562966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1.2710188457276673E-13</v>
      </c>
      <c r="AK136" s="14">
        <f t="shared" si="143"/>
        <v>1.856866851063998E-12</v>
      </c>
      <c r="AL136" s="22">
        <f t="shared" si="112"/>
        <v>3.4554122145673649E-12</v>
      </c>
      <c r="AM136" s="60">
        <f t="shared" si="113"/>
        <v>293.33333333333678</v>
      </c>
      <c r="AN136" s="60">
        <f ca="1">AVERAGE(OFFSET($AM$3,0,0,'Données projet'!$E$10+1,1))-AVERAGE(OFFSET($H$3,0,0,'Données projet'!$E$10+1,1))</f>
        <v>323.98185264074681</v>
      </c>
      <c r="AO136" s="60">
        <f t="shared" si="144"/>
        <v>301.22207291854005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0.5803266802427548</v>
      </c>
      <c r="AV136" s="23">
        <f>EXP(-LN(2)/25)*AV135+(1-EXP(-LN(2)/25))/(LN(2)/25)*Calculateur!AQ136*Calculateur!AS136*VLOOKUP('Données projet'!$B$10,Paramètres!$A$1:$I$89,3,0)*0.475*44/12</f>
        <v>0.47431645504539965</v>
      </c>
      <c r="AW136" s="23">
        <f>EXP(-LN(2)/2)*AW135+(1-EXP(-LN(2)/2))/(LN(2)/2)*AQ136*AT136*VLOOKUP('Données projet'!$B$10,Paramètres!$A$1:$I$89,3,0)*0.475*44/12</f>
        <v>1.9116840285278392E-15</v>
      </c>
      <c r="AX136" s="23">
        <f t="shared" si="114"/>
        <v>1.0546431352881565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-2.8421709430404007E-13</v>
      </c>
      <c r="BE136" s="14">
        <f>BD136*VLOOKUP('Données projet'!$B$11,Paramètres!$A$1:$I$89,3,0)*VLOOKUP('Données projet'!$B$11,Paramètres!$A$1:$I$89,5,0)</f>
        <v>-1.69961822393816E-13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289.12367833861299</v>
      </c>
      <c r="BJ136" s="60">
        <f t="shared" si="146"/>
        <v>229.06617320689003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1.3021828966826205E-15</v>
      </c>
      <c r="BS136" s="24">
        <f t="shared" si="117"/>
        <v>1.3021828966826205E-15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-1.7053025658242404E-13</v>
      </c>
      <c r="BZ136" s="14">
        <f>BY136*VLOOKUP('Données projet'!$B$12,Paramètres!$A$1:$I$89,3,0)*VLOOKUP('Données projet'!$B$12,Paramètres!$A$1:$I$89,5,0)</f>
        <v>-1.3567387213697657E-13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312.53381881960331</v>
      </c>
      <c r="CE136" s="60">
        <f t="shared" si="148"/>
        <v>342.06887933351783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280.97939999999937</v>
      </c>
      <c r="CV136" s="14">
        <f t="shared" si="149"/>
        <v>67.173942175199301</v>
      </c>
      <c r="CW136" s="22">
        <f t="shared" si="121"/>
        <v>606.36707095513759</v>
      </c>
      <c r="CX136" s="60">
        <f t="shared" si="122"/>
        <v>899.70040428847096</v>
      </c>
      <c r="CY136" s="60">
        <f ca="1">AVERAGE(OFFSET($CX$3,0,0,'Données projet'!$E$13+1,1))-AVERAGE(OFFSET($H$3,0,0,'Données projet'!$E$13+1,1))</f>
        <v>475.47920969424894</v>
      </c>
      <c r="CZ136" s="60">
        <f t="shared" si="150"/>
        <v>271.73544012419364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-5.6843418860808015E-14</v>
      </c>
      <c r="DP136" s="18">
        <f>DO136*VLOOKUP('Données projet'!$B$14,Paramètres!$A$1:$I$89,3,0)*VLOOKUP('Données projet'!$B$14,Paramètres!$A$1:$I$89,5,0)</f>
        <v>-2.6602720026858149E-14</v>
      </c>
      <c r="DQ136" s="14" t="e">
        <f t="shared" si="151"/>
        <v>#NUM!</v>
      </c>
      <c r="DR136" s="22" t="e">
        <f t="shared" si="124"/>
        <v>#NUM!</v>
      </c>
      <c r="DS136" s="60" t="e">
        <f t="shared" si="125"/>
        <v>#NUM!</v>
      </c>
      <c r="DT136" s="60">
        <f ca="1">AVERAGE(OFFSET($DS$3,0,0,'Données projet'!$E$14+1,1))-AVERAGE(OFFSET($H$3,0,0,'Données projet'!$E$14+1,1))</f>
        <v>284.71577701131588</v>
      </c>
      <c r="DU136" s="60">
        <f t="shared" si="152"/>
        <v>190.4880882944471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-1.7053025658242404E-13</v>
      </c>
      <c r="EK136" s="18">
        <f>EJ136*VLOOKUP('Données projet'!$B$15,Paramètres!$A$1:$I$89,3,0)*VLOOKUP('Données projet'!$B$15,Paramètres!$A$1:$I$89,5,0)</f>
        <v>-1.250327841262333E-13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290.85271051443431</v>
      </c>
      <c r="EP136" s="60">
        <f t="shared" si="154"/>
        <v>318.66958823451142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0">
        <f t="shared" si="109"/>
        <v>840.958271553038</v>
      </c>
      <c r="S137" s="60">
        <f ca="1">AVERAGE(OFFSET($R$3,0,0,'Données projet'!$E$9+1,1))-AVERAGE(OFFSET($H$3,0,0,'Données projet'!$E$9+1,1))</f>
        <v>428.8489304403459</v>
      </c>
      <c r="T137" s="60">
        <f t="shared" si="142"/>
        <v>247.01165577562966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1.2710188457276673E-13</v>
      </c>
      <c r="AK137" s="14">
        <f t="shared" si="143"/>
        <v>1.856866851063998E-12</v>
      </c>
      <c r="AL137" s="22">
        <f t="shared" si="112"/>
        <v>3.4554122145673649E-12</v>
      </c>
      <c r="AM137" s="60">
        <f t="shared" si="113"/>
        <v>293.33333333333678</v>
      </c>
      <c r="AN137" s="60">
        <f ca="1">AVERAGE(OFFSET($AM$3,0,0,'Données projet'!$E$10+1,1))-AVERAGE(OFFSET($H$3,0,0,'Données projet'!$E$10+1,1))</f>
        <v>323.98185264074681</v>
      </c>
      <c r="AO137" s="60">
        <f t="shared" si="144"/>
        <v>301.22207291854005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0.56894682800751828</v>
      </c>
      <c r="AV137" s="23">
        <f>EXP(-LN(2)/25)*AV136+(1-EXP(-LN(2)/25))/(LN(2)/25)*Calculateur!AQ137*Calculateur!AS137*VLOOKUP('Données projet'!$B$10,Paramètres!$A$1:$I$89,3,0)*0.475*44/12</f>
        <v>0.4613462466389649</v>
      </c>
      <c r="AW137" s="23">
        <f>EXP(-LN(2)/2)*AW136+(1-EXP(-LN(2)/2))/(LN(2)/2)*AQ137*AT137*VLOOKUP('Données projet'!$B$10,Paramètres!$A$1:$I$89,3,0)*0.475*44/12</f>
        <v>1.3517647400580525E-15</v>
      </c>
      <c r="AX137" s="23">
        <f t="shared" si="114"/>
        <v>1.0302930746464845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-2.8421709430404007E-13</v>
      </c>
      <c r="BE137" s="14">
        <f>BD137*VLOOKUP('Données projet'!$B$11,Paramètres!$A$1:$I$89,3,0)*VLOOKUP('Données projet'!$B$11,Paramètres!$A$1:$I$89,5,0)</f>
        <v>-1.69961822393816E-13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289.12367833861299</v>
      </c>
      <c r="BJ137" s="60">
        <f t="shared" si="146"/>
        <v>229.06617320689003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9.2078235658942231E-16</v>
      </c>
      <c r="BS137" s="24">
        <f t="shared" si="117"/>
        <v>9.2078235658942231E-16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-1.7053025658242404E-13</v>
      </c>
      <c r="BZ137" s="14">
        <f>BY137*VLOOKUP('Données projet'!$B$12,Paramètres!$A$1:$I$89,3,0)*VLOOKUP('Données projet'!$B$12,Paramètres!$A$1:$I$89,5,0)</f>
        <v>-1.3567387213697657E-13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312.53381881960331</v>
      </c>
      <c r="CE137" s="60">
        <f t="shared" si="148"/>
        <v>342.06887933351783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283.71719999999937</v>
      </c>
      <c r="CV137" s="14">
        <f t="shared" si="149"/>
        <v>67.751956122170526</v>
      </c>
      <c r="CW137" s="22">
        <f t="shared" si="121"/>
        <v>612.14211357944589</v>
      </c>
      <c r="CX137" s="60">
        <f t="shared" si="122"/>
        <v>905.47544691277926</v>
      </c>
      <c r="CY137" s="60">
        <f ca="1">AVERAGE(OFFSET($CX$3,0,0,'Données projet'!$E$13+1,1))-AVERAGE(OFFSET($H$3,0,0,'Données projet'!$E$13+1,1))</f>
        <v>475.47920969424894</v>
      </c>
      <c r="CZ137" s="60">
        <f t="shared" si="150"/>
        <v>271.73544012419364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-5.6843418860808015E-14</v>
      </c>
      <c r="DP137" s="18">
        <f>DO137*VLOOKUP('Données projet'!$B$14,Paramètres!$A$1:$I$89,3,0)*VLOOKUP('Données projet'!$B$14,Paramètres!$A$1:$I$89,5,0)</f>
        <v>-2.6602720026858149E-14</v>
      </c>
      <c r="DQ137" s="14" t="e">
        <f t="shared" si="151"/>
        <v>#NUM!</v>
      </c>
      <c r="DR137" s="22" t="e">
        <f t="shared" si="124"/>
        <v>#NUM!</v>
      </c>
      <c r="DS137" s="60" t="e">
        <f t="shared" si="125"/>
        <v>#NUM!</v>
      </c>
      <c r="DT137" s="60">
        <f ca="1">AVERAGE(OFFSET($DS$3,0,0,'Données projet'!$E$14+1,1))-AVERAGE(OFFSET($H$3,0,0,'Données projet'!$E$14+1,1))</f>
        <v>284.71577701131588</v>
      </c>
      <c r="DU137" s="60">
        <f t="shared" si="152"/>
        <v>190.4880882944471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-1.7053025658242404E-13</v>
      </c>
      <c r="EK137" s="18">
        <f>EJ137*VLOOKUP('Données projet'!$B$15,Paramètres!$A$1:$I$89,3,0)*VLOOKUP('Données projet'!$B$15,Paramètres!$A$1:$I$89,5,0)</f>
        <v>-1.250327841262333E-13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290.85271051443431</v>
      </c>
      <c r="EP137" s="60">
        <f t="shared" si="154"/>
        <v>318.66958823451142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0">
        <f t="shared" si="109"/>
        <v>846.12235812526569</v>
      </c>
      <c r="S138" s="60">
        <f ca="1">AVERAGE(OFFSET($R$3,0,0,'Données projet'!$E$9+1,1))-AVERAGE(OFFSET($H$3,0,0,'Données projet'!$E$9+1,1))</f>
        <v>428.8489304403459</v>
      </c>
      <c r="T138" s="60">
        <f t="shared" si="142"/>
        <v>247.01165577562966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1.2710188457276673E-13</v>
      </c>
      <c r="AK138" s="14">
        <f t="shared" si="143"/>
        <v>1.856866851063998E-12</v>
      </c>
      <c r="AL138" s="22">
        <f t="shared" si="112"/>
        <v>3.4554122145673649E-12</v>
      </c>
      <c r="AM138" s="60">
        <f t="shared" si="113"/>
        <v>293.33333333333678</v>
      </c>
      <c r="AN138" s="60">
        <f ca="1">AVERAGE(OFFSET($AM$3,0,0,'Données projet'!$E$10+1,1))-AVERAGE(OFFSET($H$3,0,0,'Données projet'!$E$10+1,1))</f>
        <v>323.98185264074681</v>
      </c>
      <c r="AO138" s="60">
        <f t="shared" si="144"/>
        <v>301.22207291854005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0.55779012773359027</v>
      </c>
      <c r="AV138" s="23">
        <f>EXP(-LN(2)/25)*AV137+(1-EXP(-LN(2)/25))/(LN(2)/25)*Calculateur!AQ138*Calculateur!AS138*VLOOKUP('Données projet'!$B$10,Paramètres!$A$1:$I$89,3,0)*0.475*44/12</f>
        <v>0.44873070926347769</v>
      </c>
      <c r="AW138" s="23">
        <f>EXP(-LN(2)/2)*AW137+(1-EXP(-LN(2)/2))/(LN(2)/2)*AQ138*AT138*VLOOKUP('Données projet'!$B$10,Paramètres!$A$1:$I$89,3,0)*0.475*44/12</f>
        <v>9.5584201426391961E-16</v>
      </c>
      <c r="AX138" s="23">
        <f t="shared" si="114"/>
        <v>1.0065208369970688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-2.8421709430404007E-13</v>
      </c>
      <c r="BE138" s="14">
        <f>BD138*VLOOKUP('Données projet'!$B$11,Paramètres!$A$1:$I$89,3,0)*VLOOKUP('Données projet'!$B$11,Paramètres!$A$1:$I$89,5,0)</f>
        <v>-1.69961822393816E-13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289.12367833861299</v>
      </c>
      <c r="BJ138" s="60">
        <f t="shared" si="146"/>
        <v>229.06617320689003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6.5109144834131023E-16</v>
      </c>
      <c r="BS138" s="24">
        <f t="shared" si="117"/>
        <v>6.5109144834131023E-16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-1.7053025658242404E-13</v>
      </c>
      <c r="BZ138" s="14">
        <f>BY138*VLOOKUP('Données projet'!$B$12,Paramètres!$A$1:$I$89,3,0)*VLOOKUP('Données projet'!$B$12,Paramètres!$A$1:$I$89,5,0)</f>
        <v>-1.3567387213697657E-13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312.53381881960331</v>
      </c>
      <c r="CE138" s="60">
        <f t="shared" si="148"/>
        <v>342.06887933351783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286.45499999999936</v>
      </c>
      <c r="CV138" s="14">
        <f t="shared" si="149"/>
        <v>68.329321179865531</v>
      </c>
      <c r="CW138" s="22">
        <f t="shared" si="121"/>
        <v>617.91602605493142</v>
      </c>
      <c r="CX138" s="60">
        <f t="shared" si="122"/>
        <v>911.24935938826479</v>
      </c>
      <c r="CY138" s="60">
        <f ca="1">AVERAGE(OFFSET($CX$3,0,0,'Données projet'!$E$13+1,1))-AVERAGE(OFFSET($H$3,0,0,'Données projet'!$E$13+1,1))</f>
        <v>475.47920969424894</v>
      </c>
      <c r="CZ138" s="60">
        <f t="shared" si="150"/>
        <v>271.73544012419364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-5.6843418860808015E-14</v>
      </c>
      <c r="DP138" s="18">
        <f>DO138*VLOOKUP('Données projet'!$B$14,Paramètres!$A$1:$I$89,3,0)*VLOOKUP('Données projet'!$B$14,Paramètres!$A$1:$I$89,5,0)</f>
        <v>-2.6602720026858149E-14</v>
      </c>
      <c r="DQ138" s="14" t="e">
        <f t="shared" si="151"/>
        <v>#NUM!</v>
      </c>
      <c r="DR138" s="22" t="e">
        <f t="shared" si="124"/>
        <v>#NUM!</v>
      </c>
      <c r="DS138" s="60" t="e">
        <f t="shared" si="125"/>
        <v>#NUM!</v>
      </c>
      <c r="DT138" s="60">
        <f ca="1">AVERAGE(OFFSET($DS$3,0,0,'Données projet'!$E$14+1,1))-AVERAGE(OFFSET($H$3,0,0,'Données projet'!$E$14+1,1))</f>
        <v>284.71577701131588</v>
      </c>
      <c r="DU138" s="60">
        <f t="shared" si="152"/>
        <v>190.4880882944471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-1.7053025658242404E-13</v>
      </c>
      <c r="EK138" s="18">
        <f>EJ138*VLOOKUP('Données projet'!$B$15,Paramètres!$A$1:$I$89,3,0)*VLOOKUP('Données projet'!$B$15,Paramètres!$A$1:$I$89,5,0)</f>
        <v>-1.250327841262333E-13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290.85271051443431</v>
      </c>
      <c r="EP138" s="60">
        <f t="shared" si="154"/>
        <v>318.66958823451142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0">
        <f t="shared" si="109"/>
        <v>851.28543369086674</v>
      </c>
      <c r="S139" s="60">
        <f ca="1">AVERAGE(OFFSET($R$3,0,0,'Données projet'!$E$9+1,1))-AVERAGE(OFFSET($H$3,0,0,'Données projet'!$E$9+1,1))</f>
        <v>428.8489304403459</v>
      </c>
      <c r="T139" s="60">
        <f t="shared" si="142"/>
        <v>247.01165577562966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1.2710188457276673E-13</v>
      </c>
      <c r="AK139" s="14">
        <f t="shared" si="143"/>
        <v>1.856866851063998E-12</v>
      </c>
      <c r="AL139" s="22">
        <f t="shared" si="112"/>
        <v>3.4554122145673649E-12</v>
      </c>
      <c r="AM139" s="60">
        <f t="shared" si="113"/>
        <v>293.33333333333678</v>
      </c>
      <c r="AN139" s="60">
        <f ca="1">AVERAGE(OFFSET($AM$3,0,0,'Données projet'!$E$10+1,1))-AVERAGE(OFFSET($H$3,0,0,'Données projet'!$E$10+1,1))</f>
        <v>323.98185264074681</v>
      </c>
      <c r="AO139" s="60">
        <f t="shared" si="144"/>
        <v>301.22207291854005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0.54685220354711872</v>
      </c>
      <c r="AV139" s="23">
        <f>EXP(-LN(2)/25)*AV138+(1-EXP(-LN(2)/25))/(LN(2)/25)*Calculateur!AQ139*Calculateur!AS139*VLOOKUP('Données projet'!$B$10,Paramètres!$A$1:$I$89,3,0)*0.475*44/12</f>
        <v>0.4364601444209455</v>
      </c>
      <c r="AW139" s="23">
        <f>EXP(-LN(2)/2)*AW138+(1-EXP(-LN(2)/2))/(LN(2)/2)*AQ139*AT139*VLOOKUP('Données projet'!$B$10,Paramètres!$A$1:$I$89,3,0)*0.475*44/12</f>
        <v>6.7588237002902625E-16</v>
      </c>
      <c r="AX139" s="23">
        <f t="shared" si="114"/>
        <v>0.98331234796806488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-2.8421709430404007E-13</v>
      </c>
      <c r="BE139" s="14">
        <f>BD139*VLOOKUP('Données projet'!$B$11,Paramètres!$A$1:$I$89,3,0)*VLOOKUP('Données projet'!$B$11,Paramètres!$A$1:$I$89,5,0)</f>
        <v>-1.69961822393816E-13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289.12367833861299</v>
      </c>
      <c r="BJ139" s="60">
        <f t="shared" si="146"/>
        <v>229.06617320689003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4.6039117829471115E-16</v>
      </c>
      <c r="BS139" s="24">
        <f t="shared" si="117"/>
        <v>4.6039117829471115E-16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-1.7053025658242404E-13</v>
      </c>
      <c r="BZ139" s="14">
        <f>BY139*VLOOKUP('Données projet'!$B$12,Paramètres!$A$1:$I$89,3,0)*VLOOKUP('Données projet'!$B$12,Paramètres!$A$1:$I$89,5,0)</f>
        <v>-1.3567387213697657E-13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312.53381881960331</v>
      </c>
      <c r="CE139" s="60">
        <f t="shared" si="148"/>
        <v>342.06887933351783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289.19279999999935</v>
      </c>
      <c r="CV139" s="14">
        <f t="shared" si="149"/>
        <v>68.906044268306161</v>
      </c>
      <c r="CW139" s="22">
        <f t="shared" si="121"/>
        <v>623.68882043396547</v>
      </c>
      <c r="CX139" s="60">
        <f t="shared" si="122"/>
        <v>917.02215376729873</v>
      </c>
      <c r="CY139" s="60">
        <f ca="1">AVERAGE(OFFSET($CX$3,0,0,'Données projet'!$E$13+1,1))-AVERAGE(OFFSET($H$3,0,0,'Données projet'!$E$13+1,1))</f>
        <v>475.47920969424894</v>
      </c>
      <c r="CZ139" s="60">
        <f t="shared" si="150"/>
        <v>271.73544012419364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-5.6843418860808015E-14</v>
      </c>
      <c r="DP139" s="18">
        <f>DO139*VLOOKUP('Données projet'!$B$14,Paramètres!$A$1:$I$89,3,0)*VLOOKUP('Données projet'!$B$14,Paramètres!$A$1:$I$89,5,0)</f>
        <v>-2.6602720026858149E-14</v>
      </c>
      <c r="DQ139" s="14" t="e">
        <f t="shared" si="151"/>
        <v>#NUM!</v>
      </c>
      <c r="DR139" s="22" t="e">
        <f t="shared" si="124"/>
        <v>#NUM!</v>
      </c>
      <c r="DS139" s="60" t="e">
        <f t="shared" si="125"/>
        <v>#NUM!</v>
      </c>
      <c r="DT139" s="60">
        <f ca="1">AVERAGE(OFFSET($DS$3,0,0,'Données projet'!$E$14+1,1))-AVERAGE(OFFSET($H$3,0,0,'Données projet'!$E$14+1,1))</f>
        <v>284.71577701131588</v>
      </c>
      <c r="DU139" s="60">
        <f t="shared" si="152"/>
        <v>190.4880882944471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-1.7053025658242404E-13</v>
      </c>
      <c r="EK139" s="18">
        <f>EJ139*VLOOKUP('Données projet'!$B$15,Paramètres!$A$1:$I$89,3,0)*VLOOKUP('Données projet'!$B$15,Paramètres!$A$1:$I$89,5,0)</f>
        <v>-1.250327841262333E-13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290.85271051443431</v>
      </c>
      <c r="EP139" s="60">
        <f t="shared" si="154"/>
        <v>318.66958823451142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0">
        <f t="shared" si="109"/>
        <v>856.44750892960883</v>
      </c>
      <c r="S140" s="60">
        <f ca="1">AVERAGE(OFFSET($R$3,0,0,'Données projet'!$E$9+1,1))-AVERAGE(OFFSET($H$3,0,0,'Données projet'!$E$9+1,1))</f>
        <v>428.8489304403459</v>
      </c>
      <c r="T140" s="60">
        <f t="shared" si="142"/>
        <v>247.01165577562966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1.2710188457276673E-13</v>
      </c>
      <c r="AK140" s="14">
        <f t="shared" si="143"/>
        <v>1.856866851063998E-12</v>
      </c>
      <c r="AL140" s="22">
        <f t="shared" si="112"/>
        <v>3.4554122145673649E-12</v>
      </c>
      <c r="AM140" s="60">
        <f t="shared" si="113"/>
        <v>293.33333333333678</v>
      </c>
      <c r="AN140" s="60">
        <f ca="1">AVERAGE(OFFSET($AM$3,0,0,'Données projet'!$E$10+1,1))-AVERAGE(OFFSET($H$3,0,0,'Données projet'!$E$10+1,1))</f>
        <v>323.98185264074681</v>
      </c>
      <c r="AO140" s="60">
        <f t="shared" si="144"/>
        <v>301.22207291854005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0.5361287653824689</v>
      </c>
      <c r="AV140" s="23">
        <f>EXP(-LN(2)/25)*AV139+(1-EXP(-LN(2)/25))/(LN(2)/25)*Calculateur!AQ140*Calculateur!AS140*VLOOKUP('Données projet'!$B$10,Paramètres!$A$1:$I$89,3,0)*0.475*44/12</f>
        <v>0.42452511881931326</v>
      </c>
      <c r="AW140" s="23">
        <f>EXP(-LN(2)/2)*AW139+(1-EXP(-LN(2)/2))/(LN(2)/2)*AQ140*AT140*VLOOKUP('Données projet'!$B$10,Paramètres!$A$1:$I$89,3,0)*0.475*44/12</f>
        <v>4.779210071319598E-16</v>
      </c>
      <c r="AX140" s="23">
        <f t="shared" si="114"/>
        <v>0.96065388420178266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-2.8421709430404007E-13</v>
      </c>
      <c r="BE140" s="14">
        <f>BD140*VLOOKUP('Données projet'!$B$11,Paramètres!$A$1:$I$89,3,0)*VLOOKUP('Données projet'!$B$11,Paramètres!$A$1:$I$89,5,0)</f>
        <v>-1.69961822393816E-13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289.12367833861299</v>
      </c>
      <c r="BJ140" s="60">
        <f t="shared" si="146"/>
        <v>229.06617320689003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3.2554572417065511E-16</v>
      </c>
      <c r="BS140" s="24">
        <f t="shared" si="117"/>
        <v>3.2554572417065511E-16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-1.7053025658242404E-13</v>
      </c>
      <c r="BZ140" s="14">
        <f>BY140*VLOOKUP('Données projet'!$B$12,Paramètres!$A$1:$I$89,3,0)*VLOOKUP('Données projet'!$B$12,Paramètres!$A$1:$I$89,5,0)</f>
        <v>-1.3567387213697657E-13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312.53381881960331</v>
      </c>
      <c r="CE140" s="60">
        <f t="shared" si="148"/>
        <v>342.06887933351783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291.93059999999929</v>
      </c>
      <c r="CV140" s="14">
        <f t="shared" si="149"/>
        <v>69.482132168934584</v>
      </c>
      <c r="CW140" s="22">
        <f t="shared" si="121"/>
        <v>629.4605085275598</v>
      </c>
      <c r="CX140" s="60">
        <f t="shared" si="122"/>
        <v>922.79384186089305</v>
      </c>
      <c r="CY140" s="60">
        <f ca="1">AVERAGE(OFFSET($CX$3,0,0,'Données projet'!$E$13+1,1))-AVERAGE(OFFSET($H$3,0,0,'Données projet'!$E$13+1,1))</f>
        <v>475.47920969424894</v>
      </c>
      <c r="CZ140" s="60">
        <f t="shared" si="150"/>
        <v>271.73544012419364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-5.6843418860808015E-14</v>
      </c>
      <c r="DP140" s="18">
        <f>DO140*VLOOKUP('Données projet'!$B$14,Paramètres!$A$1:$I$89,3,0)*VLOOKUP('Données projet'!$B$14,Paramètres!$A$1:$I$89,5,0)</f>
        <v>-2.6602720026858149E-14</v>
      </c>
      <c r="DQ140" s="14" t="e">
        <f t="shared" si="151"/>
        <v>#NUM!</v>
      </c>
      <c r="DR140" s="22" t="e">
        <f t="shared" si="124"/>
        <v>#NUM!</v>
      </c>
      <c r="DS140" s="60" t="e">
        <f t="shared" si="125"/>
        <v>#NUM!</v>
      </c>
      <c r="DT140" s="60">
        <f ca="1">AVERAGE(OFFSET($DS$3,0,0,'Données projet'!$E$14+1,1))-AVERAGE(OFFSET($H$3,0,0,'Données projet'!$E$14+1,1))</f>
        <v>284.71577701131588</v>
      </c>
      <c r="DU140" s="60">
        <f t="shared" si="152"/>
        <v>190.4880882944471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-1.7053025658242404E-13</v>
      </c>
      <c r="EK140" s="18">
        <f>EJ140*VLOOKUP('Données projet'!$B$15,Paramètres!$A$1:$I$89,3,0)*VLOOKUP('Données projet'!$B$15,Paramètres!$A$1:$I$89,5,0)</f>
        <v>-1.250327841262333E-13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290.85271051443431</v>
      </c>
      <c r="EP140" s="60">
        <f t="shared" si="154"/>
        <v>318.66958823451142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0">
        <f t="shared" si="109"/>
        <v>861.60859430939399</v>
      </c>
      <c r="S141" s="60">
        <f ca="1">AVERAGE(OFFSET($R$3,0,0,'Données projet'!$E$9+1,1))-AVERAGE(OFFSET($H$3,0,0,'Données projet'!$E$9+1,1))</f>
        <v>428.8489304403459</v>
      </c>
      <c r="T141" s="60">
        <f t="shared" si="142"/>
        <v>247.01165577562966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1.2710188457276673E-13</v>
      </c>
      <c r="AK141" s="14">
        <f t="shared" si="143"/>
        <v>1.856866851063998E-12</v>
      </c>
      <c r="AL141" s="22">
        <f t="shared" si="112"/>
        <v>3.4554122145673649E-12</v>
      </c>
      <c r="AM141" s="60">
        <f t="shared" si="113"/>
        <v>293.33333333333678</v>
      </c>
      <c r="AN141" s="60">
        <f ca="1">AVERAGE(OFFSET($AM$3,0,0,'Données projet'!$E$10+1,1))-AVERAGE(OFFSET($H$3,0,0,'Données projet'!$E$10+1,1))</f>
        <v>323.98185264074681</v>
      </c>
      <c r="AO141" s="60">
        <f t="shared" si="144"/>
        <v>301.22207291854005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0.52561560729957635</v>
      </c>
      <c r="AV141" s="23">
        <f>EXP(-LN(2)/25)*AV140+(1-EXP(-LN(2)/25))/(LN(2)/25)*Calculateur!AQ141*Calculateur!AS141*VLOOKUP('Données projet'!$B$10,Paramètres!$A$1:$I$89,3,0)*0.475*44/12</f>
        <v>0.41291645712039343</v>
      </c>
      <c r="AW141" s="23">
        <f>EXP(-LN(2)/2)*AW140+(1-EXP(-LN(2)/2))/(LN(2)/2)*AQ141*AT141*VLOOKUP('Données projet'!$B$10,Paramètres!$A$1:$I$89,3,0)*0.475*44/12</f>
        <v>3.3794118501451313E-16</v>
      </c>
      <c r="AX141" s="23">
        <f t="shared" si="114"/>
        <v>0.93853206441997006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-2.8421709430404007E-13</v>
      </c>
      <c r="BE141" s="14">
        <f>BD141*VLOOKUP('Données projet'!$B$11,Paramètres!$A$1:$I$89,3,0)*VLOOKUP('Données projet'!$B$11,Paramètres!$A$1:$I$89,5,0)</f>
        <v>-1.69961822393816E-13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289.12367833861299</v>
      </c>
      <c r="BJ141" s="60">
        <f t="shared" si="146"/>
        <v>229.06617320689003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2.3019558914735558E-16</v>
      </c>
      <c r="BS141" s="24">
        <f t="shared" si="117"/>
        <v>2.3019558914735558E-16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-1.7053025658242404E-13</v>
      </c>
      <c r="BZ141" s="14">
        <f>BY141*VLOOKUP('Données projet'!$B$12,Paramètres!$A$1:$I$89,3,0)*VLOOKUP('Données projet'!$B$12,Paramètres!$A$1:$I$89,5,0)</f>
        <v>-1.3567387213697657E-13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312.53381881960331</v>
      </c>
      <c r="CE141" s="60">
        <f t="shared" si="148"/>
        <v>342.06887933351783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294.66839999999928</v>
      </c>
      <c r="CV141" s="14">
        <f t="shared" si="149"/>
        <v>70.057591528661433</v>
      </c>
      <c r="CW141" s="22">
        <f t="shared" si="121"/>
        <v>635.23110191241733</v>
      </c>
      <c r="CX141" s="60">
        <f t="shared" si="122"/>
        <v>928.5644352457507</v>
      </c>
      <c r="CY141" s="60">
        <f ca="1">AVERAGE(OFFSET($CX$3,0,0,'Données projet'!$E$13+1,1))-AVERAGE(OFFSET($H$3,0,0,'Données projet'!$E$13+1,1))</f>
        <v>475.47920969424894</v>
      </c>
      <c r="CZ141" s="60">
        <f t="shared" si="150"/>
        <v>271.73544012419364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-5.6843418860808015E-14</v>
      </c>
      <c r="DP141" s="18">
        <f>DO141*VLOOKUP('Données projet'!$B$14,Paramètres!$A$1:$I$89,3,0)*VLOOKUP('Données projet'!$B$14,Paramètres!$A$1:$I$89,5,0)</f>
        <v>-2.6602720026858149E-14</v>
      </c>
      <c r="DQ141" s="14" t="e">
        <f t="shared" si="151"/>
        <v>#NUM!</v>
      </c>
      <c r="DR141" s="22" t="e">
        <f t="shared" si="124"/>
        <v>#NUM!</v>
      </c>
      <c r="DS141" s="60" t="e">
        <f t="shared" si="125"/>
        <v>#NUM!</v>
      </c>
      <c r="DT141" s="60">
        <f ca="1">AVERAGE(OFFSET($DS$3,0,0,'Données projet'!$E$14+1,1))-AVERAGE(OFFSET($H$3,0,0,'Données projet'!$E$14+1,1))</f>
        <v>284.71577701131588</v>
      </c>
      <c r="DU141" s="60">
        <f t="shared" si="152"/>
        <v>190.4880882944471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-1.7053025658242404E-13</v>
      </c>
      <c r="EK141" s="18">
        <f>EJ141*VLOOKUP('Données projet'!$B$15,Paramètres!$A$1:$I$89,3,0)*VLOOKUP('Données projet'!$B$15,Paramètres!$A$1:$I$89,5,0)</f>
        <v>-1.250327841262333E-13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290.85271051443431</v>
      </c>
      <c r="EP141" s="60">
        <f t="shared" si="154"/>
        <v>318.66958823451142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0">
        <f t="shared" si="109"/>
        <v>866.76870009238769</v>
      </c>
      <c r="S142" s="60">
        <f ca="1">AVERAGE(OFFSET($R$3,0,0,'Données projet'!$E$9+1,1))-AVERAGE(OFFSET($H$3,0,0,'Données projet'!$E$9+1,1))</f>
        <v>428.8489304403459</v>
      </c>
      <c r="T142" s="60">
        <f t="shared" si="142"/>
        <v>247.01165577562966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1.2710188457276673E-13</v>
      </c>
      <c r="AK142" s="14">
        <f t="shared" si="143"/>
        <v>1.856866851063998E-12</v>
      </c>
      <c r="AL142" s="22">
        <f t="shared" si="112"/>
        <v>3.4554122145673649E-12</v>
      </c>
      <c r="AM142" s="60">
        <f t="shared" si="113"/>
        <v>293.33333333333678</v>
      </c>
      <c r="AN142" s="60">
        <f ca="1">AVERAGE(OFFSET($AM$3,0,0,'Données projet'!$E$10+1,1))-AVERAGE(OFFSET($H$3,0,0,'Données projet'!$E$10+1,1))</f>
        <v>323.98185264074681</v>
      </c>
      <c r="AO142" s="60">
        <f t="shared" si="144"/>
        <v>301.22207291854005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0.51530860583429605</v>
      </c>
      <c r="AV142" s="23">
        <f>EXP(-LN(2)/25)*AV141+(1-EXP(-LN(2)/25))/(LN(2)/25)*Calculateur!AQ142*Calculateur!AS142*VLOOKUP('Données projet'!$B$10,Paramètres!$A$1:$I$89,3,0)*0.475*44/12</f>
        <v>0.40162523488610352</v>
      </c>
      <c r="AW142" s="23">
        <f>EXP(-LN(2)/2)*AW141+(1-EXP(-LN(2)/2))/(LN(2)/2)*AQ142*AT142*VLOOKUP('Données projet'!$B$10,Paramètres!$A$1:$I$89,3,0)*0.475*44/12</f>
        <v>2.389605035659799E-16</v>
      </c>
      <c r="AX142" s="23">
        <f t="shared" si="114"/>
        <v>0.91693384072039974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-2.8421709430404007E-13</v>
      </c>
      <c r="BE142" s="14">
        <f>BD142*VLOOKUP('Données projet'!$B$11,Paramètres!$A$1:$I$89,3,0)*VLOOKUP('Données projet'!$B$11,Paramètres!$A$1:$I$89,5,0)</f>
        <v>-1.69961822393816E-13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289.12367833861299</v>
      </c>
      <c r="BJ142" s="60">
        <f t="shared" si="146"/>
        <v>229.06617320689003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1.6277286208532756E-16</v>
      </c>
      <c r="BS142" s="24">
        <f t="shared" si="117"/>
        <v>1.6277286208532756E-16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-1.7053025658242404E-13</v>
      </c>
      <c r="BZ142" s="14">
        <f>BY142*VLOOKUP('Données projet'!$B$12,Paramètres!$A$1:$I$89,3,0)*VLOOKUP('Données projet'!$B$12,Paramètres!$A$1:$I$89,5,0)</f>
        <v>-1.3567387213697657E-13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312.53381881960331</v>
      </c>
      <c r="CE142" s="60">
        <f t="shared" si="148"/>
        <v>342.06887933351783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297.40619999999927</v>
      </c>
      <c r="CV142" s="14">
        <f t="shared" si="149"/>
        <v>70.632428863759543</v>
      </c>
      <c r="CW142" s="22">
        <f t="shared" si="121"/>
        <v>641.0006119377133</v>
      </c>
      <c r="CX142" s="60">
        <f t="shared" si="122"/>
        <v>934.33394527104656</v>
      </c>
      <c r="CY142" s="60">
        <f ca="1">AVERAGE(OFFSET($CX$3,0,0,'Données projet'!$E$13+1,1))-AVERAGE(OFFSET($H$3,0,0,'Données projet'!$E$13+1,1))</f>
        <v>475.47920969424894</v>
      </c>
      <c r="CZ142" s="60">
        <f t="shared" si="150"/>
        <v>271.73544012419364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-5.6843418860808015E-14</v>
      </c>
      <c r="DP142" s="18">
        <f>DO142*VLOOKUP('Données projet'!$B$14,Paramètres!$A$1:$I$89,3,0)*VLOOKUP('Données projet'!$B$14,Paramètres!$A$1:$I$89,5,0)</f>
        <v>-2.6602720026858149E-14</v>
      </c>
      <c r="DQ142" s="14" t="e">
        <f t="shared" si="151"/>
        <v>#NUM!</v>
      </c>
      <c r="DR142" s="22" t="e">
        <f t="shared" si="124"/>
        <v>#NUM!</v>
      </c>
      <c r="DS142" s="60" t="e">
        <f t="shared" si="125"/>
        <v>#NUM!</v>
      </c>
      <c r="DT142" s="60">
        <f ca="1">AVERAGE(OFFSET($DS$3,0,0,'Données projet'!$E$14+1,1))-AVERAGE(OFFSET($H$3,0,0,'Données projet'!$E$14+1,1))</f>
        <v>284.71577701131588</v>
      </c>
      <c r="DU142" s="60">
        <f t="shared" si="152"/>
        <v>190.4880882944471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-1.7053025658242404E-13</v>
      </c>
      <c r="EK142" s="18">
        <f>EJ142*VLOOKUP('Données projet'!$B$15,Paramètres!$A$1:$I$89,3,0)*VLOOKUP('Données projet'!$B$15,Paramètres!$A$1:$I$89,5,0)</f>
        <v>-1.250327841262333E-13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290.85271051443431</v>
      </c>
      <c r="EP142" s="60">
        <f t="shared" si="154"/>
        <v>318.66958823451142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0">
        <f t="shared" si="109"/>
        <v>871.92783634091984</v>
      </c>
      <c r="S143" s="60">
        <f ca="1">AVERAGE(OFFSET($R$3,0,0,'Données projet'!$E$9+1,1))-AVERAGE(OFFSET($H$3,0,0,'Données projet'!$E$9+1,1))</f>
        <v>428.8489304403459</v>
      </c>
      <c r="T143" s="60">
        <f t="shared" si="142"/>
        <v>247.01165577562966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1.2710188457276673E-13</v>
      </c>
      <c r="AK143" s="14">
        <f t="shared" si="143"/>
        <v>1.856866851063998E-12</v>
      </c>
      <c r="AL143" s="22">
        <f t="shared" si="112"/>
        <v>3.4554122145673649E-12</v>
      </c>
      <c r="AM143" s="60">
        <f t="shared" si="113"/>
        <v>293.33333333333678</v>
      </c>
      <c r="AN143" s="60">
        <f ca="1">AVERAGE(OFFSET($AM$3,0,0,'Données projet'!$E$10+1,1))-AVERAGE(OFFSET($H$3,0,0,'Données projet'!$E$10+1,1))</f>
        <v>323.98185264074681</v>
      </c>
      <c r="AO143" s="60">
        <f t="shared" si="144"/>
        <v>301.22207291854005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0.50520371838109979</v>
      </c>
      <c r="AV143" s="23">
        <f>EXP(-LN(2)/25)*AV142+(1-EXP(-LN(2)/25))/(LN(2)/25)*Calculateur!AQ143*Calculateur!AS143*VLOOKUP('Données projet'!$B$10,Paramètres!$A$1:$I$89,3,0)*0.475*44/12</f>
        <v>0.39064277171758982</v>
      </c>
      <c r="AW143" s="23">
        <f>EXP(-LN(2)/2)*AW142+(1-EXP(-LN(2)/2))/(LN(2)/2)*AQ143*AT143*VLOOKUP('Données projet'!$B$10,Paramètres!$A$1:$I$89,3,0)*0.475*44/12</f>
        <v>1.6897059250725656E-16</v>
      </c>
      <c r="AX143" s="23">
        <f t="shared" si="114"/>
        <v>0.89584649009868977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-2.8421709430404007E-13</v>
      </c>
      <c r="BE143" s="14">
        <f>BD143*VLOOKUP('Données projet'!$B$11,Paramètres!$A$1:$I$89,3,0)*VLOOKUP('Données projet'!$B$11,Paramètres!$A$1:$I$89,5,0)</f>
        <v>-1.69961822393816E-13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289.12367833861299</v>
      </c>
      <c r="BJ143" s="60">
        <f t="shared" si="146"/>
        <v>229.06617320689003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1.1509779457367779E-16</v>
      </c>
      <c r="BS143" s="24">
        <f t="shared" si="117"/>
        <v>1.1509779457367779E-16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-1.7053025658242404E-13</v>
      </c>
      <c r="BZ143" s="14">
        <f>BY143*VLOOKUP('Données projet'!$B$12,Paramètres!$A$1:$I$89,3,0)*VLOOKUP('Données projet'!$B$12,Paramètres!$A$1:$I$89,5,0)</f>
        <v>-1.3567387213697657E-13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312.53381881960331</v>
      </c>
      <c r="CE143" s="60">
        <f t="shared" si="148"/>
        <v>342.06887933351783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300.14399999999927</v>
      </c>
      <c r="CV143" s="14">
        <f t="shared" si="149"/>
        <v>71.206650563609728</v>
      </c>
      <c r="CW143" s="22">
        <f t="shared" si="121"/>
        <v>646.76904973161891</v>
      </c>
      <c r="CX143" s="60">
        <f t="shared" si="122"/>
        <v>940.10238306495216</v>
      </c>
      <c r="CY143" s="60">
        <f ca="1">AVERAGE(OFFSET($CX$3,0,0,'Données projet'!$E$13+1,1))-AVERAGE(OFFSET($H$3,0,0,'Données projet'!$E$13+1,1))</f>
        <v>475.47920969424894</v>
      </c>
      <c r="CZ143" s="60">
        <f t="shared" si="150"/>
        <v>271.73544012419364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-5.6843418860808015E-14</v>
      </c>
      <c r="DP143" s="18">
        <f>DO143*VLOOKUP('Données projet'!$B$14,Paramètres!$A$1:$I$89,3,0)*VLOOKUP('Données projet'!$B$14,Paramètres!$A$1:$I$89,5,0)</f>
        <v>-2.6602720026858149E-14</v>
      </c>
      <c r="DQ143" s="14" t="e">
        <f t="shared" si="151"/>
        <v>#NUM!</v>
      </c>
      <c r="DR143" s="22" t="e">
        <f t="shared" si="124"/>
        <v>#NUM!</v>
      </c>
      <c r="DS143" s="60" t="e">
        <f t="shared" si="125"/>
        <v>#NUM!</v>
      </c>
      <c r="DT143" s="60">
        <f ca="1">AVERAGE(OFFSET($DS$3,0,0,'Données projet'!$E$14+1,1))-AVERAGE(OFFSET($H$3,0,0,'Données projet'!$E$14+1,1))</f>
        <v>284.71577701131588</v>
      </c>
      <c r="DU143" s="60">
        <f t="shared" si="152"/>
        <v>190.4880882944471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-1.7053025658242404E-13</v>
      </c>
      <c r="EK143" s="18">
        <f>EJ143*VLOOKUP('Données projet'!$B$15,Paramètres!$A$1:$I$89,3,0)*VLOOKUP('Données projet'!$B$15,Paramètres!$A$1:$I$89,5,0)</f>
        <v>-1.250327841262333E-13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290.85271051443431</v>
      </c>
      <c r="EP143" s="60">
        <f t="shared" si="154"/>
        <v>318.66958823451142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0">
        <f t="shared" si="109"/>
        <v>824.88563895074731</v>
      </c>
      <c r="S144" s="60">
        <f ca="1">AVERAGE(OFFSET($R$3,0,0,'Données projet'!$E$9+1,1))-AVERAGE(OFFSET($H$3,0,0,'Données projet'!$E$9+1,1))</f>
        <v>428.8489304403459</v>
      </c>
      <c r="T144" s="60">
        <f t="shared" si="142"/>
        <v>247.01165577562966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1.2710188457276673E-13</v>
      </c>
      <c r="AK144" s="14">
        <f t="shared" si="143"/>
        <v>1.856866851063998E-12</v>
      </c>
      <c r="AL144" s="22">
        <f t="shared" si="112"/>
        <v>3.4554122145673649E-12</v>
      </c>
      <c r="AM144" s="60">
        <f t="shared" si="113"/>
        <v>293.33333333333678</v>
      </c>
      <c r="AN144" s="60">
        <f ca="1">AVERAGE(OFFSET($AM$3,0,0,'Données projet'!$E$10+1,1))-AVERAGE(OFFSET($H$3,0,0,'Données projet'!$E$10+1,1))</f>
        <v>323.98185264074681</v>
      </c>
      <c r="AO144" s="60">
        <f t="shared" si="144"/>
        <v>301.22207291854005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0.49529698160748797</v>
      </c>
      <c r="AV144" s="23">
        <f>EXP(-LN(2)/25)*AV143+(1-EXP(-LN(2)/25))/(LN(2)/25)*Calculateur!AQ144*Calculateur!AS144*VLOOKUP('Données projet'!$B$10,Paramètres!$A$1:$I$89,3,0)*0.475*44/12</f>
        <v>0.37996062458196178</v>
      </c>
      <c r="AW144" s="23">
        <f>EXP(-LN(2)/2)*AW143+(1-EXP(-LN(2)/2))/(LN(2)/2)*AQ144*AT144*VLOOKUP('Données projet'!$B$10,Paramètres!$A$1:$I$89,3,0)*0.475*44/12</f>
        <v>1.1948025178298995E-16</v>
      </c>
      <c r="AX144" s="23">
        <f t="shared" si="114"/>
        <v>0.87525760618944981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-2.8421709430404007E-13</v>
      </c>
      <c r="BE144" s="14">
        <f>BD144*VLOOKUP('Données projet'!$B$11,Paramètres!$A$1:$I$89,3,0)*VLOOKUP('Données projet'!$B$11,Paramètres!$A$1:$I$89,5,0)</f>
        <v>-1.69961822393816E-13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289.12367833861299</v>
      </c>
      <c r="BJ144" s="60">
        <f t="shared" si="146"/>
        <v>229.06617320689003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8.1386431042663778E-17</v>
      </c>
      <c r="BS144" s="24">
        <f t="shared" si="117"/>
        <v>8.1386431042663778E-17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-1.7053025658242404E-13</v>
      </c>
      <c r="BZ144" s="14">
        <f>BY144*VLOOKUP('Données projet'!$B$12,Paramètres!$A$1:$I$89,3,0)*VLOOKUP('Données projet'!$B$12,Paramètres!$A$1:$I$89,5,0)</f>
        <v>-1.3567387213697657E-13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312.53381881960331</v>
      </c>
      <c r="CE144" s="60">
        <f t="shared" si="148"/>
        <v>342.06887933351783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275.19959999999924</v>
      </c>
      <c r="CV144" s="14">
        <f t="shared" si="149"/>
        <v>65.951527620662489</v>
      </c>
      <c r="CW144" s="22">
        <f t="shared" si="121"/>
        <v>594.17154727265245</v>
      </c>
      <c r="CX144" s="60">
        <f t="shared" si="122"/>
        <v>887.50488060598582</v>
      </c>
      <c r="CY144" s="60">
        <f ca="1">AVERAGE(OFFSET($CX$3,0,0,'Données projet'!$E$13+1,1))-AVERAGE(OFFSET($H$3,0,0,'Données projet'!$E$13+1,1))</f>
        <v>475.47920969424894</v>
      </c>
      <c r="CZ144" s="60">
        <f t="shared" si="150"/>
        <v>271.73544012419364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-5.6843418860808015E-14</v>
      </c>
      <c r="DP144" s="18">
        <f>DO144*VLOOKUP('Données projet'!$B$14,Paramètres!$A$1:$I$89,3,0)*VLOOKUP('Données projet'!$B$14,Paramètres!$A$1:$I$89,5,0)</f>
        <v>-2.6602720026858149E-14</v>
      </c>
      <c r="DQ144" s="14" t="e">
        <f t="shared" si="151"/>
        <v>#NUM!</v>
      </c>
      <c r="DR144" s="22" t="e">
        <f t="shared" si="124"/>
        <v>#NUM!</v>
      </c>
      <c r="DS144" s="60" t="e">
        <f t="shared" si="125"/>
        <v>#NUM!</v>
      </c>
      <c r="DT144" s="60">
        <f ca="1">AVERAGE(OFFSET($DS$3,0,0,'Données projet'!$E$14+1,1))-AVERAGE(OFFSET($H$3,0,0,'Données projet'!$E$14+1,1))</f>
        <v>284.71577701131588</v>
      </c>
      <c r="DU144" s="60">
        <f t="shared" si="152"/>
        <v>190.4880882944471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-1.7053025658242404E-13</v>
      </c>
      <c r="EK144" s="18">
        <f>EJ144*VLOOKUP('Données projet'!$B$15,Paramètres!$A$1:$I$89,3,0)*VLOOKUP('Données projet'!$B$15,Paramètres!$A$1:$I$89,5,0)</f>
        <v>-1.250327841262333E-13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290.85271051443431</v>
      </c>
      <c r="EP144" s="60">
        <f t="shared" si="154"/>
        <v>318.66958823451142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0">
        <f t="shared" si="109"/>
        <v>829.47884870108419</v>
      </c>
      <c r="S145" s="60">
        <f ca="1">AVERAGE(OFFSET($R$3,0,0,'Données projet'!$E$9+1,1))-AVERAGE(OFFSET($H$3,0,0,'Données projet'!$E$9+1,1))</f>
        <v>428.8489304403459</v>
      </c>
      <c r="T145" s="60">
        <f t="shared" si="142"/>
        <v>247.01165577562966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1.2710188457276673E-13</v>
      </c>
      <c r="AK145" s="14">
        <f t="shared" si="143"/>
        <v>1.856866851063998E-12</v>
      </c>
      <c r="AL145" s="22">
        <f t="shared" si="112"/>
        <v>3.4554122145673649E-12</v>
      </c>
      <c r="AM145" s="60">
        <f t="shared" si="113"/>
        <v>293.33333333333678</v>
      </c>
      <c r="AN145" s="60">
        <f ca="1">AVERAGE(OFFSET($AM$3,0,0,'Données projet'!$E$10+1,1))-AVERAGE(OFFSET($H$3,0,0,'Données projet'!$E$10+1,1))</f>
        <v>323.98185264074681</v>
      </c>
      <c r="AO145" s="60">
        <f t="shared" si="144"/>
        <v>301.22207291854005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0.48558450989949387</v>
      </c>
      <c r="AV145" s="23">
        <f>EXP(-LN(2)/25)*AV144+(1-EXP(-LN(2)/25))/(LN(2)/25)*Calculateur!AQ145*Calculateur!AS145*VLOOKUP('Données projet'!$B$10,Paramètres!$A$1:$I$89,3,0)*0.475*44/12</f>
        <v>0.36957058132150722</v>
      </c>
      <c r="AW145" s="23">
        <f>EXP(-LN(2)/2)*AW144+(1-EXP(-LN(2)/2))/(LN(2)/2)*AQ145*AT145*VLOOKUP('Données projet'!$B$10,Paramètres!$A$1:$I$89,3,0)*0.475*44/12</f>
        <v>8.4485296253628282E-17</v>
      </c>
      <c r="AX145" s="23">
        <f t="shared" si="114"/>
        <v>0.8551550912210012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-2.8421709430404007E-13</v>
      </c>
      <c r="BE145" s="14">
        <f>BD145*VLOOKUP('Données projet'!$B$11,Paramètres!$A$1:$I$89,3,0)*VLOOKUP('Données projet'!$B$11,Paramètres!$A$1:$I$89,5,0)</f>
        <v>-1.69961822393816E-13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289.12367833861299</v>
      </c>
      <c r="BJ145" s="60">
        <f t="shared" si="146"/>
        <v>229.06617320689003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5.7548897286838894E-17</v>
      </c>
      <c r="BS145" s="24">
        <f t="shared" si="117"/>
        <v>5.7548897286838894E-17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-1.7053025658242404E-13</v>
      </c>
      <c r="BZ145" s="14">
        <f>BY145*VLOOKUP('Données projet'!$B$12,Paramètres!$A$1:$I$89,3,0)*VLOOKUP('Données projet'!$B$12,Paramètres!$A$1:$I$89,5,0)</f>
        <v>-1.3567387213697657E-13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312.53381881960331</v>
      </c>
      <c r="CE145" s="60">
        <f t="shared" si="148"/>
        <v>342.06887933351783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277.63319999999919</v>
      </c>
      <c r="CV145" s="14">
        <f t="shared" si="149"/>
        <v>66.466589162975524</v>
      </c>
      <c r="CW145" s="22">
        <f t="shared" si="121"/>
        <v>599.30713279218094</v>
      </c>
      <c r="CX145" s="60">
        <f t="shared" si="122"/>
        <v>892.64046612551419</v>
      </c>
      <c r="CY145" s="60">
        <f ca="1">AVERAGE(OFFSET($CX$3,0,0,'Données projet'!$E$13+1,1))-AVERAGE(OFFSET($H$3,0,0,'Données projet'!$E$13+1,1))</f>
        <v>475.47920969424894</v>
      </c>
      <c r="CZ145" s="60">
        <f t="shared" si="150"/>
        <v>271.73544012419364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-5.6843418860808015E-14</v>
      </c>
      <c r="DP145" s="18">
        <f>DO145*VLOOKUP('Données projet'!$B$14,Paramètres!$A$1:$I$89,3,0)*VLOOKUP('Données projet'!$B$14,Paramètres!$A$1:$I$89,5,0)</f>
        <v>-2.6602720026858149E-14</v>
      </c>
      <c r="DQ145" s="14" t="e">
        <f t="shared" si="151"/>
        <v>#NUM!</v>
      </c>
      <c r="DR145" s="22" t="e">
        <f t="shared" si="124"/>
        <v>#NUM!</v>
      </c>
      <c r="DS145" s="60" t="e">
        <f t="shared" si="125"/>
        <v>#NUM!</v>
      </c>
      <c r="DT145" s="60">
        <f ca="1">AVERAGE(OFFSET($DS$3,0,0,'Données projet'!$E$14+1,1))-AVERAGE(OFFSET($H$3,0,0,'Données projet'!$E$14+1,1))</f>
        <v>284.71577701131588</v>
      </c>
      <c r="DU145" s="60">
        <f t="shared" si="152"/>
        <v>190.4880882944471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-1.7053025658242404E-13</v>
      </c>
      <c r="EK145" s="18">
        <f>EJ145*VLOOKUP('Données projet'!$B$15,Paramètres!$A$1:$I$89,3,0)*VLOOKUP('Données projet'!$B$15,Paramètres!$A$1:$I$89,5,0)</f>
        <v>-1.250327841262333E-13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290.85271051443431</v>
      </c>
      <c r="EP145" s="60">
        <f t="shared" si="154"/>
        <v>318.66958823451142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0">
        <f t="shared" si="109"/>
        <v>834.07123124476584</v>
      </c>
      <c r="S146" s="60">
        <f ca="1">AVERAGE(OFFSET($R$3,0,0,'Données projet'!$E$9+1,1))-AVERAGE(OFFSET($H$3,0,0,'Données projet'!$E$9+1,1))</f>
        <v>428.8489304403459</v>
      </c>
      <c r="T146" s="60">
        <f t="shared" si="142"/>
        <v>247.01165577562966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1.2710188457276673E-13</v>
      </c>
      <c r="AK146" s="14">
        <f t="shared" si="143"/>
        <v>1.856866851063998E-12</v>
      </c>
      <c r="AL146" s="22">
        <f t="shared" si="112"/>
        <v>3.4554122145673649E-12</v>
      </c>
      <c r="AM146" s="60">
        <f t="shared" si="113"/>
        <v>293.33333333333678</v>
      </c>
      <c r="AN146" s="60">
        <f ca="1">AVERAGE(OFFSET($AM$3,0,0,'Données projet'!$E$10+1,1))-AVERAGE(OFFSET($H$3,0,0,'Données projet'!$E$10+1,1))</f>
        <v>323.98185264074681</v>
      </c>
      <c r="AO146" s="60">
        <f t="shared" si="144"/>
        <v>301.22207291854005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0.47606249383767074</v>
      </c>
      <c r="AV146" s="23">
        <f>EXP(-LN(2)/25)*AV145+(1-EXP(-LN(2)/25))/(LN(2)/25)*Calculateur!AQ146*Calculateur!AS146*VLOOKUP('Données projet'!$B$10,Paramètres!$A$1:$I$89,3,0)*0.475*44/12</f>
        <v>0.35946465434039837</v>
      </c>
      <c r="AW146" s="23">
        <f>EXP(-LN(2)/2)*AW145+(1-EXP(-LN(2)/2))/(LN(2)/2)*AQ146*AT146*VLOOKUP('Données projet'!$B$10,Paramètres!$A$1:$I$89,3,0)*0.475*44/12</f>
        <v>5.9740125891494975E-17</v>
      </c>
      <c r="AX146" s="23">
        <f t="shared" si="114"/>
        <v>0.83552714817806917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-2.8421709430404007E-13</v>
      </c>
      <c r="BE146" s="14">
        <f>BD146*VLOOKUP('Données projet'!$B$11,Paramètres!$A$1:$I$89,3,0)*VLOOKUP('Données projet'!$B$11,Paramètres!$A$1:$I$89,5,0)</f>
        <v>-1.69961822393816E-13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289.12367833861299</v>
      </c>
      <c r="BJ146" s="60">
        <f t="shared" si="146"/>
        <v>229.06617320689003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4.0693215521331889E-17</v>
      </c>
      <c r="BS146" s="24">
        <f t="shared" si="117"/>
        <v>4.0693215521331889E-17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-1.7053025658242404E-13</v>
      </c>
      <c r="BZ146" s="14">
        <f>BY146*VLOOKUP('Données projet'!$B$12,Paramètres!$A$1:$I$89,3,0)*VLOOKUP('Données projet'!$B$12,Paramètres!$A$1:$I$89,5,0)</f>
        <v>-1.3567387213697657E-13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312.53381881960331</v>
      </c>
      <c r="CE146" s="60">
        <f t="shared" si="148"/>
        <v>342.06887933351783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280.0667999999992</v>
      </c>
      <c r="CV146" s="14">
        <f t="shared" si="149"/>
        <v>66.981125445388756</v>
      </c>
      <c r="CW146" s="22">
        <f t="shared" si="121"/>
        <v>604.44180348405064</v>
      </c>
      <c r="CX146" s="60">
        <f t="shared" si="122"/>
        <v>897.77513681738401</v>
      </c>
      <c r="CY146" s="60">
        <f ca="1">AVERAGE(OFFSET($CX$3,0,0,'Données projet'!$E$13+1,1))-AVERAGE(OFFSET($H$3,0,0,'Données projet'!$E$13+1,1))</f>
        <v>475.47920969424894</v>
      </c>
      <c r="CZ146" s="60">
        <f t="shared" si="150"/>
        <v>271.73544012419364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-5.6843418860808015E-14</v>
      </c>
      <c r="DP146" s="18">
        <f>DO146*VLOOKUP('Données projet'!$B$14,Paramètres!$A$1:$I$89,3,0)*VLOOKUP('Données projet'!$B$14,Paramètres!$A$1:$I$89,5,0)</f>
        <v>-2.6602720026858149E-14</v>
      </c>
      <c r="DQ146" s="14" t="e">
        <f t="shared" si="151"/>
        <v>#NUM!</v>
      </c>
      <c r="DR146" s="22" t="e">
        <f t="shared" si="124"/>
        <v>#NUM!</v>
      </c>
      <c r="DS146" s="60" t="e">
        <f t="shared" si="125"/>
        <v>#NUM!</v>
      </c>
      <c r="DT146" s="60">
        <f ca="1">AVERAGE(OFFSET($DS$3,0,0,'Données projet'!$E$14+1,1))-AVERAGE(OFFSET($H$3,0,0,'Données projet'!$E$14+1,1))</f>
        <v>284.71577701131588</v>
      </c>
      <c r="DU146" s="60">
        <f t="shared" si="152"/>
        <v>190.4880882944471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-1.7053025658242404E-13</v>
      </c>
      <c r="EK146" s="18">
        <f>EJ146*VLOOKUP('Données projet'!$B$15,Paramètres!$A$1:$I$89,3,0)*VLOOKUP('Données projet'!$B$15,Paramètres!$A$1:$I$89,5,0)</f>
        <v>-1.250327841262333E-13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290.85271051443431</v>
      </c>
      <c r="EP146" s="60">
        <f t="shared" si="154"/>
        <v>318.66958823451142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0">
        <f t="shared" si="109"/>
        <v>838.66279460250166</v>
      </c>
      <c r="S147" s="60">
        <f ca="1">AVERAGE(OFFSET($R$3,0,0,'Données projet'!$E$9+1,1))-AVERAGE(OFFSET($H$3,0,0,'Données projet'!$E$9+1,1))</f>
        <v>428.8489304403459</v>
      </c>
      <c r="T147" s="60">
        <f t="shared" si="142"/>
        <v>247.01165577562966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1.2710188457276673E-13</v>
      </c>
      <c r="AK147" s="14">
        <f t="shared" si="143"/>
        <v>1.856866851063998E-12</v>
      </c>
      <c r="AL147" s="22">
        <f t="shared" si="112"/>
        <v>3.4554122145673649E-12</v>
      </c>
      <c r="AM147" s="60">
        <f t="shared" si="113"/>
        <v>293.33333333333678</v>
      </c>
      <c r="AN147" s="60">
        <f ca="1">AVERAGE(OFFSET($AM$3,0,0,'Données projet'!$E$10+1,1))-AVERAGE(OFFSET($H$3,0,0,'Données projet'!$E$10+1,1))</f>
        <v>323.98185264074681</v>
      </c>
      <c r="AO147" s="60">
        <f t="shared" si="144"/>
        <v>301.22207291854005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0.46672719870296364</v>
      </c>
      <c r="AV147" s="23">
        <f>EXP(-LN(2)/25)*AV146+(1-EXP(-LN(2)/25))/(LN(2)/25)*Calculateur!AQ147*Calculateur!AS147*VLOOKUP('Données projet'!$B$10,Paramètres!$A$1:$I$89,3,0)*0.475*44/12</f>
        <v>0.34963507446403558</v>
      </c>
      <c r="AW147" s="23">
        <f>EXP(-LN(2)/2)*AW146+(1-EXP(-LN(2)/2))/(LN(2)/2)*AQ147*AT147*VLOOKUP('Données projet'!$B$10,Paramètres!$A$1:$I$89,3,0)*0.475*44/12</f>
        <v>4.2242648126814141E-17</v>
      </c>
      <c r="AX147" s="23">
        <f t="shared" si="114"/>
        <v>0.81636227316699927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-2.8421709430404007E-13</v>
      </c>
      <c r="BE147" s="14">
        <f>BD147*VLOOKUP('Données projet'!$B$11,Paramètres!$A$1:$I$89,3,0)*VLOOKUP('Données projet'!$B$11,Paramètres!$A$1:$I$89,5,0)</f>
        <v>-1.69961822393816E-13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289.12367833861299</v>
      </c>
      <c r="BJ147" s="60">
        <f t="shared" si="146"/>
        <v>229.06617320689003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2.8774448643419447E-17</v>
      </c>
      <c r="BS147" s="24">
        <f t="shared" si="117"/>
        <v>2.8774448643419447E-17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-1.7053025658242404E-13</v>
      </c>
      <c r="BZ147" s="14">
        <f>BY147*VLOOKUP('Données projet'!$B$12,Paramètres!$A$1:$I$89,3,0)*VLOOKUP('Données projet'!$B$12,Paramètres!$A$1:$I$89,5,0)</f>
        <v>-1.3567387213697657E-13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312.53381881960331</v>
      </c>
      <c r="CE147" s="60">
        <f t="shared" si="148"/>
        <v>342.06887933351783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282.50039999999916</v>
      </c>
      <c r="CV147" s="14">
        <f t="shared" si="149"/>
        <v>67.495141560894254</v>
      </c>
      <c r="CW147" s="22">
        <f t="shared" si="121"/>
        <v>609.57556821855599</v>
      </c>
      <c r="CX147" s="60">
        <f t="shared" si="122"/>
        <v>902.90890155188936</v>
      </c>
      <c r="CY147" s="60">
        <f ca="1">AVERAGE(OFFSET($CX$3,0,0,'Données projet'!$E$13+1,1))-AVERAGE(OFFSET($H$3,0,0,'Données projet'!$E$13+1,1))</f>
        <v>475.47920969424894</v>
      </c>
      <c r="CZ147" s="60">
        <f t="shared" si="150"/>
        <v>271.73544012419364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-5.6843418860808015E-14</v>
      </c>
      <c r="DP147" s="18">
        <f>DO147*VLOOKUP('Données projet'!$B$14,Paramètres!$A$1:$I$89,3,0)*VLOOKUP('Données projet'!$B$14,Paramètres!$A$1:$I$89,5,0)</f>
        <v>-2.6602720026858149E-14</v>
      </c>
      <c r="DQ147" s="14" t="e">
        <f t="shared" si="151"/>
        <v>#NUM!</v>
      </c>
      <c r="DR147" s="22" t="e">
        <f t="shared" si="124"/>
        <v>#NUM!</v>
      </c>
      <c r="DS147" s="60" t="e">
        <f t="shared" si="125"/>
        <v>#NUM!</v>
      </c>
      <c r="DT147" s="60">
        <f ca="1">AVERAGE(OFFSET($DS$3,0,0,'Données projet'!$E$14+1,1))-AVERAGE(OFFSET($H$3,0,0,'Données projet'!$E$14+1,1))</f>
        <v>284.71577701131588</v>
      </c>
      <c r="DU147" s="60">
        <f t="shared" si="152"/>
        <v>190.4880882944471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-1.7053025658242404E-13</v>
      </c>
      <c r="EK147" s="18">
        <f>EJ147*VLOOKUP('Données projet'!$B$15,Paramètres!$A$1:$I$89,3,0)*VLOOKUP('Données projet'!$B$15,Paramètres!$A$1:$I$89,5,0)</f>
        <v>-1.250327841262333E-13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290.85271051443431</v>
      </c>
      <c r="EP147" s="60">
        <f t="shared" si="154"/>
        <v>318.66958823451142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0">
        <f t="shared" si="109"/>
        <v>843.25354664883753</v>
      </c>
      <c r="S148" s="60">
        <f ca="1">AVERAGE(OFFSET($R$3,0,0,'Données projet'!$E$9+1,1))-AVERAGE(OFFSET($H$3,0,0,'Données projet'!$E$9+1,1))</f>
        <v>428.8489304403459</v>
      </c>
      <c r="T148" s="60">
        <f t="shared" si="142"/>
        <v>247.01165577562966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1.2710188457276673E-13</v>
      </c>
      <c r="AK148" s="14">
        <f t="shared" si="143"/>
        <v>1.856866851063998E-12</v>
      </c>
      <c r="AL148" s="22">
        <f t="shared" si="112"/>
        <v>3.4554122145673649E-12</v>
      </c>
      <c r="AM148" s="60">
        <f t="shared" si="113"/>
        <v>293.33333333333678</v>
      </c>
      <c r="AN148" s="60">
        <f ca="1">AVERAGE(OFFSET($AM$3,0,0,'Données projet'!$E$10+1,1))-AVERAGE(OFFSET($H$3,0,0,'Données projet'!$E$10+1,1))</f>
        <v>323.98185264074681</v>
      </c>
      <c r="AO148" s="60">
        <f t="shared" si="144"/>
        <v>301.22207291854005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0.45757496301188039</v>
      </c>
      <c r="AV148" s="23">
        <f>EXP(-LN(2)/25)*AV147+(1-EXP(-LN(2)/25))/(LN(2)/25)*Calculateur!AQ148*Calculateur!AS148*VLOOKUP('Données projet'!$B$10,Paramètres!$A$1:$I$89,3,0)*0.475*44/12</f>
        <v>0.34007428496630704</v>
      </c>
      <c r="AW148" s="23">
        <f>EXP(-LN(2)/2)*AW147+(1-EXP(-LN(2)/2))/(LN(2)/2)*AQ148*AT148*VLOOKUP('Données projet'!$B$10,Paramètres!$A$1:$I$89,3,0)*0.475*44/12</f>
        <v>2.9870062945747488E-17</v>
      </c>
      <c r="AX148" s="23">
        <f t="shared" si="114"/>
        <v>0.79764924797818737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-2.8421709430404007E-13</v>
      </c>
      <c r="BE148" s="14">
        <f>BD148*VLOOKUP('Données projet'!$B$11,Paramètres!$A$1:$I$89,3,0)*VLOOKUP('Données projet'!$B$11,Paramètres!$A$1:$I$89,5,0)</f>
        <v>-1.69961822393816E-13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289.12367833861299</v>
      </c>
      <c r="BJ148" s="60">
        <f t="shared" si="146"/>
        <v>229.06617320689003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2.0346607760665945E-17</v>
      </c>
      <c r="BS148" s="24">
        <f t="shared" si="117"/>
        <v>2.0346607760665945E-17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-1.7053025658242404E-13</v>
      </c>
      <c r="BZ148" s="14">
        <f>BY148*VLOOKUP('Données projet'!$B$12,Paramètres!$A$1:$I$89,3,0)*VLOOKUP('Données projet'!$B$12,Paramètres!$A$1:$I$89,5,0)</f>
        <v>-1.3567387213697657E-13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312.53381881960331</v>
      </c>
      <c r="CE148" s="60">
        <f t="shared" si="148"/>
        <v>342.06887933351783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284.93399999999917</v>
      </c>
      <c r="CV148" s="14">
        <f t="shared" si="149"/>
        <v>68.008642509673109</v>
      </c>
      <c r="CW148" s="22">
        <f t="shared" si="121"/>
        <v>614.7084357043459</v>
      </c>
      <c r="CX148" s="60">
        <f t="shared" si="122"/>
        <v>908.04176903767916</v>
      </c>
      <c r="CY148" s="60">
        <f ca="1">AVERAGE(OFFSET($CX$3,0,0,'Données projet'!$E$13+1,1))-AVERAGE(OFFSET($H$3,0,0,'Données projet'!$E$13+1,1))</f>
        <v>475.47920969424894</v>
      </c>
      <c r="CZ148" s="60">
        <f t="shared" si="150"/>
        <v>271.73544012419364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-5.6843418860808015E-14</v>
      </c>
      <c r="DP148" s="18">
        <f>DO148*VLOOKUP('Données projet'!$B$14,Paramètres!$A$1:$I$89,3,0)*VLOOKUP('Données projet'!$B$14,Paramètres!$A$1:$I$89,5,0)</f>
        <v>-2.6602720026858149E-14</v>
      </c>
      <c r="DQ148" s="14" t="e">
        <f t="shared" si="151"/>
        <v>#NUM!</v>
      </c>
      <c r="DR148" s="22" t="e">
        <f t="shared" si="124"/>
        <v>#NUM!</v>
      </c>
      <c r="DS148" s="60" t="e">
        <f t="shared" si="125"/>
        <v>#NUM!</v>
      </c>
      <c r="DT148" s="60">
        <f ca="1">AVERAGE(OFFSET($DS$3,0,0,'Données projet'!$E$14+1,1))-AVERAGE(OFFSET($H$3,0,0,'Données projet'!$E$14+1,1))</f>
        <v>284.71577701131588</v>
      </c>
      <c r="DU148" s="60">
        <f t="shared" si="152"/>
        <v>190.4880882944471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-1.7053025658242404E-13</v>
      </c>
      <c r="EK148" s="18">
        <f>EJ148*VLOOKUP('Données projet'!$B$15,Paramètres!$A$1:$I$89,3,0)*VLOOKUP('Données projet'!$B$15,Paramètres!$A$1:$I$89,5,0)</f>
        <v>-1.250327841262333E-13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290.85271051443431</v>
      </c>
      <c r="EP148" s="60">
        <f t="shared" si="154"/>
        <v>318.66958823451142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0">
        <f t="shared" si="109"/>
        <v>847.84349511604432</v>
      </c>
      <c r="S149" s="60">
        <f ca="1">AVERAGE(OFFSET($R$3,0,0,'Données projet'!$E$9+1,1))-AVERAGE(OFFSET($H$3,0,0,'Données projet'!$E$9+1,1))</f>
        <v>428.8489304403459</v>
      </c>
      <c r="T149" s="60">
        <f t="shared" si="142"/>
        <v>247.01165577562966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1.2710188457276673E-13</v>
      </c>
      <c r="AK149" s="14">
        <f t="shared" si="143"/>
        <v>1.856866851063998E-12</v>
      </c>
      <c r="AL149" s="22">
        <f t="shared" si="112"/>
        <v>3.4554122145673649E-12</v>
      </c>
      <c r="AM149" s="60">
        <f t="shared" si="113"/>
        <v>293.33333333333678</v>
      </c>
      <c r="AN149" s="60">
        <f ca="1">AVERAGE(OFFSET($AM$3,0,0,'Données projet'!$E$10+1,1))-AVERAGE(OFFSET($H$3,0,0,'Données projet'!$E$10+1,1))</f>
        <v>323.98185264074681</v>
      </c>
      <c r="AO149" s="60">
        <f t="shared" si="144"/>
        <v>301.22207291854005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0.44860219708038668</v>
      </c>
      <c r="AV149" s="23">
        <f>EXP(-LN(2)/25)*AV148+(1-EXP(-LN(2)/25))/(LN(2)/25)*Calculateur!AQ149*Calculateur!AS149*VLOOKUP('Données projet'!$B$10,Paramètres!$A$1:$I$89,3,0)*0.475*44/12</f>
        <v>0.33077493576017397</v>
      </c>
      <c r="AW149" s="23">
        <f>EXP(-LN(2)/2)*AW148+(1-EXP(-LN(2)/2))/(LN(2)/2)*AQ149*AT149*VLOOKUP('Données projet'!$B$10,Paramètres!$A$1:$I$89,3,0)*0.475*44/12</f>
        <v>2.112132406340707E-17</v>
      </c>
      <c r="AX149" s="23">
        <f t="shared" si="114"/>
        <v>0.77937713284056065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-2.8421709430404007E-13</v>
      </c>
      <c r="BE149" s="14">
        <f>BD149*VLOOKUP('Données projet'!$B$11,Paramètres!$A$1:$I$89,3,0)*VLOOKUP('Données projet'!$B$11,Paramètres!$A$1:$I$89,5,0)</f>
        <v>-1.69961822393816E-13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289.12367833861299</v>
      </c>
      <c r="BJ149" s="60">
        <f t="shared" si="146"/>
        <v>229.06617320689003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1.4387224321709724E-17</v>
      </c>
      <c r="BS149" s="24">
        <f t="shared" si="117"/>
        <v>1.4387224321709724E-17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-1.7053025658242404E-13</v>
      </c>
      <c r="BZ149" s="14">
        <f>BY149*VLOOKUP('Données projet'!$B$12,Paramètres!$A$1:$I$89,3,0)*VLOOKUP('Données projet'!$B$12,Paramètres!$A$1:$I$89,5,0)</f>
        <v>-1.3567387213697657E-13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312.53381881960331</v>
      </c>
      <c r="CE149" s="60">
        <f t="shared" si="148"/>
        <v>342.06887933351783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287.36759999999913</v>
      </c>
      <c r="CV149" s="14">
        <f t="shared" si="149"/>
        <v>68.521633201564995</v>
      </c>
      <c r="CW149" s="22">
        <f t="shared" si="121"/>
        <v>619.84041449272411</v>
      </c>
      <c r="CX149" s="60">
        <f t="shared" si="122"/>
        <v>913.17374782605748</v>
      </c>
      <c r="CY149" s="60">
        <f ca="1">AVERAGE(OFFSET($CX$3,0,0,'Données projet'!$E$13+1,1))-AVERAGE(OFFSET($H$3,0,0,'Données projet'!$E$13+1,1))</f>
        <v>475.47920969424894</v>
      </c>
      <c r="CZ149" s="60">
        <f t="shared" si="150"/>
        <v>271.73544012419364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-5.6843418860808015E-14</v>
      </c>
      <c r="DP149" s="18">
        <f>DO149*VLOOKUP('Données projet'!$B$14,Paramètres!$A$1:$I$89,3,0)*VLOOKUP('Données projet'!$B$14,Paramètres!$A$1:$I$89,5,0)</f>
        <v>-2.6602720026858149E-14</v>
      </c>
      <c r="DQ149" s="14" t="e">
        <f t="shared" si="151"/>
        <v>#NUM!</v>
      </c>
      <c r="DR149" s="22" t="e">
        <f t="shared" si="124"/>
        <v>#NUM!</v>
      </c>
      <c r="DS149" s="60" t="e">
        <f t="shared" si="125"/>
        <v>#NUM!</v>
      </c>
      <c r="DT149" s="60">
        <f ca="1">AVERAGE(OFFSET($DS$3,0,0,'Données projet'!$E$14+1,1))-AVERAGE(OFFSET($H$3,0,0,'Données projet'!$E$14+1,1))</f>
        <v>284.71577701131588</v>
      </c>
      <c r="DU149" s="60">
        <f t="shared" si="152"/>
        <v>190.4880882944471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-1.7053025658242404E-13</v>
      </c>
      <c r="EK149" s="18">
        <f>EJ149*VLOOKUP('Données projet'!$B$15,Paramètres!$A$1:$I$89,3,0)*VLOOKUP('Données projet'!$B$15,Paramètres!$A$1:$I$89,5,0)</f>
        <v>-1.250327841262333E-13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290.85271051443431</v>
      </c>
      <c r="EP149" s="60">
        <f t="shared" si="154"/>
        <v>318.66958823451142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0">
        <f t="shared" si="109"/>
        <v>852.43264759787166</v>
      </c>
      <c r="S150" s="60">
        <f ca="1">AVERAGE(OFFSET($R$3,0,0,'Données projet'!$E$9+1,1))-AVERAGE(OFFSET($H$3,0,0,'Données projet'!$E$9+1,1))</f>
        <v>428.8489304403459</v>
      </c>
      <c r="T150" s="60">
        <f t="shared" si="142"/>
        <v>247.01165577562966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1.2710188457276673E-13</v>
      </c>
      <c r="AK150" s="14">
        <f t="shared" si="143"/>
        <v>1.856866851063998E-12</v>
      </c>
      <c r="AL150" s="22">
        <f t="shared" si="112"/>
        <v>3.4554122145673649E-12</v>
      </c>
      <c r="AM150" s="60">
        <f t="shared" si="113"/>
        <v>293.33333333333678</v>
      </c>
      <c r="AN150" s="60">
        <f ca="1">AVERAGE(OFFSET($AM$3,0,0,'Données projet'!$E$10+1,1))-AVERAGE(OFFSET($H$3,0,0,'Données projet'!$E$10+1,1))</f>
        <v>323.98185264074681</v>
      </c>
      <c r="AO150" s="60">
        <f t="shared" si="144"/>
        <v>301.22207291854005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0.43980538161596278</v>
      </c>
      <c r="AV150" s="23">
        <f>EXP(-LN(2)/25)*AV149+(1-EXP(-LN(2)/25))/(LN(2)/25)*Calculateur!AQ150*Calculateur!AS150*VLOOKUP('Données projet'!$B$10,Paramètres!$A$1:$I$89,3,0)*0.475*44/12</f>
        <v>0.32172987774711415</v>
      </c>
      <c r="AW150" s="23">
        <f>EXP(-LN(2)/2)*AW149+(1-EXP(-LN(2)/2))/(LN(2)/2)*AQ150*AT150*VLOOKUP('Données projet'!$B$10,Paramètres!$A$1:$I$89,3,0)*0.475*44/12</f>
        <v>1.4935031472873744E-17</v>
      </c>
      <c r="AX150" s="23">
        <f t="shared" si="114"/>
        <v>0.76153525936307687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-2.8421709430404007E-13</v>
      </c>
      <c r="BE150" s="14">
        <f>BD150*VLOOKUP('Données projet'!$B$11,Paramètres!$A$1:$I$89,3,0)*VLOOKUP('Données projet'!$B$11,Paramètres!$A$1:$I$89,5,0)</f>
        <v>-1.69961822393816E-13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289.12367833861299</v>
      </c>
      <c r="BJ150" s="60">
        <f t="shared" si="146"/>
        <v>229.06617320689003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1.0173303880332972E-17</v>
      </c>
      <c r="BS150" s="24">
        <f t="shared" si="117"/>
        <v>1.0173303880332972E-17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-1.7053025658242404E-13</v>
      </c>
      <c r="BZ150" s="14">
        <f>BY150*VLOOKUP('Données projet'!$B$12,Paramètres!$A$1:$I$89,3,0)*VLOOKUP('Données projet'!$B$12,Paramètres!$A$1:$I$89,5,0)</f>
        <v>-1.3567387213697657E-13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312.53381881960331</v>
      </c>
      <c r="CE150" s="60">
        <f t="shared" si="148"/>
        <v>342.06887933351783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289.80119999999908</v>
      </c>
      <c r="CV150" s="14">
        <f t="shared" si="149"/>
        <v>69.034118458450664</v>
      </c>
      <c r="CW150" s="22">
        <f t="shared" si="121"/>
        <v>624.97151298179995</v>
      </c>
      <c r="CX150" s="60">
        <f t="shared" si="122"/>
        <v>918.30484631513332</v>
      </c>
      <c r="CY150" s="60">
        <f ca="1">AVERAGE(OFFSET($CX$3,0,0,'Données projet'!$E$13+1,1))-AVERAGE(OFFSET($H$3,0,0,'Données projet'!$E$13+1,1))</f>
        <v>475.47920969424894</v>
      </c>
      <c r="CZ150" s="60">
        <f t="shared" si="150"/>
        <v>271.73544012419364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-5.6843418860808015E-14</v>
      </c>
      <c r="DP150" s="18">
        <f>DO150*VLOOKUP('Données projet'!$B$14,Paramètres!$A$1:$I$89,3,0)*VLOOKUP('Données projet'!$B$14,Paramètres!$A$1:$I$89,5,0)</f>
        <v>-2.6602720026858149E-14</v>
      </c>
      <c r="DQ150" s="14" t="e">
        <f t="shared" si="151"/>
        <v>#NUM!</v>
      </c>
      <c r="DR150" s="22" t="e">
        <f t="shared" si="124"/>
        <v>#NUM!</v>
      </c>
      <c r="DS150" s="60" t="e">
        <f t="shared" si="125"/>
        <v>#NUM!</v>
      </c>
      <c r="DT150" s="60">
        <f ca="1">AVERAGE(OFFSET($DS$3,0,0,'Données projet'!$E$14+1,1))-AVERAGE(OFFSET($H$3,0,0,'Données projet'!$E$14+1,1))</f>
        <v>284.71577701131588</v>
      </c>
      <c r="DU150" s="60">
        <f t="shared" si="152"/>
        <v>190.4880882944471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-1.7053025658242404E-13</v>
      </c>
      <c r="EK150" s="18">
        <f>EJ150*VLOOKUP('Données projet'!$B$15,Paramètres!$A$1:$I$89,3,0)*VLOOKUP('Données projet'!$B$15,Paramètres!$A$1:$I$89,5,0)</f>
        <v>-1.250327841262333E-13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290.85271051443431</v>
      </c>
      <c r="EP150" s="60">
        <f t="shared" si="154"/>
        <v>318.66958823451142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0">
        <f t="shared" si="109"/>
        <v>857.02101155317064</v>
      </c>
      <c r="S151" s="60">
        <f ca="1">AVERAGE(OFFSET($R$3,0,0,'Données projet'!$E$9+1,1))-AVERAGE(OFFSET($H$3,0,0,'Données projet'!$E$9+1,1))</f>
        <v>428.8489304403459</v>
      </c>
      <c r="T151" s="60">
        <f t="shared" si="142"/>
        <v>247.01165577562966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1.2710188457276673E-13</v>
      </c>
      <c r="AK151" s="14">
        <f t="shared" si="143"/>
        <v>1.856866851063998E-12</v>
      </c>
      <c r="AL151" s="22">
        <f t="shared" si="112"/>
        <v>3.4554122145673649E-12</v>
      </c>
      <c r="AM151" s="60">
        <f t="shared" si="113"/>
        <v>293.33333333333678</v>
      </c>
      <c r="AN151" s="60">
        <f ca="1">AVERAGE(OFFSET($AM$3,0,0,'Données projet'!$E$10+1,1))-AVERAGE(OFFSET($H$3,0,0,'Données projet'!$E$10+1,1))</f>
        <v>323.98185264074681</v>
      </c>
      <c r="AO151" s="60">
        <f t="shared" si="144"/>
        <v>301.22207291854005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0.43118106633726855</v>
      </c>
      <c r="AV151" s="23">
        <f>EXP(-LN(2)/25)*AV150+(1-EXP(-LN(2)/25))/(LN(2)/25)*Calculateur!AQ151*Calculateur!AS151*VLOOKUP('Données projet'!$B$10,Paramètres!$A$1:$I$89,3,0)*0.475*44/12</f>
        <v>0.31293215732108037</v>
      </c>
      <c r="AW151" s="23">
        <f>EXP(-LN(2)/2)*AW150+(1-EXP(-LN(2)/2))/(LN(2)/2)*AQ151*AT151*VLOOKUP('Données projet'!$B$10,Paramètres!$A$1:$I$89,3,0)*0.475*44/12</f>
        <v>1.0560662031703535E-17</v>
      </c>
      <c r="AX151" s="23">
        <f t="shared" si="114"/>
        <v>0.74411322365834898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-2.8421709430404007E-13</v>
      </c>
      <c r="BE151" s="14">
        <f>BD151*VLOOKUP('Données projet'!$B$11,Paramètres!$A$1:$I$89,3,0)*VLOOKUP('Données projet'!$B$11,Paramètres!$A$1:$I$89,5,0)</f>
        <v>-1.69961822393816E-13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289.12367833861299</v>
      </c>
      <c r="BJ151" s="60">
        <f t="shared" si="146"/>
        <v>229.06617320689003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7.1936121608548618E-18</v>
      </c>
      <c r="BS151" s="24">
        <f t="shared" si="117"/>
        <v>7.1936121608548618E-18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-1.7053025658242404E-13</v>
      </c>
      <c r="BZ151" s="14">
        <f>BY151*VLOOKUP('Données projet'!$B$12,Paramètres!$A$1:$I$89,3,0)*VLOOKUP('Données projet'!$B$12,Paramètres!$A$1:$I$89,5,0)</f>
        <v>-1.3567387213697657E-13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312.53381881960331</v>
      </c>
      <c r="CE151" s="60">
        <f t="shared" si="148"/>
        <v>342.06887933351783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292.2347999999991</v>
      </c>
      <c r="CV151" s="14">
        <f t="shared" si="149"/>
        <v>69.546103016553573</v>
      </c>
      <c r="CW151" s="22">
        <f t="shared" si="121"/>
        <v>630.10173942049585</v>
      </c>
      <c r="CX151" s="60">
        <f t="shared" si="122"/>
        <v>923.43507275382922</v>
      </c>
      <c r="CY151" s="60">
        <f ca="1">AVERAGE(OFFSET($CX$3,0,0,'Données projet'!$E$13+1,1))-AVERAGE(OFFSET($H$3,0,0,'Données projet'!$E$13+1,1))</f>
        <v>475.47920969424894</v>
      </c>
      <c r="CZ151" s="60">
        <f t="shared" si="150"/>
        <v>271.73544012419364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-5.6843418860808015E-14</v>
      </c>
      <c r="DP151" s="18">
        <f>DO151*VLOOKUP('Données projet'!$B$14,Paramètres!$A$1:$I$89,3,0)*VLOOKUP('Données projet'!$B$14,Paramètres!$A$1:$I$89,5,0)</f>
        <v>-2.6602720026858149E-14</v>
      </c>
      <c r="DQ151" s="14" t="e">
        <f t="shared" si="151"/>
        <v>#NUM!</v>
      </c>
      <c r="DR151" s="22" t="e">
        <f t="shared" si="124"/>
        <v>#NUM!</v>
      </c>
      <c r="DS151" s="60" t="e">
        <f t="shared" si="125"/>
        <v>#NUM!</v>
      </c>
      <c r="DT151" s="60">
        <f ca="1">AVERAGE(OFFSET($DS$3,0,0,'Données projet'!$E$14+1,1))-AVERAGE(OFFSET($H$3,0,0,'Données projet'!$E$14+1,1))</f>
        <v>284.71577701131588</v>
      </c>
      <c r="DU151" s="60">
        <f t="shared" si="152"/>
        <v>190.4880882944471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-1.7053025658242404E-13</v>
      </c>
      <c r="EK151" s="18">
        <f>EJ151*VLOOKUP('Données projet'!$B$15,Paramètres!$A$1:$I$89,3,0)*VLOOKUP('Données projet'!$B$15,Paramètres!$A$1:$I$89,5,0)</f>
        <v>-1.250327841262333E-13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290.85271051443431</v>
      </c>
      <c r="EP151" s="60">
        <f t="shared" si="154"/>
        <v>318.66958823451142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0">
        <f t="shared" si="109"/>
        <v>861.60859430939354</v>
      </c>
      <c r="S152" s="60">
        <f ca="1">AVERAGE(OFFSET($R$3,0,0,'Données projet'!$E$9+1,1))-AVERAGE(OFFSET($H$3,0,0,'Données projet'!$E$9+1,1))</f>
        <v>428.8489304403459</v>
      </c>
      <c r="T152" s="60">
        <f t="shared" si="142"/>
        <v>247.01165577562966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1.2710188457276673E-13</v>
      </c>
      <c r="AK152" s="14">
        <f t="shared" si="143"/>
        <v>1.856866851063998E-12</v>
      </c>
      <c r="AL152" s="22">
        <f t="shared" si="112"/>
        <v>3.4554122145673649E-12</v>
      </c>
      <c r="AM152" s="60">
        <f t="shared" si="113"/>
        <v>293.33333333333678</v>
      </c>
      <c r="AN152" s="60">
        <f ca="1">AVERAGE(OFFSET($AM$3,0,0,'Données projet'!$E$10+1,1))-AVERAGE(OFFSET($H$3,0,0,'Données projet'!$E$10+1,1))</f>
        <v>323.98185264074681</v>
      </c>
      <c r="AO152" s="60">
        <f t="shared" si="144"/>
        <v>301.22207291854005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0.42272586862087663</v>
      </c>
      <c r="AV152" s="23">
        <f>EXP(-LN(2)/25)*AV151+(1-EXP(-LN(2)/25))/(LN(2)/25)*Calculateur!AQ152*Calculateur!AS152*VLOOKUP('Données projet'!$B$10,Paramètres!$A$1:$I$89,3,0)*0.475*44/12</f>
        <v>0.3043750110227485</v>
      </c>
      <c r="AW152" s="23">
        <f>EXP(-LN(2)/2)*AW151+(1-EXP(-LN(2)/2))/(LN(2)/2)*AQ152*AT152*VLOOKUP('Données projet'!$B$10,Paramètres!$A$1:$I$89,3,0)*0.475*44/12</f>
        <v>7.4675157364368719E-18</v>
      </c>
      <c r="AX152" s="23">
        <f t="shared" si="114"/>
        <v>0.72710087964362513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-2.8421709430404007E-13</v>
      </c>
      <c r="BE152" s="14">
        <f>BD152*VLOOKUP('Données projet'!$B$11,Paramètres!$A$1:$I$89,3,0)*VLOOKUP('Données projet'!$B$11,Paramètres!$A$1:$I$89,5,0)</f>
        <v>-1.69961822393816E-13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289.12367833861299</v>
      </c>
      <c r="BJ152" s="60">
        <f t="shared" si="146"/>
        <v>229.06617320689003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5.0866519401664861E-18</v>
      </c>
      <c r="BS152" s="24">
        <f t="shared" si="117"/>
        <v>5.0866519401664861E-18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-1.7053025658242404E-13</v>
      </c>
      <c r="BZ152" s="14">
        <f>BY152*VLOOKUP('Données projet'!$B$12,Paramètres!$A$1:$I$89,3,0)*VLOOKUP('Données projet'!$B$12,Paramètres!$A$1:$I$89,5,0)</f>
        <v>-1.3567387213697657E-13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312.53381881960331</v>
      </c>
      <c r="CE152" s="60">
        <f t="shared" si="148"/>
        <v>342.06887933351783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294.66839999999905</v>
      </c>
      <c r="CV152" s="14">
        <f t="shared" si="149"/>
        <v>70.057591528661362</v>
      </c>
      <c r="CW152" s="22">
        <f t="shared" si="121"/>
        <v>635.23110191241688</v>
      </c>
      <c r="CX152" s="60">
        <f t="shared" si="122"/>
        <v>928.56443524575025</v>
      </c>
      <c r="CY152" s="60">
        <f ca="1">AVERAGE(OFFSET($CX$3,0,0,'Données projet'!$E$13+1,1))-AVERAGE(OFFSET($H$3,0,0,'Données projet'!$E$13+1,1))</f>
        <v>475.47920969424894</v>
      </c>
      <c r="CZ152" s="60">
        <f t="shared" si="150"/>
        <v>271.73544012419364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-5.6843418860808015E-14</v>
      </c>
      <c r="DP152" s="18">
        <f>DO152*VLOOKUP('Données projet'!$B$14,Paramètres!$A$1:$I$89,3,0)*VLOOKUP('Données projet'!$B$14,Paramètres!$A$1:$I$89,5,0)</f>
        <v>-2.6602720026858149E-14</v>
      </c>
      <c r="DQ152" s="14" t="e">
        <f t="shared" si="151"/>
        <v>#NUM!</v>
      </c>
      <c r="DR152" s="22" t="e">
        <f t="shared" si="124"/>
        <v>#NUM!</v>
      </c>
      <c r="DS152" s="60" t="e">
        <f t="shared" si="125"/>
        <v>#NUM!</v>
      </c>
      <c r="DT152" s="60">
        <f ca="1">AVERAGE(OFFSET($DS$3,0,0,'Données projet'!$E$14+1,1))-AVERAGE(OFFSET($H$3,0,0,'Données projet'!$E$14+1,1))</f>
        <v>284.71577701131588</v>
      </c>
      <c r="DU152" s="60">
        <f t="shared" si="152"/>
        <v>190.4880882944471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-1.7053025658242404E-13</v>
      </c>
      <c r="EK152" s="18">
        <f>EJ152*VLOOKUP('Données projet'!$B$15,Paramètres!$A$1:$I$89,3,0)*VLOOKUP('Données projet'!$B$15,Paramètres!$A$1:$I$89,5,0)</f>
        <v>-1.250327841262333E-13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290.85271051443431</v>
      </c>
      <c r="EP152" s="60">
        <f t="shared" si="154"/>
        <v>318.66958823451142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0">
        <f t="shared" si="109"/>
        <v>866.19540306597469</v>
      </c>
      <c r="S153" s="60">
        <f ca="1">AVERAGE(OFFSET($R$3,0,0,'Données projet'!$E$9+1,1))-AVERAGE(OFFSET($H$3,0,0,'Données projet'!$E$9+1,1))</f>
        <v>428.8489304403459</v>
      </c>
      <c r="T153" s="60">
        <f t="shared" si="142"/>
        <v>247.01165577562966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1.2710188457276673E-13</v>
      </c>
      <c r="AK153" s="14">
        <f t="shared" si="143"/>
        <v>1.856866851063998E-12</v>
      </c>
      <c r="AL153" s="22">
        <f t="shared" si="112"/>
        <v>3.4554122145673649E-12</v>
      </c>
      <c r="AM153" s="60">
        <f t="shared" si="113"/>
        <v>293.33333333333678</v>
      </c>
      <c r="AN153" s="60">
        <f ca="1">AVERAGE(OFFSET($AM$3,0,0,'Données projet'!$E$10+1,1))-AVERAGE(OFFSET($H$3,0,0,'Données projet'!$E$10+1,1))</f>
        <v>323.98185264074681</v>
      </c>
      <c r="AO153" s="60">
        <f t="shared" si="144"/>
        <v>301.22207291854005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0.41443647217454177</v>
      </c>
      <c r="AV153" s="23">
        <f>EXP(-LN(2)/25)*AV152+(1-EXP(-LN(2)/25))/(LN(2)/25)*Calculateur!AQ153*Calculateur!AS153*VLOOKUP('Données projet'!$B$10,Paramètres!$A$1:$I$89,3,0)*0.475*44/12</f>
        <v>0.29605186033994529</v>
      </c>
      <c r="AW153" s="23">
        <f>EXP(-LN(2)/2)*AW152+(1-EXP(-LN(2)/2))/(LN(2)/2)*AQ153*AT153*VLOOKUP('Données projet'!$B$10,Paramètres!$A$1:$I$89,3,0)*0.475*44/12</f>
        <v>5.2803310158517676E-18</v>
      </c>
      <c r="AX153" s="23">
        <f t="shared" si="114"/>
        <v>0.71048833251448706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-2.8421709430404007E-13</v>
      </c>
      <c r="BE153" s="14">
        <f>BD153*VLOOKUP('Données projet'!$B$11,Paramètres!$A$1:$I$89,3,0)*VLOOKUP('Données projet'!$B$11,Paramètres!$A$1:$I$89,5,0)</f>
        <v>-1.69961822393816E-13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289.12367833861299</v>
      </c>
      <c r="BJ153" s="60">
        <f t="shared" si="146"/>
        <v>229.06617320689003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3.5968060804274309E-18</v>
      </c>
      <c r="BS153" s="24">
        <f t="shared" si="117"/>
        <v>3.5968060804274309E-18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-1.7053025658242404E-13</v>
      </c>
      <c r="BZ153" s="14">
        <f>BY153*VLOOKUP('Données projet'!$B$12,Paramètres!$A$1:$I$89,3,0)*VLOOKUP('Données projet'!$B$12,Paramètres!$A$1:$I$89,5,0)</f>
        <v>-1.3567387213697657E-13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312.53381881960331</v>
      </c>
      <c r="CE153" s="60">
        <f t="shared" si="148"/>
        <v>342.06887933351783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297.10199999999907</v>
      </c>
      <c r="CV153" s="14">
        <f t="shared" si="149"/>
        <v>70.568588566272624</v>
      </c>
      <c r="CW153" s="22">
        <f t="shared" si="121"/>
        <v>640.3596084195899</v>
      </c>
      <c r="CX153" s="60">
        <f t="shared" si="122"/>
        <v>933.69294175292316</v>
      </c>
      <c r="CY153" s="60">
        <f ca="1">AVERAGE(OFFSET($CX$3,0,0,'Données projet'!$E$13+1,1))-AVERAGE(OFFSET($H$3,0,0,'Données projet'!$E$13+1,1))</f>
        <v>475.47920969424894</v>
      </c>
      <c r="CZ153" s="60">
        <f t="shared" si="150"/>
        <v>271.73544012419364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-5.6843418860808015E-14</v>
      </c>
      <c r="DP153" s="18">
        <f>DO153*VLOOKUP('Données projet'!$B$14,Paramètres!$A$1:$I$89,3,0)*VLOOKUP('Données projet'!$B$14,Paramètres!$A$1:$I$89,5,0)</f>
        <v>-2.6602720026858149E-14</v>
      </c>
      <c r="DQ153" s="14" t="e">
        <f t="shared" si="151"/>
        <v>#NUM!</v>
      </c>
      <c r="DR153" s="22" t="e">
        <f t="shared" si="124"/>
        <v>#NUM!</v>
      </c>
      <c r="DS153" s="60" t="e">
        <f t="shared" si="125"/>
        <v>#NUM!</v>
      </c>
      <c r="DT153" s="60">
        <f ca="1">AVERAGE(OFFSET($DS$3,0,0,'Données projet'!$E$14+1,1))-AVERAGE(OFFSET($H$3,0,0,'Données projet'!$E$14+1,1))</f>
        <v>284.71577701131588</v>
      </c>
      <c r="DU153" s="60">
        <f t="shared" si="152"/>
        <v>190.4880882944471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-1.7053025658242404E-13</v>
      </c>
      <c r="EK153" s="18">
        <f>EJ153*VLOOKUP('Données projet'!$B$15,Paramètres!$A$1:$I$89,3,0)*VLOOKUP('Données projet'!$B$15,Paramètres!$A$1:$I$89,5,0)</f>
        <v>-1.250327841262333E-13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290.85271051443431</v>
      </c>
      <c r="EP153" s="60">
        <f t="shared" si="154"/>
        <v>318.66958823451142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428.8489304403459</v>
      </c>
      <c r="T154" s="60">
        <f t="shared" si="142"/>
        <v>247.01165577562966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1.2710188457276673E-13</v>
      </c>
      <c r="AK154" s="14">
        <f t="shared" ref="AK154:AK203" si="164">EXP(-1.0587+0.8836*LN(AJ154)+0.284)</f>
        <v>1.856866851063998E-12</v>
      </c>
      <c r="AL154" s="22">
        <f t="shared" ref="AL154:AL203" si="165">(AJ154+AK154)*0.475*44/12</f>
        <v>3.4554122145673649E-12</v>
      </c>
      <c r="AM154" s="60">
        <f t="shared" si="113"/>
        <v>293.33333333333678</v>
      </c>
      <c r="AN154" s="60">
        <f ca="1">AVERAGE(OFFSET($AM$3,0,0,'Données projet'!$E$10+1,1))-AVERAGE(OFFSET($H$3,0,0,'Données projet'!$E$10+1,1))</f>
        <v>323.98185264074681</v>
      </c>
      <c r="AO154" s="60">
        <f t="shared" si="144"/>
        <v>301.22207291854005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0.40630962573648693</v>
      </c>
      <c r="AV154" s="23">
        <f>EXP(-LN(2)/25)*AV153+(1-EXP(-LN(2)/25))/(LN(2)/25)*Calculateur!AQ154*Calculateur!AS154*VLOOKUP('Données projet'!$B$10,Paramètres!$A$1:$I$89,3,0)*0.475*44/12</f>
        <v>0.28795630665025879</v>
      </c>
      <c r="AW154" s="23">
        <f>EXP(-LN(2)/2)*AW153+(1-EXP(-LN(2)/2))/(LN(2)/2)*AQ154*AT154*VLOOKUP('Données projet'!$B$10,Paramètres!$A$1:$I$89,3,0)*0.475*44/12</f>
        <v>3.733757868218436E-18</v>
      </c>
      <c r="AX154" s="23">
        <f t="shared" ref="AX154:AX203" si="166">SUM(AU154:AW154)</f>
        <v>0.69426593238674572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-2.8421709430404007E-13</v>
      </c>
      <c r="BE154" s="14">
        <f>BD154*VLOOKUP('Données projet'!$B$11,Paramètres!$A$1:$I$89,3,0)*VLOOKUP('Données projet'!$B$11,Paramètres!$A$1:$I$89,5,0)</f>
        <v>-1.69961822393816E-13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289.12367833861299</v>
      </c>
      <c r="BJ154" s="60">
        <f t="shared" si="146"/>
        <v>229.06617320689003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2.5433259700832431E-18</v>
      </c>
      <c r="BS154" s="24">
        <f t="shared" ref="BS154:BS203" si="169">SUM(BP154:BR154)</f>
        <v>2.5433259700832431E-18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-1.7053025658242404E-13</v>
      </c>
      <c r="BZ154" s="14">
        <f>BY154*VLOOKUP('Données projet'!$B$12,Paramètres!$A$1:$I$89,3,0)*VLOOKUP('Données projet'!$B$12,Paramètres!$A$1:$I$89,5,0)</f>
        <v>-1.3567387213697657E-13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312.53381881960331</v>
      </c>
      <c r="CE154" s="60">
        <f t="shared" si="148"/>
        <v>342.06887933351783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-9.7986685432260874E-13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475.47920969424894</v>
      </c>
      <c r="CZ154" s="60">
        <f t="shared" si="150"/>
        <v>271.73544012419364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-5.6843418860808015E-14</v>
      </c>
      <c r="DP154" s="18">
        <f>DO154*VLOOKUP('Données projet'!$B$14,Paramètres!$A$1:$I$89,3,0)*VLOOKUP('Données projet'!$B$14,Paramètres!$A$1:$I$89,5,0)</f>
        <v>-2.6602720026858149E-14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284.71577701131588</v>
      </c>
      <c r="DU154" s="60">
        <f t="shared" si="152"/>
        <v>190.4880882944471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-1.7053025658242404E-13</v>
      </c>
      <c r="EK154" s="18">
        <f>EJ154*VLOOKUP('Données projet'!$B$15,Paramètres!$A$1:$I$89,3,0)*VLOOKUP('Données projet'!$B$15,Paramètres!$A$1:$I$89,5,0)</f>
        <v>-1.250327841262333E-13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290.85271051443431</v>
      </c>
      <c r="EP154" s="60">
        <f t="shared" si="154"/>
        <v>318.66958823451142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428.8489304403459</v>
      </c>
      <c r="T155" s="60">
        <f t="shared" si="142"/>
        <v>247.01165577562966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1.2710188457276673E-13</v>
      </c>
      <c r="AK155" s="14">
        <f t="shared" si="164"/>
        <v>1.856866851063998E-12</v>
      </c>
      <c r="AL155" s="22">
        <f t="shared" si="165"/>
        <v>3.4554122145673649E-12</v>
      </c>
      <c r="AM155" s="60">
        <f t="shared" si="113"/>
        <v>293.33333333333678</v>
      </c>
      <c r="AN155" s="60">
        <f ca="1">AVERAGE(OFFSET($AM$3,0,0,'Données projet'!$E$10+1,1))-AVERAGE(OFFSET($H$3,0,0,'Données projet'!$E$10+1,1))</f>
        <v>323.98185264074681</v>
      </c>
      <c r="AO155" s="60">
        <f t="shared" si="144"/>
        <v>301.22207291854005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0.3983421418001955</v>
      </c>
      <c r="AV155" s="23">
        <f>EXP(-LN(2)/25)*AV154+(1-EXP(-LN(2)/25))/(LN(2)/25)*Calculateur!AQ155*Calculateur!AS155*VLOOKUP('Données projet'!$B$10,Paramètres!$A$1:$I$89,3,0)*0.475*44/12</f>
        <v>0.2800821263019434</v>
      </c>
      <c r="AW155" s="23">
        <f>EXP(-LN(2)/2)*AW154+(1-EXP(-LN(2)/2))/(LN(2)/2)*AQ155*AT155*VLOOKUP('Données projet'!$B$10,Paramètres!$A$1:$I$89,3,0)*0.475*44/12</f>
        <v>2.6401655079258838E-18</v>
      </c>
      <c r="AX155" s="23">
        <f t="shared" si="166"/>
        <v>0.67842426810213885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-2.8421709430404007E-13</v>
      </c>
      <c r="BE155" s="14">
        <f>BD155*VLOOKUP('Données projet'!$B$11,Paramètres!$A$1:$I$89,3,0)*VLOOKUP('Données projet'!$B$11,Paramètres!$A$1:$I$89,5,0)</f>
        <v>-1.69961822393816E-13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289.12367833861299</v>
      </c>
      <c r="BJ155" s="60">
        <f t="shared" si="146"/>
        <v>229.06617320689003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1.7984030402137154E-18</v>
      </c>
      <c r="BS155" s="24">
        <f t="shared" si="169"/>
        <v>1.7984030402137154E-18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-1.7053025658242404E-13</v>
      </c>
      <c r="BZ155" s="14">
        <f>BY155*VLOOKUP('Données projet'!$B$12,Paramètres!$A$1:$I$89,3,0)*VLOOKUP('Données projet'!$B$12,Paramètres!$A$1:$I$89,5,0)</f>
        <v>-1.3567387213697657E-13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312.53381881960331</v>
      </c>
      <c r="CE155" s="60">
        <f t="shared" si="148"/>
        <v>342.06887933351783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-9.7986685432260874E-13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475.47920969424894</v>
      </c>
      <c r="CZ155" s="60">
        <f t="shared" si="150"/>
        <v>271.73544012419364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-5.6843418860808015E-14</v>
      </c>
      <c r="DP155" s="18">
        <f>DO155*VLOOKUP('Données projet'!$B$14,Paramètres!$A$1:$I$89,3,0)*VLOOKUP('Données projet'!$B$14,Paramètres!$A$1:$I$89,5,0)</f>
        <v>-2.6602720026858149E-14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284.71577701131588</v>
      </c>
      <c r="DU155" s="60">
        <f t="shared" si="152"/>
        <v>190.4880882944471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-1.7053025658242404E-13</v>
      </c>
      <c r="EK155" s="18">
        <f>EJ155*VLOOKUP('Données projet'!$B$15,Paramètres!$A$1:$I$89,3,0)*VLOOKUP('Données projet'!$B$15,Paramètres!$A$1:$I$89,5,0)</f>
        <v>-1.250327841262333E-13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290.85271051443431</v>
      </c>
      <c r="EP155" s="60">
        <f t="shared" si="154"/>
        <v>318.66958823451142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428.8489304403459</v>
      </c>
      <c r="T156" s="60">
        <f t="shared" si="142"/>
        <v>247.01165577562966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1.2710188457276673E-13</v>
      </c>
      <c r="AK156" s="14">
        <f t="shared" si="164"/>
        <v>1.856866851063998E-12</v>
      </c>
      <c r="AL156" s="22">
        <f t="shared" si="165"/>
        <v>3.4554122145673649E-12</v>
      </c>
      <c r="AM156" s="60">
        <f t="shared" si="113"/>
        <v>293.33333333333678</v>
      </c>
      <c r="AN156" s="60">
        <f ca="1">AVERAGE(OFFSET($AM$3,0,0,'Données projet'!$E$10+1,1))-AVERAGE(OFFSET($H$3,0,0,'Données projet'!$E$10+1,1))</f>
        <v>323.98185264074681</v>
      </c>
      <c r="AO156" s="60">
        <f t="shared" si="144"/>
        <v>301.22207291854005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0.39053089536420937</v>
      </c>
      <c r="AV156" s="23">
        <f>EXP(-LN(2)/25)*AV155+(1-EXP(-LN(2)/25))/(LN(2)/25)*Calculateur!AQ156*Calculateur!AS156*VLOOKUP('Données projet'!$B$10,Paramètres!$A$1:$I$89,3,0)*0.475*44/12</f>
        <v>0.27242326582933785</v>
      </c>
      <c r="AW156" s="23">
        <f>EXP(-LN(2)/2)*AW155+(1-EXP(-LN(2)/2))/(LN(2)/2)*AQ156*AT156*VLOOKUP('Données projet'!$B$10,Paramètres!$A$1:$I$89,3,0)*0.475*44/12</f>
        <v>1.866878934109218E-18</v>
      </c>
      <c r="AX156" s="23">
        <f t="shared" si="166"/>
        <v>0.66295416119354722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-2.8421709430404007E-13</v>
      </c>
      <c r="BE156" s="14">
        <f>BD156*VLOOKUP('Données projet'!$B$11,Paramètres!$A$1:$I$89,3,0)*VLOOKUP('Données projet'!$B$11,Paramètres!$A$1:$I$89,5,0)</f>
        <v>-1.69961822393816E-13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289.12367833861299</v>
      </c>
      <c r="BJ156" s="60">
        <f t="shared" si="146"/>
        <v>229.06617320689003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1.2716629850416215E-18</v>
      </c>
      <c r="BS156" s="24">
        <f t="shared" si="169"/>
        <v>1.2716629850416215E-18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-1.7053025658242404E-13</v>
      </c>
      <c r="BZ156" s="14">
        <f>BY156*VLOOKUP('Données projet'!$B$12,Paramètres!$A$1:$I$89,3,0)*VLOOKUP('Données projet'!$B$12,Paramètres!$A$1:$I$89,5,0)</f>
        <v>-1.3567387213697657E-13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312.53381881960331</v>
      </c>
      <c r="CE156" s="60">
        <f t="shared" si="148"/>
        <v>342.06887933351783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-9.7986685432260874E-13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475.47920969424894</v>
      </c>
      <c r="CZ156" s="60">
        <f t="shared" si="150"/>
        <v>271.73544012419364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-5.6843418860808015E-14</v>
      </c>
      <c r="DP156" s="18">
        <f>DO156*VLOOKUP('Données projet'!$B$14,Paramètres!$A$1:$I$89,3,0)*VLOOKUP('Données projet'!$B$14,Paramètres!$A$1:$I$89,5,0)</f>
        <v>-2.6602720026858149E-14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284.71577701131588</v>
      </c>
      <c r="DU156" s="60">
        <f t="shared" si="152"/>
        <v>190.4880882944471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-1.7053025658242404E-13</v>
      </c>
      <c r="EK156" s="18">
        <f>EJ156*VLOOKUP('Données projet'!$B$15,Paramètres!$A$1:$I$89,3,0)*VLOOKUP('Données projet'!$B$15,Paramètres!$A$1:$I$89,5,0)</f>
        <v>-1.250327841262333E-13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290.85271051443431</v>
      </c>
      <c r="EP156" s="60">
        <f t="shared" si="154"/>
        <v>318.66958823451142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428.8489304403459</v>
      </c>
      <c r="T157" s="60">
        <f t="shared" si="142"/>
        <v>247.01165577562966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1.2710188457276673E-13</v>
      </c>
      <c r="AK157" s="14">
        <f t="shared" si="164"/>
        <v>1.856866851063998E-12</v>
      </c>
      <c r="AL157" s="22">
        <f t="shared" si="165"/>
        <v>3.4554122145673649E-12</v>
      </c>
      <c r="AM157" s="60">
        <f t="shared" si="113"/>
        <v>293.33333333333678</v>
      </c>
      <c r="AN157" s="60">
        <f ca="1">AVERAGE(OFFSET($AM$3,0,0,'Données projet'!$E$10+1,1))-AVERAGE(OFFSET($H$3,0,0,'Données projet'!$E$10+1,1))</f>
        <v>323.98185264074681</v>
      </c>
      <c r="AO157" s="60">
        <f t="shared" si="144"/>
        <v>301.22207291854005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0.38287282270644307</v>
      </c>
      <c r="AV157" s="23">
        <f>EXP(-LN(2)/25)*AV156+(1-EXP(-LN(2)/25))/(LN(2)/25)*Calculateur!AQ157*Calculateur!AS157*VLOOKUP('Données projet'!$B$10,Paramètres!$A$1:$I$89,3,0)*0.475*44/12</f>
        <v>0.26497383729911766</v>
      </c>
      <c r="AW157" s="23">
        <f>EXP(-LN(2)/2)*AW156+(1-EXP(-LN(2)/2))/(LN(2)/2)*AQ157*AT157*VLOOKUP('Données projet'!$B$10,Paramètres!$A$1:$I$89,3,0)*0.475*44/12</f>
        <v>1.3200827539629419E-18</v>
      </c>
      <c r="AX157" s="23">
        <f t="shared" si="166"/>
        <v>0.64784666000556079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-2.8421709430404007E-13</v>
      </c>
      <c r="BE157" s="14">
        <f>BD157*VLOOKUP('Données projet'!$B$11,Paramètres!$A$1:$I$89,3,0)*VLOOKUP('Données projet'!$B$11,Paramètres!$A$1:$I$89,5,0)</f>
        <v>-1.69961822393816E-13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289.12367833861299</v>
      </c>
      <c r="BJ157" s="60">
        <f t="shared" si="146"/>
        <v>229.06617320689003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8.9920152010685772E-19</v>
      </c>
      <c r="BS157" s="24">
        <f t="shared" si="169"/>
        <v>8.9920152010685772E-19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-1.7053025658242404E-13</v>
      </c>
      <c r="BZ157" s="14">
        <f>BY157*VLOOKUP('Données projet'!$B$12,Paramètres!$A$1:$I$89,3,0)*VLOOKUP('Données projet'!$B$12,Paramètres!$A$1:$I$89,5,0)</f>
        <v>-1.3567387213697657E-13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312.53381881960331</v>
      </c>
      <c r="CE157" s="60">
        <f t="shared" si="148"/>
        <v>342.06887933351783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-9.7986685432260874E-13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475.47920969424894</v>
      </c>
      <c r="CZ157" s="60">
        <f t="shared" si="150"/>
        <v>271.73544012419364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-5.6843418860808015E-14</v>
      </c>
      <c r="DP157" s="18">
        <f>DO157*VLOOKUP('Données projet'!$B$14,Paramètres!$A$1:$I$89,3,0)*VLOOKUP('Données projet'!$B$14,Paramètres!$A$1:$I$89,5,0)</f>
        <v>-2.6602720026858149E-14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284.71577701131588</v>
      </c>
      <c r="DU157" s="60">
        <f t="shared" si="152"/>
        <v>190.4880882944471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-1.7053025658242404E-13</v>
      </c>
      <c r="EK157" s="18">
        <f>EJ157*VLOOKUP('Données projet'!$B$15,Paramètres!$A$1:$I$89,3,0)*VLOOKUP('Données projet'!$B$15,Paramètres!$A$1:$I$89,5,0)</f>
        <v>-1.250327841262333E-13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290.85271051443431</v>
      </c>
      <c r="EP157" s="60">
        <f t="shared" si="154"/>
        <v>318.66958823451142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428.8489304403459</v>
      </c>
      <c r="T158" s="60">
        <f t="shared" si="142"/>
        <v>247.01165577562966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1.2710188457276673E-13</v>
      </c>
      <c r="AK158" s="14">
        <f t="shared" si="164"/>
        <v>1.856866851063998E-12</v>
      </c>
      <c r="AL158" s="22">
        <f t="shared" si="165"/>
        <v>3.4554122145673649E-12</v>
      </c>
      <c r="AM158" s="60">
        <f t="shared" si="113"/>
        <v>293.33333333333678</v>
      </c>
      <c r="AN158" s="60">
        <f ca="1">AVERAGE(OFFSET($AM$3,0,0,'Données projet'!$E$10+1,1))-AVERAGE(OFFSET($H$3,0,0,'Données projet'!$E$10+1,1))</f>
        <v>323.98185264074681</v>
      </c>
      <c r="AO158" s="60">
        <f t="shared" si="144"/>
        <v>301.22207291854005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0.37536492018253248</v>
      </c>
      <c r="AV158" s="23">
        <f>EXP(-LN(2)/25)*AV157+(1-EXP(-LN(2)/25))/(LN(2)/25)*Calculateur!AQ158*Calculateur!AS158*VLOOKUP('Données projet'!$B$10,Paramètres!$A$1:$I$89,3,0)*0.475*44/12</f>
        <v>0.25772811378380478</v>
      </c>
      <c r="AW158" s="23">
        <f>EXP(-LN(2)/2)*AW157+(1-EXP(-LN(2)/2))/(LN(2)/2)*AQ158*AT158*VLOOKUP('Données projet'!$B$10,Paramètres!$A$1:$I$89,3,0)*0.475*44/12</f>
        <v>9.3343946705460899E-19</v>
      </c>
      <c r="AX158" s="23">
        <f t="shared" si="166"/>
        <v>0.6330930339663372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-2.8421709430404007E-13</v>
      </c>
      <c r="BE158" s="14">
        <f>BD158*VLOOKUP('Données projet'!$B$11,Paramètres!$A$1:$I$89,3,0)*VLOOKUP('Données projet'!$B$11,Paramètres!$A$1:$I$89,5,0)</f>
        <v>-1.69961822393816E-13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289.12367833861299</v>
      </c>
      <c r="BJ158" s="60">
        <f t="shared" si="146"/>
        <v>229.06617320689003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6.3583149252081077E-19</v>
      </c>
      <c r="BS158" s="24">
        <f t="shared" si="169"/>
        <v>6.3583149252081077E-19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-1.7053025658242404E-13</v>
      </c>
      <c r="BZ158" s="14">
        <f>BY158*VLOOKUP('Données projet'!$B$12,Paramètres!$A$1:$I$89,3,0)*VLOOKUP('Données projet'!$B$12,Paramètres!$A$1:$I$89,5,0)</f>
        <v>-1.3567387213697657E-13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312.53381881960331</v>
      </c>
      <c r="CE158" s="60">
        <f t="shared" si="148"/>
        <v>342.06887933351783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-9.7986685432260874E-13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475.47920969424894</v>
      </c>
      <c r="CZ158" s="60">
        <f t="shared" si="150"/>
        <v>271.73544012419364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-5.6843418860808015E-14</v>
      </c>
      <c r="DP158" s="18">
        <f>DO158*VLOOKUP('Données projet'!$B$14,Paramètres!$A$1:$I$89,3,0)*VLOOKUP('Données projet'!$B$14,Paramètres!$A$1:$I$89,5,0)</f>
        <v>-2.6602720026858149E-14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284.71577701131588</v>
      </c>
      <c r="DU158" s="60">
        <f t="shared" si="152"/>
        <v>190.4880882944471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-1.7053025658242404E-13</v>
      </c>
      <c r="EK158" s="18">
        <f>EJ158*VLOOKUP('Données projet'!$B$15,Paramètres!$A$1:$I$89,3,0)*VLOOKUP('Données projet'!$B$15,Paramètres!$A$1:$I$89,5,0)</f>
        <v>-1.250327841262333E-13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290.85271051443431</v>
      </c>
      <c r="EP158" s="60">
        <f t="shared" si="154"/>
        <v>318.66958823451142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428.8489304403459</v>
      </c>
      <c r="T159" s="60">
        <f t="shared" si="142"/>
        <v>247.01165577562966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1.2710188457276673E-13</v>
      </c>
      <c r="AK159" s="14">
        <f t="shared" si="164"/>
        <v>1.856866851063998E-12</v>
      </c>
      <c r="AL159" s="22">
        <f t="shared" si="165"/>
        <v>3.4554122145673649E-12</v>
      </c>
      <c r="AM159" s="60">
        <f t="shared" si="113"/>
        <v>293.33333333333678</v>
      </c>
      <c r="AN159" s="60">
        <f ca="1">AVERAGE(OFFSET($AM$3,0,0,'Données projet'!$E$10+1,1))-AVERAGE(OFFSET($H$3,0,0,'Données projet'!$E$10+1,1))</f>
        <v>323.98185264074681</v>
      </c>
      <c r="AO159" s="60">
        <f t="shared" si="144"/>
        <v>301.22207291854005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0.36800424304774737</v>
      </c>
      <c r="AV159" s="23">
        <f>EXP(-LN(2)/25)*AV158+(1-EXP(-LN(2)/25))/(LN(2)/25)*Calculateur!AQ159*Calculateur!AS159*VLOOKUP('Données projet'!$B$10,Paramètres!$A$1:$I$89,3,0)*0.475*44/12</f>
        <v>0.25068052495905419</v>
      </c>
      <c r="AW159" s="23">
        <f>EXP(-LN(2)/2)*AW158+(1-EXP(-LN(2)/2))/(LN(2)/2)*AQ159*AT159*VLOOKUP('Données projet'!$B$10,Paramètres!$A$1:$I$89,3,0)*0.475*44/12</f>
        <v>6.6004137698147095E-19</v>
      </c>
      <c r="AX159" s="23">
        <f t="shared" si="166"/>
        <v>0.6186847680068015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-2.8421709430404007E-13</v>
      </c>
      <c r="BE159" s="14">
        <f>BD159*VLOOKUP('Données projet'!$B$11,Paramètres!$A$1:$I$89,3,0)*VLOOKUP('Données projet'!$B$11,Paramètres!$A$1:$I$89,5,0)</f>
        <v>-1.69961822393816E-13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289.12367833861299</v>
      </c>
      <c r="BJ159" s="60">
        <f t="shared" si="146"/>
        <v>229.06617320689003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4.4960076005342886E-19</v>
      </c>
      <c r="BS159" s="24">
        <f t="shared" si="169"/>
        <v>4.4960076005342886E-19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-1.7053025658242404E-13</v>
      </c>
      <c r="BZ159" s="14">
        <f>BY159*VLOOKUP('Données projet'!$B$12,Paramètres!$A$1:$I$89,3,0)*VLOOKUP('Données projet'!$B$12,Paramètres!$A$1:$I$89,5,0)</f>
        <v>-1.3567387213697657E-13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312.53381881960331</v>
      </c>
      <c r="CE159" s="60">
        <f t="shared" si="148"/>
        <v>342.06887933351783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-9.7986685432260874E-13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475.47920969424894</v>
      </c>
      <c r="CZ159" s="60">
        <f t="shared" si="150"/>
        <v>271.73544012419364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-5.6843418860808015E-14</v>
      </c>
      <c r="DP159" s="18">
        <f>DO159*VLOOKUP('Données projet'!$B$14,Paramètres!$A$1:$I$89,3,0)*VLOOKUP('Données projet'!$B$14,Paramètres!$A$1:$I$89,5,0)</f>
        <v>-2.6602720026858149E-14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284.71577701131588</v>
      </c>
      <c r="DU159" s="60">
        <f t="shared" si="152"/>
        <v>190.4880882944471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-1.7053025658242404E-13</v>
      </c>
      <c r="EK159" s="18">
        <f>EJ159*VLOOKUP('Données projet'!$B$15,Paramètres!$A$1:$I$89,3,0)*VLOOKUP('Données projet'!$B$15,Paramètres!$A$1:$I$89,5,0)</f>
        <v>-1.250327841262333E-13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290.85271051443431</v>
      </c>
      <c r="EP159" s="60">
        <f t="shared" si="154"/>
        <v>318.66958823451142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428.8489304403459</v>
      </c>
      <c r="T160" s="60">
        <f t="shared" si="142"/>
        <v>247.01165577562966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1.2710188457276673E-13</v>
      </c>
      <c r="AK160" s="14">
        <f t="shared" si="164"/>
        <v>1.856866851063998E-12</v>
      </c>
      <c r="AL160" s="22">
        <f t="shared" si="165"/>
        <v>3.4554122145673649E-12</v>
      </c>
      <c r="AM160" s="60">
        <f t="shared" si="113"/>
        <v>293.33333333333678</v>
      </c>
      <c r="AN160" s="60">
        <f ca="1">AVERAGE(OFFSET($AM$3,0,0,'Données projet'!$E$10+1,1))-AVERAGE(OFFSET($H$3,0,0,'Données projet'!$E$10+1,1))</f>
        <v>323.98185264074681</v>
      </c>
      <c r="AO160" s="60">
        <f t="shared" si="144"/>
        <v>301.22207291854005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0.36078790430200569</v>
      </c>
      <c r="AV160" s="23">
        <f>EXP(-LN(2)/25)*AV159+(1-EXP(-LN(2)/25))/(LN(2)/25)*Calculateur!AQ160*Calculateur!AS160*VLOOKUP('Données projet'!$B$10,Paramètres!$A$1:$I$89,3,0)*0.475*44/12</f>
        <v>0.24382565282133298</v>
      </c>
      <c r="AW160" s="23">
        <f>EXP(-LN(2)/2)*AW159+(1-EXP(-LN(2)/2))/(LN(2)/2)*AQ160*AT160*VLOOKUP('Données projet'!$B$10,Paramètres!$A$1:$I$89,3,0)*0.475*44/12</f>
        <v>4.667197335273045E-19</v>
      </c>
      <c r="AX160" s="23">
        <f t="shared" si="166"/>
        <v>0.60461355712333864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-2.8421709430404007E-13</v>
      </c>
      <c r="BE160" s="14">
        <f>BD160*VLOOKUP('Données projet'!$B$11,Paramètres!$A$1:$I$89,3,0)*VLOOKUP('Données projet'!$B$11,Paramètres!$A$1:$I$89,5,0)</f>
        <v>-1.69961822393816E-13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289.12367833861299</v>
      </c>
      <c r="BJ160" s="60">
        <f t="shared" si="146"/>
        <v>229.06617320689003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3.1791574626040538E-19</v>
      </c>
      <c r="BS160" s="24">
        <f t="shared" si="169"/>
        <v>3.1791574626040538E-19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-1.7053025658242404E-13</v>
      </c>
      <c r="BZ160" s="14">
        <f>BY160*VLOOKUP('Données projet'!$B$12,Paramètres!$A$1:$I$89,3,0)*VLOOKUP('Données projet'!$B$12,Paramètres!$A$1:$I$89,5,0)</f>
        <v>-1.3567387213697657E-13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312.53381881960331</v>
      </c>
      <c r="CE160" s="60">
        <f t="shared" si="148"/>
        <v>342.06887933351783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-9.7986685432260874E-13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475.47920969424894</v>
      </c>
      <c r="CZ160" s="60">
        <f t="shared" si="150"/>
        <v>271.73544012419364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-5.6843418860808015E-14</v>
      </c>
      <c r="DP160" s="18">
        <f>DO160*VLOOKUP('Données projet'!$B$14,Paramètres!$A$1:$I$89,3,0)*VLOOKUP('Données projet'!$B$14,Paramètres!$A$1:$I$89,5,0)</f>
        <v>-2.6602720026858149E-14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284.71577701131588</v>
      </c>
      <c r="DU160" s="60">
        <f t="shared" si="152"/>
        <v>190.4880882944471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-1.7053025658242404E-13</v>
      </c>
      <c r="EK160" s="18">
        <f>EJ160*VLOOKUP('Données projet'!$B$15,Paramètres!$A$1:$I$89,3,0)*VLOOKUP('Données projet'!$B$15,Paramètres!$A$1:$I$89,5,0)</f>
        <v>-1.250327841262333E-13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290.85271051443431</v>
      </c>
      <c r="EP160" s="60">
        <f t="shared" si="154"/>
        <v>318.66958823451142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428.8489304403459</v>
      </c>
      <c r="T161" s="60">
        <f t="shared" si="142"/>
        <v>247.01165577562966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1.2710188457276673E-13</v>
      </c>
      <c r="AK161" s="14">
        <f t="shared" si="164"/>
        <v>1.856866851063998E-12</v>
      </c>
      <c r="AL161" s="22">
        <f t="shared" si="165"/>
        <v>3.4554122145673649E-12</v>
      </c>
      <c r="AM161" s="60">
        <f t="shared" si="113"/>
        <v>293.33333333333678</v>
      </c>
      <c r="AN161" s="60">
        <f ca="1">AVERAGE(OFFSET($AM$3,0,0,'Données projet'!$E$10+1,1))-AVERAGE(OFFSET($H$3,0,0,'Données projet'!$E$10+1,1))</f>
        <v>323.98185264074681</v>
      </c>
      <c r="AO161" s="60">
        <f t="shared" si="144"/>
        <v>301.22207291854005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0.35371307355753595</v>
      </c>
      <c r="AV161" s="23">
        <f>EXP(-LN(2)/25)*AV160+(1-EXP(-LN(2)/25))/(LN(2)/25)*Calculateur!AQ161*Calculateur!AS161*VLOOKUP('Données projet'!$B$10,Paramètres!$A$1:$I$89,3,0)*0.475*44/12</f>
        <v>0.23715822752269983</v>
      </c>
      <c r="AW161" s="23">
        <f>EXP(-LN(2)/2)*AW160+(1-EXP(-LN(2)/2))/(LN(2)/2)*AQ161*AT161*VLOOKUP('Données projet'!$B$10,Paramètres!$A$1:$I$89,3,0)*0.475*44/12</f>
        <v>3.3002068849073547E-19</v>
      </c>
      <c r="AX161" s="23">
        <f t="shared" si="166"/>
        <v>0.59087130108023578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-2.8421709430404007E-13</v>
      </c>
      <c r="BE161" s="14">
        <f>BD161*VLOOKUP('Données projet'!$B$11,Paramètres!$A$1:$I$89,3,0)*VLOOKUP('Données projet'!$B$11,Paramètres!$A$1:$I$89,5,0)</f>
        <v>-1.69961822393816E-13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289.12367833861299</v>
      </c>
      <c r="BJ161" s="60">
        <f t="shared" si="146"/>
        <v>229.06617320689003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2.2480038002671443E-19</v>
      </c>
      <c r="BS161" s="24">
        <f t="shared" si="169"/>
        <v>2.2480038002671443E-19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-1.7053025658242404E-13</v>
      </c>
      <c r="BZ161" s="14">
        <f>BY161*VLOOKUP('Données projet'!$B$12,Paramètres!$A$1:$I$89,3,0)*VLOOKUP('Données projet'!$B$12,Paramètres!$A$1:$I$89,5,0)</f>
        <v>-1.3567387213697657E-13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312.53381881960331</v>
      </c>
      <c r="CE161" s="60">
        <f t="shared" si="148"/>
        <v>342.06887933351783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-9.7986685432260874E-13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475.47920969424894</v>
      </c>
      <c r="CZ161" s="60">
        <f t="shared" si="150"/>
        <v>271.73544012419364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-5.6843418860808015E-14</v>
      </c>
      <c r="DP161" s="18">
        <f>DO161*VLOOKUP('Données projet'!$B$14,Paramètres!$A$1:$I$89,3,0)*VLOOKUP('Données projet'!$B$14,Paramètres!$A$1:$I$89,5,0)</f>
        <v>-2.6602720026858149E-14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284.71577701131588</v>
      </c>
      <c r="DU161" s="60">
        <f t="shared" si="152"/>
        <v>190.4880882944471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-1.7053025658242404E-13</v>
      </c>
      <c r="EK161" s="18">
        <f>EJ161*VLOOKUP('Données projet'!$B$15,Paramètres!$A$1:$I$89,3,0)*VLOOKUP('Données projet'!$B$15,Paramètres!$A$1:$I$89,5,0)</f>
        <v>-1.250327841262333E-13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290.85271051443431</v>
      </c>
      <c r="EP161" s="60">
        <f t="shared" si="154"/>
        <v>318.66958823451142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428.8489304403459</v>
      </c>
      <c r="T162" s="60">
        <f t="shared" si="142"/>
        <v>247.01165577562966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1.2710188457276673E-13</v>
      </c>
      <c r="AK162" s="14">
        <f t="shared" si="164"/>
        <v>1.856866851063998E-12</v>
      </c>
      <c r="AL162" s="22">
        <f t="shared" si="165"/>
        <v>3.4554122145673649E-12</v>
      </c>
      <c r="AM162" s="60">
        <f t="shared" si="113"/>
        <v>293.33333333333678</v>
      </c>
      <c r="AN162" s="60">
        <f ca="1">AVERAGE(OFFSET($AM$3,0,0,'Données projet'!$E$10+1,1))-AVERAGE(OFFSET($H$3,0,0,'Données projet'!$E$10+1,1))</f>
        <v>323.98185264074681</v>
      </c>
      <c r="AO162" s="60">
        <f t="shared" si="144"/>
        <v>301.22207291854005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0.34677697592874462</v>
      </c>
      <c r="AV162" s="23">
        <f>EXP(-LN(2)/25)*AV161+(1-EXP(-LN(2)/25))/(LN(2)/25)*Calculateur!AQ162*Calculateur!AS162*VLOOKUP('Données projet'!$B$10,Paramètres!$A$1:$I$89,3,0)*0.475*44/12</f>
        <v>0.23067312331948245</v>
      </c>
      <c r="AW162" s="23">
        <f>EXP(-LN(2)/2)*AW161+(1-EXP(-LN(2)/2))/(LN(2)/2)*AQ162*AT162*VLOOKUP('Données projet'!$B$10,Paramètres!$A$1:$I$89,3,0)*0.475*44/12</f>
        <v>2.3335986676365225E-19</v>
      </c>
      <c r="AX162" s="23">
        <f t="shared" si="166"/>
        <v>0.5774500992482271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-2.8421709430404007E-13</v>
      </c>
      <c r="BE162" s="14">
        <f>BD162*VLOOKUP('Données projet'!$B$11,Paramètres!$A$1:$I$89,3,0)*VLOOKUP('Données projet'!$B$11,Paramètres!$A$1:$I$89,5,0)</f>
        <v>-1.69961822393816E-13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289.12367833861299</v>
      </c>
      <c r="BJ162" s="60">
        <f t="shared" si="146"/>
        <v>229.06617320689003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1.5895787313020269E-19</v>
      </c>
      <c r="BS162" s="24">
        <f t="shared" si="169"/>
        <v>1.5895787313020269E-19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-1.7053025658242404E-13</v>
      </c>
      <c r="BZ162" s="14">
        <f>BY162*VLOOKUP('Données projet'!$B$12,Paramètres!$A$1:$I$89,3,0)*VLOOKUP('Données projet'!$B$12,Paramètres!$A$1:$I$89,5,0)</f>
        <v>-1.3567387213697657E-13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312.53381881960331</v>
      </c>
      <c r="CE162" s="60">
        <f t="shared" si="148"/>
        <v>342.06887933351783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-9.7986685432260874E-13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475.47920969424894</v>
      </c>
      <c r="CZ162" s="60">
        <f t="shared" si="150"/>
        <v>271.73544012419364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-5.6843418860808015E-14</v>
      </c>
      <c r="DP162" s="18">
        <f>DO162*VLOOKUP('Données projet'!$B$14,Paramètres!$A$1:$I$89,3,0)*VLOOKUP('Données projet'!$B$14,Paramètres!$A$1:$I$89,5,0)</f>
        <v>-2.6602720026858149E-14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284.71577701131588</v>
      </c>
      <c r="DU162" s="60">
        <f t="shared" si="152"/>
        <v>190.4880882944471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-1.7053025658242404E-13</v>
      </c>
      <c r="EK162" s="18">
        <f>EJ162*VLOOKUP('Données projet'!$B$15,Paramètres!$A$1:$I$89,3,0)*VLOOKUP('Données projet'!$B$15,Paramètres!$A$1:$I$89,5,0)</f>
        <v>-1.250327841262333E-13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290.85271051443431</v>
      </c>
      <c r="EP162" s="60">
        <f t="shared" si="154"/>
        <v>318.66958823451142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428.8489304403459</v>
      </c>
      <c r="T163" s="60">
        <f t="shared" si="142"/>
        <v>247.01165577562966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1.2710188457276673E-13</v>
      </c>
      <c r="AK163" s="14">
        <f t="shared" si="164"/>
        <v>1.856866851063998E-12</v>
      </c>
      <c r="AL163" s="22">
        <f t="shared" si="165"/>
        <v>3.4554122145673649E-12</v>
      </c>
      <c r="AM163" s="60">
        <f t="shared" si="113"/>
        <v>293.33333333333678</v>
      </c>
      <c r="AN163" s="60">
        <f ca="1">AVERAGE(OFFSET($AM$3,0,0,'Données projet'!$E$10+1,1))-AVERAGE(OFFSET($H$3,0,0,'Données projet'!$E$10+1,1))</f>
        <v>323.98185264074681</v>
      </c>
      <c r="AO163" s="60">
        <f t="shared" si="144"/>
        <v>301.22207291854005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0.33997689094385208</v>
      </c>
      <c r="AV163" s="23">
        <f>EXP(-LN(2)/25)*AV162+(1-EXP(-LN(2)/25))/(LN(2)/25)*Calculateur!AQ163*Calculateur!AS163*VLOOKUP('Données projet'!$B$10,Paramètres!$A$1:$I$89,3,0)*0.475*44/12</f>
        <v>0.22436535463173884</v>
      </c>
      <c r="AW163" s="23">
        <f>EXP(-LN(2)/2)*AW162+(1-EXP(-LN(2)/2))/(LN(2)/2)*AQ163*AT163*VLOOKUP('Données projet'!$B$10,Paramètres!$A$1:$I$89,3,0)*0.475*44/12</f>
        <v>1.6501034424536774E-19</v>
      </c>
      <c r="AX163" s="23">
        <f t="shared" si="166"/>
        <v>0.56434224557559087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-2.8421709430404007E-13</v>
      </c>
      <c r="BE163" s="14">
        <f>BD163*VLOOKUP('Données projet'!$B$11,Paramètres!$A$1:$I$89,3,0)*VLOOKUP('Données projet'!$B$11,Paramètres!$A$1:$I$89,5,0)</f>
        <v>-1.69961822393816E-13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289.12367833861299</v>
      </c>
      <c r="BJ163" s="60">
        <f t="shared" si="146"/>
        <v>229.06617320689003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1.1240019001335722E-19</v>
      </c>
      <c r="BS163" s="24">
        <f t="shared" si="169"/>
        <v>1.1240019001335722E-19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-1.7053025658242404E-13</v>
      </c>
      <c r="BZ163" s="14">
        <f>BY163*VLOOKUP('Données projet'!$B$12,Paramètres!$A$1:$I$89,3,0)*VLOOKUP('Données projet'!$B$12,Paramètres!$A$1:$I$89,5,0)</f>
        <v>-1.3567387213697657E-13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312.53381881960331</v>
      </c>
      <c r="CE163" s="60">
        <f t="shared" si="148"/>
        <v>342.06887933351783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-9.7986685432260874E-13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475.47920969424894</v>
      </c>
      <c r="CZ163" s="60">
        <f t="shared" si="150"/>
        <v>271.73544012419364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-5.6843418860808015E-14</v>
      </c>
      <c r="DP163" s="18">
        <f>DO163*VLOOKUP('Données projet'!$B$14,Paramètres!$A$1:$I$89,3,0)*VLOOKUP('Données projet'!$B$14,Paramètres!$A$1:$I$89,5,0)</f>
        <v>-2.6602720026858149E-14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284.71577701131588</v>
      </c>
      <c r="DU163" s="60">
        <f t="shared" si="152"/>
        <v>190.4880882944471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-1.7053025658242404E-13</v>
      </c>
      <c r="EK163" s="18">
        <f>EJ163*VLOOKUP('Données projet'!$B$15,Paramètres!$A$1:$I$89,3,0)*VLOOKUP('Données projet'!$B$15,Paramètres!$A$1:$I$89,5,0)</f>
        <v>-1.250327841262333E-13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290.85271051443431</v>
      </c>
      <c r="EP163" s="60">
        <f t="shared" si="154"/>
        <v>318.66958823451142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428.8489304403459</v>
      </c>
      <c r="T164" s="60">
        <f t="shared" si="142"/>
        <v>247.01165577562966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1.2710188457276673E-13</v>
      </c>
      <c r="AK164" s="14">
        <f t="shared" si="164"/>
        <v>1.856866851063998E-12</v>
      </c>
      <c r="AL164" s="22">
        <f t="shared" si="165"/>
        <v>3.4554122145673649E-12</v>
      </c>
      <c r="AM164" s="60">
        <f t="shared" si="113"/>
        <v>293.33333333333678</v>
      </c>
      <c r="AN164" s="60">
        <f ca="1">AVERAGE(OFFSET($AM$3,0,0,'Données projet'!$E$10+1,1))-AVERAGE(OFFSET($H$3,0,0,'Données projet'!$E$10+1,1))</f>
        <v>323.98185264074681</v>
      </c>
      <c r="AO164" s="60">
        <f t="shared" si="144"/>
        <v>301.22207291854005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0.33331015147787096</v>
      </c>
      <c r="AV164" s="23">
        <f>EXP(-LN(2)/25)*AV163+(1-EXP(-LN(2)/25))/(LN(2)/25)*Calculateur!AQ164*Calculateur!AS164*VLOOKUP('Données projet'!$B$10,Paramètres!$A$1:$I$89,3,0)*0.475*44/12</f>
        <v>0.21823007221047275</v>
      </c>
      <c r="AW164" s="23">
        <f>EXP(-LN(2)/2)*AW163+(1-EXP(-LN(2)/2))/(LN(2)/2)*AQ164*AT164*VLOOKUP('Données projet'!$B$10,Paramètres!$A$1:$I$89,3,0)*0.475*44/12</f>
        <v>1.1667993338182612E-19</v>
      </c>
      <c r="AX164" s="23">
        <f t="shared" si="166"/>
        <v>0.55154022368834377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-2.8421709430404007E-13</v>
      </c>
      <c r="BE164" s="14">
        <f>BD164*VLOOKUP('Données projet'!$B$11,Paramètres!$A$1:$I$89,3,0)*VLOOKUP('Données projet'!$B$11,Paramètres!$A$1:$I$89,5,0)</f>
        <v>-1.69961822393816E-13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289.12367833861299</v>
      </c>
      <c r="BJ164" s="60">
        <f t="shared" si="146"/>
        <v>229.06617320689003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7.9478936565101346E-20</v>
      </c>
      <c r="BS164" s="24">
        <f t="shared" si="169"/>
        <v>7.9478936565101346E-20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-1.7053025658242404E-13</v>
      </c>
      <c r="BZ164" s="14">
        <f>BY164*VLOOKUP('Données projet'!$B$12,Paramètres!$A$1:$I$89,3,0)*VLOOKUP('Données projet'!$B$12,Paramètres!$A$1:$I$89,5,0)</f>
        <v>-1.3567387213697657E-13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312.53381881960331</v>
      </c>
      <c r="CE164" s="60">
        <f t="shared" si="148"/>
        <v>342.06887933351783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-9.7986685432260874E-13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475.47920969424894</v>
      </c>
      <c r="CZ164" s="60">
        <f t="shared" si="150"/>
        <v>271.73544012419364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-5.6843418860808015E-14</v>
      </c>
      <c r="DP164" s="18">
        <f>DO164*VLOOKUP('Données projet'!$B$14,Paramètres!$A$1:$I$89,3,0)*VLOOKUP('Données projet'!$B$14,Paramètres!$A$1:$I$89,5,0)</f>
        <v>-2.6602720026858149E-14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284.71577701131588</v>
      </c>
      <c r="DU164" s="60">
        <f t="shared" si="152"/>
        <v>190.4880882944471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-1.7053025658242404E-13</v>
      </c>
      <c r="EK164" s="18">
        <f>EJ164*VLOOKUP('Données projet'!$B$15,Paramètres!$A$1:$I$89,3,0)*VLOOKUP('Données projet'!$B$15,Paramètres!$A$1:$I$89,5,0)</f>
        <v>-1.250327841262333E-13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290.85271051443431</v>
      </c>
      <c r="EP164" s="60">
        <f t="shared" si="154"/>
        <v>318.66958823451142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428.8489304403459</v>
      </c>
      <c r="T165" s="60">
        <f t="shared" si="142"/>
        <v>247.01165577562966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1.2710188457276673E-13</v>
      </c>
      <c r="AK165" s="14">
        <f t="shared" si="164"/>
        <v>1.856866851063998E-12</v>
      </c>
      <c r="AL165" s="22">
        <f t="shared" si="165"/>
        <v>3.4554122145673649E-12</v>
      </c>
      <c r="AM165" s="60">
        <f t="shared" si="113"/>
        <v>293.33333333333678</v>
      </c>
      <c r="AN165" s="60">
        <f ca="1">AVERAGE(OFFSET($AM$3,0,0,'Données projet'!$E$10+1,1))-AVERAGE(OFFSET($H$3,0,0,'Données projet'!$E$10+1,1))</f>
        <v>323.98185264074681</v>
      </c>
      <c r="AO165" s="60">
        <f t="shared" si="144"/>
        <v>301.22207291854005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0.32677414270650817</v>
      </c>
      <c r="AV165" s="23">
        <f>EXP(-LN(2)/25)*AV164+(1-EXP(-LN(2)/25))/(LN(2)/25)*Calculateur!AQ165*Calculateur!AS165*VLOOKUP('Données projet'!$B$10,Paramètres!$A$1:$I$89,3,0)*0.475*44/12</f>
        <v>0.21226255940965663</v>
      </c>
      <c r="AW165" s="23">
        <f>EXP(-LN(2)/2)*AW164+(1-EXP(-LN(2)/2))/(LN(2)/2)*AQ165*AT165*VLOOKUP('Données projet'!$B$10,Paramètres!$A$1:$I$89,3,0)*0.475*44/12</f>
        <v>8.2505172122683869E-20</v>
      </c>
      <c r="AX165" s="23">
        <f t="shared" si="166"/>
        <v>0.53903670211616483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-2.8421709430404007E-13</v>
      </c>
      <c r="BE165" s="14">
        <f>BD165*VLOOKUP('Données projet'!$B$11,Paramètres!$A$1:$I$89,3,0)*VLOOKUP('Données projet'!$B$11,Paramètres!$A$1:$I$89,5,0)</f>
        <v>-1.69961822393816E-13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289.12367833861299</v>
      </c>
      <c r="BJ165" s="60">
        <f t="shared" si="146"/>
        <v>229.06617320689003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5.6200095006678608E-20</v>
      </c>
      <c r="BS165" s="24">
        <f t="shared" si="169"/>
        <v>5.6200095006678608E-20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-1.7053025658242404E-13</v>
      </c>
      <c r="BZ165" s="14">
        <f>BY165*VLOOKUP('Données projet'!$B$12,Paramètres!$A$1:$I$89,3,0)*VLOOKUP('Données projet'!$B$12,Paramètres!$A$1:$I$89,5,0)</f>
        <v>-1.3567387213697657E-13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312.53381881960331</v>
      </c>
      <c r="CE165" s="60">
        <f t="shared" si="148"/>
        <v>342.06887933351783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-9.7986685432260874E-13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475.47920969424894</v>
      </c>
      <c r="CZ165" s="60">
        <f t="shared" si="150"/>
        <v>271.73544012419364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-5.6843418860808015E-14</v>
      </c>
      <c r="DP165" s="18">
        <f>DO165*VLOOKUP('Données projet'!$B$14,Paramètres!$A$1:$I$89,3,0)*VLOOKUP('Données projet'!$B$14,Paramètres!$A$1:$I$89,5,0)</f>
        <v>-2.6602720026858149E-14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284.71577701131588</v>
      </c>
      <c r="DU165" s="60">
        <f t="shared" si="152"/>
        <v>190.4880882944471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-1.7053025658242404E-13</v>
      </c>
      <c r="EK165" s="18">
        <f>EJ165*VLOOKUP('Données projet'!$B$15,Paramètres!$A$1:$I$89,3,0)*VLOOKUP('Données projet'!$B$15,Paramètres!$A$1:$I$89,5,0)</f>
        <v>-1.250327841262333E-13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290.85271051443431</v>
      </c>
      <c r="EP165" s="60">
        <f t="shared" si="154"/>
        <v>318.66958823451142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428.8489304403459</v>
      </c>
      <c r="T166" s="60">
        <f t="shared" si="142"/>
        <v>247.01165577562966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1.2710188457276673E-13</v>
      </c>
      <c r="AK166" s="14">
        <f t="shared" si="164"/>
        <v>1.856866851063998E-12</v>
      </c>
      <c r="AL166" s="22">
        <f t="shared" si="165"/>
        <v>3.4554122145673649E-12</v>
      </c>
      <c r="AM166" s="60">
        <f t="shared" si="113"/>
        <v>293.33333333333678</v>
      </c>
      <c r="AN166" s="60">
        <f ca="1">AVERAGE(OFFSET($AM$3,0,0,'Données projet'!$E$10+1,1))-AVERAGE(OFFSET($H$3,0,0,'Données projet'!$E$10+1,1))</f>
        <v>323.98185264074681</v>
      </c>
      <c r="AO166" s="60">
        <f t="shared" si="144"/>
        <v>301.22207291854005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0.32036630108058012</v>
      </c>
      <c r="AV166" s="23">
        <f>EXP(-LN(2)/25)*AV165+(1-EXP(-LN(2)/25))/(LN(2)/25)*Calculateur!AQ166*Calculateur!AS166*VLOOKUP('Données projet'!$B$10,Paramètres!$A$1:$I$89,3,0)*0.475*44/12</f>
        <v>0.20645822856019672</v>
      </c>
      <c r="AW166" s="23">
        <f>EXP(-LN(2)/2)*AW165+(1-EXP(-LN(2)/2))/(LN(2)/2)*AQ166*AT166*VLOOKUP('Données projet'!$B$10,Paramètres!$A$1:$I$89,3,0)*0.475*44/12</f>
        <v>5.8339966690913062E-20</v>
      </c>
      <c r="AX166" s="23">
        <f t="shared" si="166"/>
        <v>0.52682452964077686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-2.8421709430404007E-13</v>
      </c>
      <c r="BE166" s="14">
        <f>BD166*VLOOKUP('Données projet'!$B$11,Paramètres!$A$1:$I$89,3,0)*VLOOKUP('Données projet'!$B$11,Paramètres!$A$1:$I$89,5,0)</f>
        <v>-1.69961822393816E-13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289.12367833861299</v>
      </c>
      <c r="BJ166" s="60">
        <f t="shared" si="146"/>
        <v>229.06617320689003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3.9739468282550673E-20</v>
      </c>
      <c r="BS166" s="24">
        <f t="shared" si="169"/>
        <v>3.9739468282550673E-20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-1.7053025658242404E-13</v>
      </c>
      <c r="BZ166" s="14">
        <f>BY166*VLOOKUP('Données projet'!$B$12,Paramètres!$A$1:$I$89,3,0)*VLOOKUP('Données projet'!$B$12,Paramètres!$A$1:$I$89,5,0)</f>
        <v>-1.3567387213697657E-13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312.53381881960331</v>
      </c>
      <c r="CE166" s="60">
        <f t="shared" si="148"/>
        <v>342.06887933351783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-9.7986685432260874E-13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475.47920969424894</v>
      </c>
      <c r="CZ166" s="60">
        <f t="shared" si="150"/>
        <v>271.73544012419364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-5.6843418860808015E-14</v>
      </c>
      <c r="DP166" s="18">
        <f>DO166*VLOOKUP('Données projet'!$B$14,Paramètres!$A$1:$I$89,3,0)*VLOOKUP('Données projet'!$B$14,Paramètres!$A$1:$I$89,5,0)</f>
        <v>-2.6602720026858149E-14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284.71577701131588</v>
      </c>
      <c r="DU166" s="60">
        <f t="shared" si="152"/>
        <v>190.4880882944471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-1.7053025658242404E-13</v>
      </c>
      <c r="EK166" s="18">
        <f>EJ166*VLOOKUP('Données projet'!$B$15,Paramètres!$A$1:$I$89,3,0)*VLOOKUP('Données projet'!$B$15,Paramètres!$A$1:$I$89,5,0)</f>
        <v>-1.250327841262333E-13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290.85271051443431</v>
      </c>
      <c r="EP166" s="60">
        <f t="shared" si="154"/>
        <v>318.66958823451142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428.8489304403459</v>
      </c>
      <c r="T167" s="60">
        <f t="shared" si="142"/>
        <v>247.01165577562966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1.2710188457276673E-13</v>
      </c>
      <c r="AK167" s="14">
        <f t="shared" si="164"/>
        <v>1.856866851063998E-12</v>
      </c>
      <c r="AL167" s="22">
        <f t="shared" si="165"/>
        <v>3.4554122145673649E-12</v>
      </c>
      <c r="AM167" s="60">
        <f t="shared" si="113"/>
        <v>293.33333333333678</v>
      </c>
      <c r="AN167" s="60">
        <f ca="1">AVERAGE(OFFSET($AM$3,0,0,'Données projet'!$E$10+1,1))-AVERAGE(OFFSET($H$3,0,0,'Données projet'!$E$10+1,1))</f>
        <v>323.98185264074681</v>
      </c>
      <c r="AO167" s="60">
        <f t="shared" si="144"/>
        <v>301.22207291854005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0.31408411332053904</v>
      </c>
      <c r="AV167" s="23">
        <f>EXP(-LN(2)/25)*AV166+(1-EXP(-LN(2)/25))/(LN(2)/25)*Calculateur!AQ167*Calculateur!AS167*VLOOKUP('Données projet'!$B$10,Paramètres!$A$1:$I$89,3,0)*0.475*44/12</f>
        <v>0.20081261744305176</v>
      </c>
      <c r="AW167" s="23">
        <f>EXP(-LN(2)/2)*AW166+(1-EXP(-LN(2)/2))/(LN(2)/2)*AQ167*AT167*VLOOKUP('Données projet'!$B$10,Paramètres!$A$1:$I$89,3,0)*0.475*44/12</f>
        <v>4.1252586061341934E-20</v>
      </c>
      <c r="AX167" s="23">
        <f t="shared" si="166"/>
        <v>0.51489673076359077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-2.8421709430404007E-13</v>
      </c>
      <c r="BE167" s="14">
        <f>BD167*VLOOKUP('Données projet'!$B$11,Paramètres!$A$1:$I$89,3,0)*VLOOKUP('Données projet'!$B$11,Paramètres!$A$1:$I$89,5,0)</f>
        <v>-1.69961822393816E-13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289.12367833861299</v>
      </c>
      <c r="BJ167" s="60">
        <f t="shared" si="146"/>
        <v>229.06617320689003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2.8100047503339304E-20</v>
      </c>
      <c r="BS167" s="24">
        <f t="shared" si="169"/>
        <v>2.8100047503339304E-20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-1.7053025658242404E-13</v>
      </c>
      <c r="BZ167" s="14">
        <f>BY167*VLOOKUP('Données projet'!$B$12,Paramètres!$A$1:$I$89,3,0)*VLOOKUP('Données projet'!$B$12,Paramètres!$A$1:$I$89,5,0)</f>
        <v>-1.3567387213697657E-13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312.53381881960331</v>
      </c>
      <c r="CE167" s="60">
        <f t="shared" si="148"/>
        <v>342.06887933351783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-9.7986685432260874E-13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475.47920969424894</v>
      </c>
      <c r="CZ167" s="60">
        <f t="shared" si="150"/>
        <v>271.73544012419364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-5.6843418860808015E-14</v>
      </c>
      <c r="DP167" s="18">
        <f>DO167*VLOOKUP('Données projet'!$B$14,Paramètres!$A$1:$I$89,3,0)*VLOOKUP('Données projet'!$B$14,Paramètres!$A$1:$I$89,5,0)</f>
        <v>-2.6602720026858149E-14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284.71577701131588</v>
      </c>
      <c r="DU167" s="60">
        <f t="shared" si="152"/>
        <v>190.4880882944471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-1.7053025658242404E-13</v>
      </c>
      <c r="EK167" s="18">
        <f>EJ167*VLOOKUP('Données projet'!$B$15,Paramètres!$A$1:$I$89,3,0)*VLOOKUP('Données projet'!$B$15,Paramètres!$A$1:$I$89,5,0)</f>
        <v>-1.250327841262333E-13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290.85271051443431</v>
      </c>
      <c r="EP167" s="60">
        <f t="shared" si="154"/>
        <v>318.66958823451142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428.8489304403459</v>
      </c>
      <c r="T168" s="60">
        <f t="shared" si="142"/>
        <v>247.01165577562966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1.2710188457276673E-13</v>
      </c>
      <c r="AK168" s="14">
        <f t="shared" si="164"/>
        <v>1.856866851063998E-12</v>
      </c>
      <c r="AL168" s="22">
        <f t="shared" si="165"/>
        <v>3.4554122145673649E-12</v>
      </c>
      <c r="AM168" s="60">
        <f t="shared" si="113"/>
        <v>293.33333333333678</v>
      </c>
      <c r="AN168" s="60">
        <f ca="1">AVERAGE(OFFSET($AM$3,0,0,'Données projet'!$E$10+1,1))-AVERAGE(OFFSET($H$3,0,0,'Données projet'!$E$10+1,1))</f>
        <v>323.98185264074681</v>
      </c>
      <c r="AO168" s="60">
        <f t="shared" si="144"/>
        <v>301.22207291854005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0.30792511543071621</v>
      </c>
      <c r="AV168" s="23">
        <f>EXP(-LN(2)/25)*AV167+(1-EXP(-LN(2)/25))/(LN(2)/25)*Calculateur!AQ168*Calculateur!AS168*VLOOKUP('Données projet'!$B$10,Paramètres!$A$1:$I$89,3,0)*0.475*44/12</f>
        <v>0.19532138585879491</v>
      </c>
      <c r="AW168" s="23">
        <f>EXP(-LN(2)/2)*AW167+(1-EXP(-LN(2)/2))/(LN(2)/2)*AQ168*AT168*VLOOKUP('Données projet'!$B$10,Paramètres!$A$1:$I$89,3,0)*0.475*44/12</f>
        <v>2.9169983345456531E-20</v>
      </c>
      <c r="AX168" s="23">
        <f t="shared" si="166"/>
        <v>0.50324650128951109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-2.8421709430404007E-13</v>
      </c>
      <c r="BE168" s="14">
        <f>BD168*VLOOKUP('Données projet'!$B$11,Paramètres!$A$1:$I$89,3,0)*VLOOKUP('Données projet'!$B$11,Paramètres!$A$1:$I$89,5,0)</f>
        <v>-1.69961822393816E-13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289.12367833861299</v>
      </c>
      <c r="BJ168" s="60">
        <f t="shared" si="146"/>
        <v>229.06617320689003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1.9869734141275337E-20</v>
      </c>
      <c r="BS168" s="24">
        <f t="shared" si="169"/>
        <v>1.9869734141275337E-20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-1.7053025658242404E-13</v>
      </c>
      <c r="BZ168" s="14">
        <f>BY168*VLOOKUP('Données projet'!$B$12,Paramètres!$A$1:$I$89,3,0)*VLOOKUP('Données projet'!$B$12,Paramètres!$A$1:$I$89,5,0)</f>
        <v>-1.3567387213697657E-13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312.53381881960331</v>
      </c>
      <c r="CE168" s="60">
        <f t="shared" si="148"/>
        <v>342.06887933351783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-9.7986685432260874E-13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475.47920969424894</v>
      </c>
      <c r="CZ168" s="60">
        <f t="shared" si="150"/>
        <v>271.73544012419364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-5.6843418860808015E-14</v>
      </c>
      <c r="DP168" s="18">
        <f>DO168*VLOOKUP('Données projet'!$B$14,Paramètres!$A$1:$I$89,3,0)*VLOOKUP('Données projet'!$B$14,Paramètres!$A$1:$I$89,5,0)</f>
        <v>-2.6602720026858149E-14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284.71577701131588</v>
      </c>
      <c r="DU168" s="60">
        <f t="shared" si="152"/>
        <v>190.4880882944471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-1.7053025658242404E-13</v>
      </c>
      <c r="EK168" s="18">
        <f>EJ168*VLOOKUP('Données projet'!$B$15,Paramètres!$A$1:$I$89,3,0)*VLOOKUP('Données projet'!$B$15,Paramètres!$A$1:$I$89,5,0)</f>
        <v>-1.250327841262333E-13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290.85271051443431</v>
      </c>
      <c r="EP168" s="60">
        <f t="shared" si="154"/>
        <v>318.66958823451142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428.8489304403459</v>
      </c>
      <c r="T169" s="60">
        <f t="shared" si="142"/>
        <v>247.01165577562966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1.2710188457276673E-13</v>
      </c>
      <c r="AK169" s="14">
        <f t="shared" si="164"/>
        <v>1.856866851063998E-12</v>
      </c>
      <c r="AL169" s="22">
        <f t="shared" si="165"/>
        <v>3.4554122145673649E-12</v>
      </c>
      <c r="AM169" s="60">
        <f t="shared" si="113"/>
        <v>293.33333333333678</v>
      </c>
      <c r="AN169" s="60">
        <f ca="1">AVERAGE(OFFSET($AM$3,0,0,'Données projet'!$E$10+1,1))-AVERAGE(OFFSET($H$3,0,0,'Données projet'!$E$10+1,1))</f>
        <v>323.98185264074681</v>
      </c>
      <c r="AO169" s="60">
        <f t="shared" si="144"/>
        <v>301.22207291854005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0.30188689173289501</v>
      </c>
      <c r="AV169" s="23">
        <f>EXP(-LN(2)/25)*AV168+(1-EXP(-LN(2)/25))/(LN(2)/25)*Calculateur!AQ169*Calculateur!AS169*VLOOKUP('Données projet'!$B$10,Paramètres!$A$1:$I$89,3,0)*0.475*44/12</f>
        <v>0.18998031229098089</v>
      </c>
      <c r="AW169" s="23">
        <f>EXP(-LN(2)/2)*AW168+(1-EXP(-LN(2)/2))/(LN(2)/2)*AQ169*AT169*VLOOKUP('Données projet'!$B$10,Paramètres!$A$1:$I$89,3,0)*0.475*44/12</f>
        <v>2.0626293030670967E-20</v>
      </c>
      <c r="AX169" s="23">
        <f t="shared" si="166"/>
        <v>0.4918672040238759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-2.8421709430404007E-13</v>
      </c>
      <c r="BE169" s="14">
        <f>BD169*VLOOKUP('Données projet'!$B$11,Paramètres!$A$1:$I$89,3,0)*VLOOKUP('Données projet'!$B$11,Paramètres!$A$1:$I$89,5,0)</f>
        <v>-1.69961822393816E-13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289.12367833861299</v>
      </c>
      <c r="BJ169" s="60">
        <f t="shared" si="146"/>
        <v>229.06617320689003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1.4050023751669652E-20</v>
      </c>
      <c r="BS169" s="24">
        <f t="shared" si="169"/>
        <v>1.4050023751669652E-20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-1.7053025658242404E-13</v>
      </c>
      <c r="BZ169" s="14">
        <f>BY169*VLOOKUP('Données projet'!$B$12,Paramètres!$A$1:$I$89,3,0)*VLOOKUP('Données projet'!$B$12,Paramètres!$A$1:$I$89,5,0)</f>
        <v>-1.3567387213697657E-13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312.53381881960331</v>
      </c>
      <c r="CE169" s="60">
        <f t="shared" si="148"/>
        <v>342.06887933351783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-9.7986685432260874E-13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475.47920969424894</v>
      </c>
      <c r="CZ169" s="60">
        <f t="shared" si="150"/>
        <v>271.73544012419364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-5.6843418860808015E-14</v>
      </c>
      <c r="DP169" s="18">
        <f>DO169*VLOOKUP('Données projet'!$B$14,Paramètres!$A$1:$I$89,3,0)*VLOOKUP('Données projet'!$B$14,Paramètres!$A$1:$I$89,5,0)</f>
        <v>-2.6602720026858149E-14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284.71577701131588</v>
      </c>
      <c r="DU169" s="60">
        <f t="shared" si="152"/>
        <v>190.4880882944471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-1.7053025658242404E-13</v>
      </c>
      <c r="EK169" s="18">
        <f>EJ169*VLOOKUP('Données projet'!$B$15,Paramètres!$A$1:$I$89,3,0)*VLOOKUP('Données projet'!$B$15,Paramètres!$A$1:$I$89,5,0)</f>
        <v>-1.250327841262333E-13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290.85271051443431</v>
      </c>
      <c r="EP169" s="60">
        <f t="shared" si="154"/>
        <v>318.66958823451142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428.8489304403459</v>
      </c>
      <c r="T170" s="60">
        <f t="shared" si="142"/>
        <v>247.01165577562966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1.2710188457276673E-13</v>
      </c>
      <c r="AK170" s="14">
        <f t="shared" si="164"/>
        <v>1.856866851063998E-12</v>
      </c>
      <c r="AL170" s="22">
        <f t="shared" si="165"/>
        <v>3.4554122145673649E-12</v>
      </c>
      <c r="AM170" s="60">
        <f t="shared" si="113"/>
        <v>293.33333333333678</v>
      </c>
      <c r="AN170" s="60">
        <f ca="1">AVERAGE(OFFSET($AM$3,0,0,'Données projet'!$E$10+1,1))-AVERAGE(OFFSET($H$3,0,0,'Données projet'!$E$10+1,1))</f>
        <v>323.98185264074681</v>
      </c>
      <c r="AO170" s="60">
        <f t="shared" si="144"/>
        <v>301.22207291854005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0.29596707391883531</v>
      </c>
      <c r="AV170" s="23">
        <f>EXP(-LN(2)/25)*AV169+(1-EXP(-LN(2)/25))/(LN(2)/25)*Calculateur!AQ170*Calculateur!AS170*VLOOKUP('Données projet'!$B$10,Paramètres!$A$1:$I$89,3,0)*0.475*44/12</f>
        <v>0.18478529066075361</v>
      </c>
      <c r="AW170" s="23">
        <f>EXP(-LN(2)/2)*AW169+(1-EXP(-LN(2)/2))/(LN(2)/2)*AQ170*AT170*VLOOKUP('Données projet'!$B$10,Paramètres!$A$1:$I$89,3,0)*0.475*44/12</f>
        <v>1.4584991672728265E-20</v>
      </c>
      <c r="AX170" s="23">
        <f t="shared" si="166"/>
        <v>0.48075236457958892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-2.8421709430404007E-13</v>
      </c>
      <c r="BE170" s="14">
        <f>BD170*VLOOKUP('Données projet'!$B$11,Paramètres!$A$1:$I$89,3,0)*VLOOKUP('Données projet'!$B$11,Paramètres!$A$1:$I$89,5,0)</f>
        <v>-1.69961822393816E-13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289.12367833861299</v>
      </c>
      <c r="BJ170" s="60">
        <f t="shared" si="146"/>
        <v>229.06617320689003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9.9348670706376683E-21</v>
      </c>
      <c r="BS170" s="24">
        <f t="shared" si="169"/>
        <v>9.9348670706376683E-21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-1.7053025658242404E-13</v>
      </c>
      <c r="BZ170" s="14">
        <f>BY170*VLOOKUP('Données projet'!$B$12,Paramètres!$A$1:$I$89,3,0)*VLOOKUP('Données projet'!$B$12,Paramètres!$A$1:$I$89,5,0)</f>
        <v>-1.3567387213697657E-13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312.53381881960331</v>
      </c>
      <c r="CE170" s="60">
        <f t="shared" si="148"/>
        <v>342.06887933351783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-9.7986685432260874E-13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475.47920969424894</v>
      </c>
      <c r="CZ170" s="60">
        <f t="shared" si="150"/>
        <v>271.73544012419364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-5.6843418860808015E-14</v>
      </c>
      <c r="DP170" s="18">
        <f>DO170*VLOOKUP('Données projet'!$B$14,Paramètres!$A$1:$I$89,3,0)*VLOOKUP('Données projet'!$B$14,Paramètres!$A$1:$I$89,5,0)</f>
        <v>-2.6602720026858149E-14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284.71577701131588</v>
      </c>
      <c r="DU170" s="60">
        <f t="shared" si="152"/>
        <v>190.4880882944471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-1.7053025658242404E-13</v>
      </c>
      <c r="EK170" s="18">
        <f>EJ170*VLOOKUP('Données projet'!$B$15,Paramètres!$A$1:$I$89,3,0)*VLOOKUP('Données projet'!$B$15,Paramètres!$A$1:$I$89,5,0)</f>
        <v>-1.250327841262333E-13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290.85271051443431</v>
      </c>
      <c r="EP170" s="60">
        <f t="shared" si="154"/>
        <v>318.66958823451142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428.8489304403459</v>
      </c>
      <c r="T171" s="60">
        <f t="shared" si="142"/>
        <v>247.01165577562966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1.2710188457276673E-13</v>
      </c>
      <c r="AK171" s="14">
        <f t="shared" si="164"/>
        <v>1.856866851063998E-12</v>
      </c>
      <c r="AL171" s="22">
        <f t="shared" si="165"/>
        <v>3.4554122145673649E-12</v>
      </c>
      <c r="AM171" s="60">
        <f t="shared" si="113"/>
        <v>293.33333333333678</v>
      </c>
      <c r="AN171" s="60">
        <f ca="1">AVERAGE(OFFSET($AM$3,0,0,'Données projet'!$E$10+1,1))-AVERAGE(OFFSET($H$3,0,0,'Données projet'!$E$10+1,1))</f>
        <v>323.98185264074681</v>
      </c>
      <c r="AO171" s="60">
        <f t="shared" si="144"/>
        <v>301.22207291854005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0.29016334012137696</v>
      </c>
      <c r="AV171" s="23">
        <f>EXP(-LN(2)/25)*AV170+(1-EXP(-LN(2)/25))/(LN(2)/25)*Calculateur!AQ171*Calculateur!AS171*VLOOKUP('Données projet'!$B$10,Paramètres!$A$1:$I$89,3,0)*0.475*44/12</f>
        <v>0.17973232717019919</v>
      </c>
      <c r="AW171" s="23">
        <f>EXP(-LN(2)/2)*AW170+(1-EXP(-LN(2)/2))/(LN(2)/2)*AQ171*AT171*VLOOKUP('Données projet'!$B$10,Paramètres!$A$1:$I$89,3,0)*0.475*44/12</f>
        <v>1.0313146515335484E-20</v>
      </c>
      <c r="AX171" s="23">
        <f t="shared" si="166"/>
        <v>0.46989566729157617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-2.8421709430404007E-13</v>
      </c>
      <c r="BE171" s="14">
        <f>BD171*VLOOKUP('Données projet'!$B$11,Paramètres!$A$1:$I$89,3,0)*VLOOKUP('Données projet'!$B$11,Paramètres!$A$1:$I$89,5,0)</f>
        <v>-1.69961822393816E-13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289.12367833861299</v>
      </c>
      <c r="BJ171" s="60">
        <f t="shared" si="146"/>
        <v>229.06617320689003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7.025011875834826E-21</v>
      </c>
      <c r="BS171" s="24">
        <f t="shared" si="169"/>
        <v>7.025011875834826E-21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-1.7053025658242404E-13</v>
      </c>
      <c r="BZ171" s="14">
        <f>BY171*VLOOKUP('Données projet'!$B$12,Paramètres!$A$1:$I$89,3,0)*VLOOKUP('Données projet'!$B$12,Paramètres!$A$1:$I$89,5,0)</f>
        <v>-1.3567387213697657E-13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312.53381881960331</v>
      </c>
      <c r="CE171" s="60">
        <f t="shared" si="148"/>
        <v>342.06887933351783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-9.7986685432260874E-13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475.47920969424894</v>
      </c>
      <c r="CZ171" s="60">
        <f t="shared" si="150"/>
        <v>271.73544012419364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-5.6843418860808015E-14</v>
      </c>
      <c r="DP171" s="18">
        <f>DO171*VLOOKUP('Données projet'!$B$14,Paramètres!$A$1:$I$89,3,0)*VLOOKUP('Données projet'!$B$14,Paramètres!$A$1:$I$89,5,0)</f>
        <v>-2.6602720026858149E-14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284.71577701131588</v>
      </c>
      <c r="DU171" s="60">
        <f t="shared" si="152"/>
        <v>190.4880882944471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-1.7053025658242404E-13</v>
      </c>
      <c r="EK171" s="18">
        <f>EJ171*VLOOKUP('Données projet'!$B$15,Paramètres!$A$1:$I$89,3,0)*VLOOKUP('Données projet'!$B$15,Paramètres!$A$1:$I$89,5,0)</f>
        <v>-1.250327841262333E-13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290.85271051443431</v>
      </c>
      <c r="EP171" s="60">
        <f t="shared" si="154"/>
        <v>318.66958823451142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428.8489304403459</v>
      </c>
      <c r="T172" s="60">
        <f t="shared" si="142"/>
        <v>247.01165577562966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1.2710188457276673E-13</v>
      </c>
      <c r="AK172" s="14">
        <f t="shared" si="164"/>
        <v>1.856866851063998E-12</v>
      </c>
      <c r="AL172" s="22">
        <f t="shared" si="165"/>
        <v>3.4554122145673649E-12</v>
      </c>
      <c r="AM172" s="60">
        <f t="shared" si="113"/>
        <v>293.33333333333678</v>
      </c>
      <c r="AN172" s="60">
        <f ca="1">AVERAGE(OFFSET($AM$3,0,0,'Données projet'!$E$10+1,1))-AVERAGE(OFFSET($H$3,0,0,'Données projet'!$E$10+1,1))</f>
        <v>323.98185264074681</v>
      </c>
      <c r="AO172" s="60">
        <f t="shared" si="144"/>
        <v>301.22207291854005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0.2844734140037587</v>
      </c>
      <c r="AV172" s="23">
        <f>EXP(-LN(2)/25)*AV171+(1-EXP(-LN(2)/25))/(LN(2)/25)*Calculateur!AQ172*Calculateur!AS172*VLOOKUP('Données projet'!$B$10,Paramètres!$A$1:$I$89,3,0)*0.475*44/12</f>
        <v>0.17481753723201779</v>
      </c>
      <c r="AW172" s="23">
        <f>EXP(-LN(2)/2)*AW171+(1-EXP(-LN(2)/2))/(LN(2)/2)*AQ172*AT172*VLOOKUP('Données projet'!$B$10,Paramètres!$A$1:$I$89,3,0)*0.475*44/12</f>
        <v>7.2924958363641327E-21</v>
      </c>
      <c r="AX172" s="23">
        <f t="shared" si="166"/>
        <v>0.45929095123577646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-2.8421709430404007E-13</v>
      </c>
      <c r="BE172" s="14">
        <f>BD172*VLOOKUP('Données projet'!$B$11,Paramètres!$A$1:$I$89,3,0)*VLOOKUP('Données projet'!$B$11,Paramètres!$A$1:$I$89,5,0)</f>
        <v>-1.69961822393816E-13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289.12367833861299</v>
      </c>
      <c r="BJ172" s="60">
        <f t="shared" si="146"/>
        <v>229.06617320689003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4.9674335353188341E-21</v>
      </c>
      <c r="BS172" s="24">
        <f t="shared" si="169"/>
        <v>4.9674335353188341E-21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-1.7053025658242404E-13</v>
      </c>
      <c r="BZ172" s="14">
        <f>BY172*VLOOKUP('Données projet'!$B$12,Paramètres!$A$1:$I$89,3,0)*VLOOKUP('Données projet'!$B$12,Paramètres!$A$1:$I$89,5,0)</f>
        <v>-1.3567387213697657E-13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312.53381881960331</v>
      </c>
      <c r="CE172" s="60">
        <f t="shared" si="148"/>
        <v>342.06887933351783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-9.7986685432260874E-13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475.47920969424894</v>
      </c>
      <c r="CZ172" s="60">
        <f t="shared" si="150"/>
        <v>271.73544012419364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-5.6843418860808015E-14</v>
      </c>
      <c r="DP172" s="18">
        <f>DO172*VLOOKUP('Données projet'!$B$14,Paramètres!$A$1:$I$89,3,0)*VLOOKUP('Données projet'!$B$14,Paramètres!$A$1:$I$89,5,0)</f>
        <v>-2.6602720026858149E-14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284.71577701131588</v>
      </c>
      <c r="DU172" s="60">
        <f t="shared" si="152"/>
        <v>190.4880882944471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-1.7053025658242404E-13</v>
      </c>
      <c r="EK172" s="18">
        <f>EJ172*VLOOKUP('Données projet'!$B$15,Paramètres!$A$1:$I$89,3,0)*VLOOKUP('Données projet'!$B$15,Paramètres!$A$1:$I$89,5,0)</f>
        <v>-1.250327841262333E-13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290.85271051443431</v>
      </c>
      <c r="EP172" s="60">
        <f t="shared" si="154"/>
        <v>318.66958823451142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428.8489304403459</v>
      </c>
      <c r="T173" s="60">
        <f t="shared" si="142"/>
        <v>247.01165577562966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1.2710188457276673E-13</v>
      </c>
      <c r="AK173" s="14">
        <f t="shared" si="164"/>
        <v>1.856866851063998E-12</v>
      </c>
      <c r="AL173" s="22">
        <f t="shared" si="165"/>
        <v>3.4554122145673649E-12</v>
      </c>
      <c r="AM173" s="60">
        <f t="shared" si="113"/>
        <v>293.33333333333678</v>
      </c>
      <c r="AN173" s="60">
        <f ca="1">AVERAGE(OFFSET($AM$3,0,0,'Données projet'!$E$10+1,1))-AVERAGE(OFFSET($H$3,0,0,'Données projet'!$E$10+1,1))</f>
        <v>323.98185264074681</v>
      </c>
      <c r="AO173" s="60">
        <f t="shared" si="144"/>
        <v>301.22207291854005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0.27889506386679469</v>
      </c>
      <c r="AV173" s="23">
        <f>EXP(-LN(2)/25)*AV172+(1-EXP(-LN(2)/25))/(LN(2)/25)*Calculateur!AQ173*Calculateur!AS173*VLOOKUP('Données projet'!$B$10,Paramètres!$A$1:$I$89,3,0)*0.475*44/12</f>
        <v>0.17003714248315352</v>
      </c>
      <c r="AW173" s="23">
        <f>EXP(-LN(2)/2)*AW172+(1-EXP(-LN(2)/2))/(LN(2)/2)*AQ173*AT173*VLOOKUP('Données projet'!$B$10,Paramètres!$A$1:$I$89,3,0)*0.475*44/12</f>
        <v>5.1565732576677418E-21</v>
      </c>
      <c r="AX173" s="23">
        <f t="shared" si="166"/>
        <v>0.44893220634994824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-2.8421709430404007E-13</v>
      </c>
      <c r="BE173" s="14">
        <f>BD173*VLOOKUP('Données projet'!$B$11,Paramètres!$A$1:$I$89,3,0)*VLOOKUP('Données projet'!$B$11,Paramètres!$A$1:$I$89,5,0)</f>
        <v>-1.69961822393816E-13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289.12367833861299</v>
      </c>
      <c r="BJ173" s="60">
        <f t="shared" si="146"/>
        <v>229.06617320689003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3.512505937917413E-21</v>
      </c>
      <c r="BS173" s="24">
        <f t="shared" si="169"/>
        <v>3.512505937917413E-21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-1.7053025658242404E-13</v>
      </c>
      <c r="BZ173" s="14">
        <f>BY173*VLOOKUP('Données projet'!$B$12,Paramètres!$A$1:$I$89,3,0)*VLOOKUP('Données projet'!$B$12,Paramètres!$A$1:$I$89,5,0)</f>
        <v>-1.3567387213697657E-13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312.53381881960331</v>
      </c>
      <c r="CE173" s="60">
        <f t="shared" si="148"/>
        <v>342.06887933351783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-9.7986685432260874E-13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475.47920969424894</v>
      </c>
      <c r="CZ173" s="60">
        <f t="shared" si="150"/>
        <v>271.73544012419364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-5.6843418860808015E-14</v>
      </c>
      <c r="DP173" s="18">
        <f>DO173*VLOOKUP('Données projet'!$B$14,Paramètres!$A$1:$I$89,3,0)*VLOOKUP('Données projet'!$B$14,Paramètres!$A$1:$I$89,5,0)</f>
        <v>-2.6602720026858149E-14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284.71577701131588</v>
      </c>
      <c r="DU173" s="60">
        <f t="shared" si="152"/>
        <v>190.4880882944471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-1.7053025658242404E-13</v>
      </c>
      <c r="EK173" s="18">
        <f>EJ173*VLOOKUP('Données projet'!$B$15,Paramètres!$A$1:$I$89,3,0)*VLOOKUP('Données projet'!$B$15,Paramètres!$A$1:$I$89,5,0)</f>
        <v>-1.250327841262333E-13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290.85271051443431</v>
      </c>
      <c r="EP173" s="60">
        <f t="shared" si="154"/>
        <v>318.66958823451142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428.8489304403459</v>
      </c>
      <c r="T174" s="60">
        <f t="shared" si="142"/>
        <v>247.01165577562966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1.2710188457276673E-13</v>
      </c>
      <c r="AK174" s="14">
        <f t="shared" si="164"/>
        <v>1.856866851063998E-12</v>
      </c>
      <c r="AL174" s="22">
        <f t="shared" si="165"/>
        <v>3.4554122145673649E-12</v>
      </c>
      <c r="AM174" s="60">
        <f t="shared" si="113"/>
        <v>293.33333333333678</v>
      </c>
      <c r="AN174" s="60">
        <f ca="1">AVERAGE(OFFSET($AM$3,0,0,'Données projet'!$E$10+1,1))-AVERAGE(OFFSET($H$3,0,0,'Données projet'!$E$10+1,1))</f>
        <v>323.98185264074681</v>
      </c>
      <c r="AO174" s="60">
        <f t="shared" si="144"/>
        <v>301.22207291854005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0.27342610177355892</v>
      </c>
      <c r="AV174" s="23">
        <f>EXP(-LN(2)/25)*AV173+(1-EXP(-LN(2)/25))/(LN(2)/25)*Calculateur!AQ174*Calculateur!AS174*VLOOKUP('Données projet'!$B$10,Paramètres!$A$1:$I$89,3,0)*0.475*44/12</f>
        <v>0.16538746788008699</v>
      </c>
      <c r="AW174" s="23">
        <f>EXP(-LN(2)/2)*AW173+(1-EXP(-LN(2)/2))/(LN(2)/2)*AQ174*AT174*VLOOKUP('Données projet'!$B$10,Paramètres!$A$1:$I$89,3,0)*0.475*44/12</f>
        <v>3.6462479181820664E-21</v>
      </c>
      <c r="AX174" s="23">
        <f t="shared" si="166"/>
        <v>0.43881356965364593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-2.8421709430404007E-13</v>
      </c>
      <c r="BE174" s="14">
        <f>BD174*VLOOKUP('Données projet'!$B$11,Paramètres!$A$1:$I$89,3,0)*VLOOKUP('Données projet'!$B$11,Paramètres!$A$1:$I$89,5,0)</f>
        <v>-1.69961822393816E-13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289.12367833861299</v>
      </c>
      <c r="BJ174" s="60">
        <f t="shared" si="146"/>
        <v>229.06617320689003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2.4837167676594171E-21</v>
      </c>
      <c r="BS174" s="24">
        <f t="shared" si="169"/>
        <v>2.4837167676594171E-21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-1.7053025658242404E-13</v>
      </c>
      <c r="BZ174" s="14">
        <f>BY174*VLOOKUP('Données projet'!$B$12,Paramètres!$A$1:$I$89,3,0)*VLOOKUP('Données projet'!$B$12,Paramètres!$A$1:$I$89,5,0)</f>
        <v>-1.3567387213697657E-13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312.53381881960331</v>
      </c>
      <c r="CE174" s="60">
        <f t="shared" si="148"/>
        <v>342.06887933351783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-9.7986685432260874E-13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475.47920969424894</v>
      </c>
      <c r="CZ174" s="60">
        <f t="shared" si="150"/>
        <v>271.73544012419364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-5.6843418860808015E-14</v>
      </c>
      <c r="DP174" s="18">
        <f>DO174*VLOOKUP('Données projet'!$B$14,Paramètres!$A$1:$I$89,3,0)*VLOOKUP('Données projet'!$B$14,Paramètres!$A$1:$I$89,5,0)</f>
        <v>-2.6602720026858149E-14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284.71577701131588</v>
      </c>
      <c r="DU174" s="60">
        <f t="shared" si="152"/>
        <v>190.4880882944471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-1.7053025658242404E-13</v>
      </c>
      <c r="EK174" s="18">
        <f>EJ174*VLOOKUP('Données projet'!$B$15,Paramètres!$A$1:$I$89,3,0)*VLOOKUP('Données projet'!$B$15,Paramètres!$A$1:$I$89,5,0)</f>
        <v>-1.250327841262333E-13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290.85271051443431</v>
      </c>
      <c r="EP174" s="60">
        <f t="shared" si="154"/>
        <v>318.66958823451142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428.8489304403459</v>
      </c>
      <c r="T175" s="60">
        <f t="shared" si="142"/>
        <v>247.01165577562966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1.2710188457276673E-13</v>
      </c>
      <c r="AK175" s="14">
        <f t="shared" si="164"/>
        <v>1.856866851063998E-12</v>
      </c>
      <c r="AL175" s="22">
        <f t="shared" si="165"/>
        <v>3.4554122145673649E-12</v>
      </c>
      <c r="AM175" s="60">
        <f t="shared" si="113"/>
        <v>293.33333333333678</v>
      </c>
      <c r="AN175" s="60">
        <f ca="1">AVERAGE(OFFSET($AM$3,0,0,'Données projet'!$E$10+1,1))-AVERAGE(OFFSET($H$3,0,0,'Données projet'!$E$10+1,1))</f>
        <v>323.98185264074681</v>
      </c>
      <c r="AO175" s="60">
        <f t="shared" si="144"/>
        <v>301.22207291854005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0.268064382691234</v>
      </c>
      <c r="AV175" s="23">
        <f>EXP(-LN(2)/25)*AV174+(1-EXP(-LN(2)/25))/(LN(2)/25)*Calculateur!AQ175*Calculateur!AS175*VLOOKUP('Données projet'!$B$10,Paramètres!$A$1:$I$89,3,0)*0.475*44/12</f>
        <v>0.16086493887355707</v>
      </c>
      <c r="AW175" s="23">
        <f>EXP(-LN(2)/2)*AW174+(1-EXP(-LN(2)/2))/(LN(2)/2)*AQ175*AT175*VLOOKUP('Données projet'!$B$10,Paramètres!$A$1:$I$89,3,0)*0.475*44/12</f>
        <v>2.5782866288338709E-21</v>
      </c>
      <c r="AX175" s="23">
        <f t="shared" si="166"/>
        <v>0.42892932156479108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-2.8421709430404007E-13</v>
      </c>
      <c r="BE175" s="14">
        <f>BD175*VLOOKUP('Données projet'!$B$11,Paramètres!$A$1:$I$89,3,0)*VLOOKUP('Données projet'!$B$11,Paramètres!$A$1:$I$89,5,0)</f>
        <v>-1.69961822393816E-13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289.12367833861299</v>
      </c>
      <c r="BJ175" s="60">
        <f t="shared" si="146"/>
        <v>229.06617320689003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1.7562529689587065E-21</v>
      </c>
      <c r="BS175" s="24">
        <f t="shared" si="169"/>
        <v>1.7562529689587065E-21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-1.7053025658242404E-13</v>
      </c>
      <c r="BZ175" s="14">
        <f>BY175*VLOOKUP('Données projet'!$B$12,Paramètres!$A$1:$I$89,3,0)*VLOOKUP('Données projet'!$B$12,Paramètres!$A$1:$I$89,5,0)</f>
        <v>-1.3567387213697657E-13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312.53381881960331</v>
      </c>
      <c r="CE175" s="60">
        <f t="shared" si="148"/>
        <v>342.06887933351783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-9.7986685432260874E-13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475.47920969424894</v>
      </c>
      <c r="CZ175" s="60">
        <f t="shared" si="150"/>
        <v>271.73544012419364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-5.6843418860808015E-14</v>
      </c>
      <c r="DP175" s="18">
        <f>DO175*VLOOKUP('Données projet'!$B$14,Paramètres!$A$1:$I$89,3,0)*VLOOKUP('Données projet'!$B$14,Paramètres!$A$1:$I$89,5,0)</f>
        <v>-2.6602720026858149E-14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284.71577701131588</v>
      </c>
      <c r="DU175" s="60">
        <f t="shared" si="152"/>
        <v>190.4880882944471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-1.7053025658242404E-13</v>
      </c>
      <c r="EK175" s="18">
        <f>EJ175*VLOOKUP('Données projet'!$B$15,Paramètres!$A$1:$I$89,3,0)*VLOOKUP('Données projet'!$B$15,Paramètres!$A$1:$I$89,5,0)</f>
        <v>-1.250327841262333E-13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290.85271051443431</v>
      </c>
      <c r="EP175" s="60">
        <f t="shared" si="154"/>
        <v>318.66958823451142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428.8489304403459</v>
      </c>
      <c r="T176" s="60">
        <f t="shared" si="142"/>
        <v>247.01165577562966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1.2710188457276673E-13</v>
      </c>
      <c r="AK176" s="14">
        <f t="shared" si="164"/>
        <v>1.856866851063998E-12</v>
      </c>
      <c r="AL176" s="22">
        <f t="shared" si="165"/>
        <v>3.4554122145673649E-12</v>
      </c>
      <c r="AM176" s="60">
        <f t="shared" si="113"/>
        <v>293.33333333333678</v>
      </c>
      <c r="AN176" s="60">
        <f ca="1">AVERAGE(OFFSET($AM$3,0,0,'Données projet'!$E$10+1,1))-AVERAGE(OFFSET($H$3,0,0,'Données projet'!$E$10+1,1))</f>
        <v>323.98185264074681</v>
      </c>
      <c r="AO176" s="60">
        <f t="shared" si="144"/>
        <v>301.22207291854005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0.26280780364978773</v>
      </c>
      <c r="AV176" s="23">
        <f>EXP(-LN(2)/25)*AV175+(1-EXP(-LN(2)/25))/(LN(2)/25)*Calculateur!AQ176*Calculateur!AS176*VLOOKUP('Données projet'!$B$10,Paramètres!$A$1:$I$89,3,0)*0.475*44/12</f>
        <v>0.15646607866054019</v>
      </c>
      <c r="AW176" s="23">
        <f>EXP(-LN(2)/2)*AW175+(1-EXP(-LN(2)/2))/(LN(2)/2)*AQ176*AT176*VLOOKUP('Données projet'!$B$10,Paramètres!$A$1:$I$89,3,0)*0.475*44/12</f>
        <v>1.8231239590910332E-21</v>
      </c>
      <c r="AX176" s="23">
        <f t="shared" si="166"/>
        <v>0.41927388231032792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-2.8421709430404007E-13</v>
      </c>
      <c r="BE176" s="14">
        <f>BD176*VLOOKUP('Données projet'!$B$11,Paramètres!$A$1:$I$89,3,0)*VLOOKUP('Données projet'!$B$11,Paramètres!$A$1:$I$89,5,0)</f>
        <v>-1.69961822393816E-13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289.12367833861299</v>
      </c>
      <c r="BJ176" s="60">
        <f t="shared" si="146"/>
        <v>229.06617320689003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1.2418583838297085E-21</v>
      </c>
      <c r="BS176" s="24">
        <f t="shared" si="169"/>
        <v>1.2418583838297085E-21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-1.7053025658242404E-13</v>
      </c>
      <c r="BZ176" s="14">
        <f>BY176*VLOOKUP('Données projet'!$B$12,Paramètres!$A$1:$I$89,3,0)*VLOOKUP('Données projet'!$B$12,Paramètres!$A$1:$I$89,5,0)</f>
        <v>-1.3567387213697657E-13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312.53381881960331</v>
      </c>
      <c r="CE176" s="60">
        <f t="shared" si="148"/>
        <v>342.06887933351783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-9.7986685432260874E-13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475.47920969424894</v>
      </c>
      <c r="CZ176" s="60">
        <f t="shared" si="150"/>
        <v>271.73544012419364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-5.6843418860808015E-14</v>
      </c>
      <c r="DP176" s="18">
        <f>DO176*VLOOKUP('Données projet'!$B$14,Paramètres!$A$1:$I$89,3,0)*VLOOKUP('Données projet'!$B$14,Paramètres!$A$1:$I$89,5,0)</f>
        <v>-2.6602720026858149E-14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284.71577701131588</v>
      </c>
      <c r="DU176" s="60">
        <f t="shared" si="152"/>
        <v>190.4880882944471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-1.7053025658242404E-13</v>
      </c>
      <c r="EK176" s="18">
        <f>EJ176*VLOOKUP('Données projet'!$B$15,Paramètres!$A$1:$I$89,3,0)*VLOOKUP('Données projet'!$B$15,Paramètres!$A$1:$I$89,5,0)</f>
        <v>-1.250327841262333E-13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290.85271051443431</v>
      </c>
      <c r="EP176" s="60">
        <f t="shared" si="154"/>
        <v>318.66958823451142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428.8489304403459</v>
      </c>
      <c r="T177" s="60">
        <f t="shared" si="142"/>
        <v>247.01165577562966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1.2710188457276673E-13</v>
      </c>
      <c r="AK177" s="14">
        <f t="shared" si="164"/>
        <v>1.856866851063998E-12</v>
      </c>
      <c r="AL177" s="22">
        <f t="shared" si="165"/>
        <v>3.4554122145673649E-12</v>
      </c>
      <c r="AM177" s="60">
        <f t="shared" si="113"/>
        <v>293.33333333333678</v>
      </c>
      <c r="AN177" s="60">
        <f ca="1">AVERAGE(OFFSET($AM$3,0,0,'Données projet'!$E$10+1,1))-AVERAGE(OFFSET($H$3,0,0,'Données projet'!$E$10+1,1))</f>
        <v>323.98185264074681</v>
      </c>
      <c r="AO177" s="60">
        <f t="shared" si="144"/>
        <v>301.22207291854005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0.25765430291714764</v>
      </c>
      <c r="AV177" s="23">
        <f>EXP(-LN(2)/25)*AV176+(1-EXP(-LN(2)/25))/(LN(2)/25)*Calculateur!AQ177*Calculateur!AS177*VLOOKUP('Données projet'!$B$10,Paramètres!$A$1:$I$89,3,0)*0.475*44/12</f>
        <v>0.15218750551137425</v>
      </c>
      <c r="AW177" s="23">
        <f>EXP(-LN(2)/2)*AW176+(1-EXP(-LN(2)/2))/(LN(2)/2)*AQ177*AT177*VLOOKUP('Données projet'!$B$10,Paramètres!$A$1:$I$89,3,0)*0.475*44/12</f>
        <v>1.2891433144169354E-21</v>
      </c>
      <c r="AX177" s="23">
        <f t="shared" si="166"/>
        <v>0.40984180842852191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-2.8421709430404007E-13</v>
      </c>
      <c r="BE177" s="14">
        <f>BD177*VLOOKUP('Données projet'!$B$11,Paramètres!$A$1:$I$89,3,0)*VLOOKUP('Données projet'!$B$11,Paramètres!$A$1:$I$89,5,0)</f>
        <v>-1.69961822393816E-13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289.12367833861299</v>
      </c>
      <c r="BJ177" s="60">
        <f t="shared" si="146"/>
        <v>229.06617320689003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8.7812648447935325E-22</v>
      </c>
      <c r="BS177" s="24">
        <f t="shared" si="169"/>
        <v>8.7812648447935325E-22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-1.7053025658242404E-13</v>
      </c>
      <c r="BZ177" s="14">
        <f>BY177*VLOOKUP('Données projet'!$B$12,Paramètres!$A$1:$I$89,3,0)*VLOOKUP('Données projet'!$B$12,Paramètres!$A$1:$I$89,5,0)</f>
        <v>-1.3567387213697657E-13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312.53381881960331</v>
      </c>
      <c r="CE177" s="60">
        <f t="shared" si="148"/>
        <v>342.06887933351783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-9.7986685432260874E-13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475.47920969424894</v>
      </c>
      <c r="CZ177" s="60">
        <f t="shared" si="150"/>
        <v>271.73544012419364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-5.6843418860808015E-14</v>
      </c>
      <c r="DP177" s="18">
        <f>DO177*VLOOKUP('Données projet'!$B$14,Paramètres!$A$1:$I$89,3,0)*VLOOKUP('Données projet'!$B$14,Paramètres!$A$1:$I$89,5,0)</f>
        <v>-2.6602720026858149E-14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284.71577701131588</v>
      </c>
      <c r="DU177" s="60">
        <f t="shared" si="152"/>
        <v>190.4880882944471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-1.7053025658242404E-13</v>
      </c>
      <c r="EK177" s="18">
        <f>EJ177*VLOOKUP('Données projet'!$B$15,Paramètres!$A$1:$I$89,3,0)*VLOOKUP('Données projet'!$B$15,Paramètres!$A$1:$I$89,5,0)</f>
        <v>-1.250327841262333E-13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290.85271051443431</v>
      </c>
      <c r="EP177" s="60">
        <f t="shared" si="154"/>
        <v>318.66958823451142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428.8489304403459</v>
      </c>
      <c r="T178" s="60">
        <f t="shared" si="142"/>
        <v>247.01165577562966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1.2710188457276673E-13</v>
      </c>
      <c r="AK178" s="14">
        <f t="shared" si="164"/>
        <v>1.856866851063998E-12</v>
      </c>
      <c r="AL178" s="22">
        <f t="shared" si="165"/>
        <v>3.4554122145673649E-12</v>
      </c>
      <c r="AM178" s="60">
        <f t="shared" si="113"/>
        <v>293.33333333333678</v>
      </c>
      <c r="AN178" s="60">
        <f ca="1">AVERAGE(OFFSET($AM$3,0,0,'Données projet'!$E$10+1,1))-AVERAGE(OFFSET($H$3,0,0,'Données projet'!$E$10+1,1))</f>
        <v>323.98185264074681</v>
      </c>
      <c r="AO178" s="60">
        <f t="shared" si="144"/>
        <v>301.22207291854005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0.2526018591905495</v>
      </c>
      <c r="AV178" s="23">
        <f>EXP(-LN(2)/25)*AV177+(1-EXP(-LN(2)/25))/(LN(2)/25)*Calculateur!AQ178*Calculateur!AS178*VLOOKUP('Données projet'!$B$10,Paramètres!$A$1:$I$89,3,0)*0.475*44/12</f>
        <v>0.14802593016997265</v>
      </c>
      <c r="AW178" s="23">
        <f>EXP(-LN(2)/2)*AW177+(1-EXP(-LN(2)/2))/(LN(2)/2)*AQ178*AT178*VLOOKUP('Données projet'!$B$10,Paramètres!$A$1:$I$89,3,0)*0.475*44/12</f>
        <v>9.1156197954551659E-22</v>
      </c>
      <c r="AX178" s="23">
        <f t="shared" si="166"/>
        <v>0.40062778936052212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-2.8421709430404007E-13</v>
      </c>
      <c r="BE178" s="14">
        <f>BD178*VLOOKUP('Données projet'!$B$11,Paramètres!$A$1:$I$89,3,0)*VLOOKUP('Données projet'!$B$11,Paramètres!$A$1:$I$89,5,0)</f>
        <v>-1.69961822393816E-13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289.12367833861299</v>
      </c>
      <c r="BJ178" s="60">
        <f t="shared" si="146"/>
        <v>229.06617320689003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6.2092919191485427E-22</v>
      </c>
      <c r="BS178" s="24">
        <f t="shared" si="169"/>
        <v>6.2092919191485427E-22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-1.7053025658242404E-13</v>
      </c>
      <c r="BZ178" s="14">
        <f>BY178*VLOOKUP('Données projet'!$B$12,Paramètres!$A$1:$I$89,3,0)*VLOOKUP('Données projet'!$B$12,Paramètres!$A$1:$I$89,5,0)</f>
        <v>-1.3567387213697657E-13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312.53381881960331</v>
      </c>
      <c r="CE178" s="60">
        <f t="shared" si="148"/>
        <v>342.06887933351783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-9.7986685432260874E-13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475.47920969424894</v>
      </c>
      <c r="CZ178" s="60">
        <f t="shared" si="150"/>
        <v>271.73544012419364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-5.6843418860808015E-14</v>
      </c>
      <c r="DP178" s="18">
        <f>DO178*VLOOKUP('Données projet'!$B$14,Paramètres!$A$1:$I$89,3,0)*VLOOKUP('Données projet'!$B$14,Paramètres!$A$1:$I$89,5,0)</f>
        <v>-2.6602720026858149E-14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284.71577701131588</v>
      </c>
      <c r="DU178" s="60">
        <f t="shared" si="152"/>
        <v>190.4880882944471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-1.7053025658242404E-13</v>
      </c>
      <c r="EK178" s="18">
        <f>EJ178*VLOOKUP('Données projet'!$B$15,Paramètres!$A$1:$I$89,3,0)*VLOOKUP('Données projet'!$B$15,Paramètres!$A$1:$I$89,5,0)</f>
        <v>-1.250327841262333E-13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290.85271051443431</v>
      </c>
      <c r="EP178" s="60">
        <f t="shared" si="154"/>
        <v>318.66958823451142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428.8489304403459</v>
      </c>
      <c r="T179" s="60">
        <f t="shared" si="142"/>
        <v>247.01165577562966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1.2710188457276673E-13</v>
      </c>
      <c r="AK179" s="14">
        <f t="shared" si="164"/>
        <v>1.856866851063998E-12</v>
      </c>
      <c r="AL179" s="22">
        <f t="shared" si="165"/>
        <v>3.4554122145673649E-12</v>
      </c>
      <c r="AM179" s="60">
        <f t="shared" si="113"/>
        <v>293.33333333333678</v>
      </c>
      <c r="AN179" s="60">
        <f ca="1">AVERAGE(OFFSET($AM$3,0,0,'Données projet'!$E$10+1,1))-AVERAGE(OFFSET($H$3,0,0,'Données projet'!$E$10+1,1))</f>
        <v>323.98185264074681</v>
      </c>
      <c r="AO179" s="60">
        <f t="shared" si="144"/>
        <v>301.22207291854005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0.2476484908037436</v>
      </c>
      <c r="AV179" s="23">
        <f>EXP(-LN(2)/25)*AV178+(1-EXP(-LN(2)/25))/(LN(2)/25)*Calculateur!AQ179*Calculateur!AS179*VLOOKUP('Données projet'!$B$10,Paramètres!$A$1:$I$89,3,0)*0.475*44/12</f>
        <v>0.14397815332512939</v>
      </c>
      <c r="AW179" s="23">
        <f>EXP(-LN(2)/2)*AW178+(1-EXP(-LN(2)/2))/(LN(2)/2)*AQ179*AT179*VLOOKUP('Données projet'!$B$10,Paramètres!$A$1:$I$89,3,0)*0.475*44/12</f>
        <v>6.4457165720846772E-22</v>
      </c>
      <c r="AX179" s="23">
        <f t="shared" si="166"/>
        <v>0.39162664412887299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-2.8421709430404007E-13</v>
      </c>
      <c r="BE179" s="14">
        <f>BD179*VLOOKUP('Données projet'!$B$11,Paramètres!$A$1:$I$89,3,0)*VLOOKUP('Données projet'!$B$11,Paramètres!$A$1:$I$89,5,0)</f>
        <v>-1.69961822393816E-13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289.12367833861299</v>
      </c>
      <c r="BJ179" s="60">
        <f t="shared" si="146"/>
        <v>229.06617320689003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4.3906324223967662E-22</v>
      </c>
      <c r="BS179" s="24">
        <f t="shared" si="169"/>
        <v>4.3906324223967662E-22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-1.7053025658242404E-13</v>
      </c>
      <c r="BZ179" s="14">
        <f>BY179*VLOOKUP('Données projet'!$B$12,Paramètres!$A$1:$I$89,3,0)*VLOOKUP('Données projet'!$B$12,Paramètres!$A$1:$I$89,5,0)</f>
        <v>-1.3567387213697657E-13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312.53381881960331</v>
      </c>
      <c r="CE179" s="60">
        <f t="shared" si="148"/>
        <v>342.06887933351783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-9.7986685432260874E-13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475.47920969424894</v>
      </c>
      <c r="CZ179" s="60">
        <f t="shared" si="150"/>
        <v>271.73544012419364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-5.6843418860808015E-14</v>
      </c>
      <c r="DP179" s="18">
        <f>DO179*VLOOKUP('Données projet'!$B$14,Paramètres!$A$1:$I$89,3,0)*VLOOKUP('Données projet'!$B$14,Paramètres!$A$1:$I$89,5,0)</f>
        <v>-2.6602720026858149E-14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284.71577701131588</v>
      </c>
      <c r="DU179" s="60">
        <f t="shared" si="152"/>
        <v>190.4880882944471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-1.7053025658242404E-13</v>
      </c>
      <c r="EK179" s="18">
        <f>EJ179*VLOOKUP('Données projet'!$B$15,Paramètres!$A$1:$I$89,3,0)*VLOOKUP('Données projet'!$B$15,Paramètres!$A$1:$I$89,5,0)</f>
        <v>-1.250327841262333E-13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290.85271051443431</v>
      </c>
      <c r="EP179" s="60">
        <f t="shared" si="154"/>
        <v>318.66958823451142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428.8489304403459</v>
      </c>
      <c r="T180" s="60">
        <f t="shared" si="142"/>
        <v>247.01165577562966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1.2710188457276673E-13</v>
      </c>
      <c r="AK180" s="14">
        <f t="shared" si="164"/>
        <v>1.856866851063998E-12</v>
      </c>
      <c r="AL180" s="22">
        <f t="shared" si="165"/>
        <v>3.4554122145673649E-12</v>
      </c>
      <c r="AM180" s="60">
        <f t="shared" si="113"/>
        <v>293.33333333333678</v>
      </c>
      <c r="AN180" s="60">
        <f ca="1">AVERAGE(OFFSET($AM$3,0,0,'Données projet'!$E$10+1,1))-AVERAGE(OFFSET($H$3,0,0,'Données projet'!$E$10+1,1))</f>
        <v>323.98185264074681</v>
      </c>
      <c r="AO180" s="60">
        <f t="shared" si="144"/>
        <v>301.22207291854005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0.24279225494974657</v>
      </c>
      <c r="AV180" s="23">
        <f>EXP(-LN(2)/25)*AV179+(1-EXP(-LN(2)/25))/(LN(2)/25)*Calculateur!AQ180*Calculateur!AS180*VLOOKUP('Données projet'!$B$10,Paramètres!$A$1:$I$89,3,0)*0.475*44/12</f>
        <v>0.1400410631509717</v>
      </c>
      <c r="AW180" s="23">
        <f>EXP(-LN(2)/2)*AW179+(1-EXP(-LN(2)/2))/(LN(2)/2)*AQ180*AT180*VLOOKUP('Données projet'!$B$10,Paramètres!$A$1:$I$89,3,0)*0.475*44/12</f>
        <v>4.557809897727583E-22</v>
      </c>
      <c r="AX180" s="23">
        <f t="shared" si="166"/>
        <v>0.3828333181007183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-2.8421709430404007E-13</v>
      </c>
      <c r="BE180" s="14">
        <f>BD180*VLOOKUP('Données projet'!$B$11,Paramètres!$A$1:$I$89,3,0)*VLOOKUP('Données projet'!$B$11,Paramètres!$A$1:$I$89,5,0)</f>
        <v>-1.69961822393816E-13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289.12367833861299</v>
      </c>
      <c r="BJ180" s="60">
        <f t="shared" si="146"/>
        <v>229.06617320689003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3.1046459595742713E-22</v>
      </c>
      <c r="BS180" s="24">
        <f t="shared" si="169"/>
        <v>3.1046459595742713E-22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-1.7053025658242404E-13</v>
      </c>
      <c r="BZ180" s="14">
        <f>BY180*VLOOKUP('Données projet'!$B$12,Paramètres!$A$1:$I$89,3,0)*VLOOKUP('Données projet'!$B$12,Paramètres!$A$1:$I$89,5,0)</f>
        <v>-1.3567387213697657E-13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312.53381881960331</v>
      </c>
      <c r="CE180" s="60">
        <f t="shared" si="148"/>
        <v>342.06887933351783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-9.7986685432260874E-13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475.47920969424894</v>
      </c>
      <c r="CZ180" s="60">
        <f t="shared" si="150"/>
        <v>271.73544012419364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-5.6843418860808015E-14</v>
      </c>
      <c r="DP180" s="18">
        <f>DO180*VLOOKUP('Données projet'!$B$14,Paramètres!$A$1:$I$89,3,0)*VLOOKUP('Données projet'!$B$14,Paramètres!$A$1:$I$89,5,0)</f>
        <v>-2.6602720026858149E-14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284.71577701131588</v>
      </c>
      <c r="DU180" s="60">
        <f t="shared" si="152"/>
        <v>190.4880882944471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-1.7053025658242404E-13</v>
      </c>
      <c r="EK180" s="18">
        <f>EJ180*VLOOKUP('Données projet'!$B$15,Paramètres!$A$1:$I$89,3,0)*VLOOKUP('Données projet'!$B$15,Paramètres!$A$1:$I$89,5,0)</f>
        <v>-1.250327841262333E-13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290.85271051443431</v>
      </c>
      <c r="EP180" s="60">
        <f t="shared" si="154"/>
        <v>318.66958823451142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428.8489304403459</v>
      </c>
      <c r="T181" s="60">
        <f t="shared" si="142"/>
        <v>247.01165577562966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1.2710188457276673E-13</v>
      </c>
      <c r="AK181" s="14">
        <f t="shared" si="164"/>
        <v>1.856866851063998E-12</v>
      </c>
      <c r="AL181" s="22">
        <f t="shared" si="165"/>
        <v>3.4554122145673649E-12</v>
      </c>
      <c r="AM181" s="60">
        <f t="shared" si="113"/>
        <v>293.33333333333678</v>
      </c>
      <c r="AN181" s="60">
        <f ca="1">AVERAGE(OFFSET($AM$3,0,0,'Données projet'!$E$10+1,1))-AVERAGE(OFFSET($H$3,0,0,'Données projet'!$E$10+1,1))</f>
        <v>323.98185264074681</v>
      </c>
      <c r="AO181" s="60">
        <f t="shared" si="144"/>
        <v>301.22207291854005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0.23803124691883501</v>
      </c>
      <c r="AV181" s="23">
        <f>EXP(-LN(2)/25)*AV180+(1-EXP(-LN(2)/25))/(LN(2)/25)*Calculateur!AQ181*Calculateur!AS181*VLOOKUP('Données projet'!$B$10,Paramètres!$A$1:$I$89,3,0)*0.475*44/12</f>
        <v>0.13621163291466892</v>
      </c>
      <c r="AW181" s="23">
        <f>EXP(-LN(2)/2)*AW180+(1-EXP(-LN(2)/2))/(LN(2)/2)*AQ181*AT181*VLOOKUP('Données projet'!$B$10,Paramètres!$A$1:$I$89,3,0)*0.475*44/12</f>
        <v>3.2228582860423386E-22</v>
      </c>
      <c r="AX181" s="23">
        <f t="shared" si="166"/>
        <v>0.37424287983350391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-2.8421709430404007E-13</v>
      </c>
      <c r="BE181" s="14">
        <f>BD181*VLOOKUP('Données projet'!$B$11,Paramètres!$A$1:$I$89,3,0)*VLOOKUP('Données projet'!$B$11,Paramètres!$A$1:$I$89,5,0)</f>
        <v>-1.69961822393816E-13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289.12367833861299</v>
      </c>
      <c r="BJ181" s="60">
        <f t="shared" si="146"/>
        <v>229.06617320689003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2.1953162111983831E-22</v>
      </c>
      <c r="BS181" s="24">
        <f t="shared" si="169"/>
        <v>2.1953162111983831E-22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-1.7053025658242404E-13</v>
      </c>
      <c r="BZ181" s="14">
        <f>BY181*VLOOKUP('Données projet'!$B$12,Paramètres!$A$1:$I$89,3,0)*VLOOKUP('Données projet'!$B$12,Paramètres!$A$1:$I$89,5,0)</f>
        <v>-1.3567387213697657E-13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312.53381881960331</v>
      </c>
      <c r="CE181" s="60">
        <f t="shared" si="148"/>
        <v>342.06887933351783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-9.7986685432260874E-13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475.47920969424894</v>
      </c>
      <c r="CZ181" s="60">
        <f t="shared" si="150"/>
        <v>271.73544012419364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-5.6843418860808015E-14</v>
      </c>
      <c r="DP181" s="18">
        <f>DO181*VLOOKUP('Données projet'!$B$14,Paramètres!$A$1:$I$89,3,0)*VLOOKUP('Données projet'!$B$14,Paramètres!$A$1:$I$89,5,0)</f>
        <v>-2.6602720026858149E-14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284.71577701131588</v>
      </c>
      <c r="DU181" s="60">
        <f t="shared" si="152"/>
        <v>190.4880882944471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-1.7053025658242404E-13</v>
      </c>
      <c r="EK181" s="18">
        <f>EJ181*VLOOKUP('Données projet'!$B$15,Paramètres!$A$1:$I$89,3,0)*VLOOKUP('Données projet'!$B$15,Paramètres!$A$1:$I$89,5,0)</f>
        <v>-1.250327841262333E-13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290.85271051443431</v>
      </c>
      <c r="EP181" s="60">
        <f t="shared" si="154"/>
        <v>318.66958823451142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428.8489304403459</v>
      </c>
      <c r="T182" s="60">
        <f t="shared" si="142"/>
        <v>247.01165577562966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1.2710188457276673E-13</v>
      </c>
      <c r="AK182" s="14">
        <f t="shared" si="164"/>
        <v>1.856866851063998E-12</v>
      </c>
      <c r="AL182" s="22">
        <f t="shared" si="165"/>
        <v>3.4554122145673649E-12</v>
      </c>
      <c r="AM182" s="60">
        <f t="shared" si="113"/>
        <v>293.33333333333678</v>
      </c>
      <c r="AN182" s="60">
        <f ca="1">AVERAGE(OFFSET($AM$3,0,0,'Données projet'!$E$10+1,1))-AVERAGE(OFFSET($H$3,0,0,'Données projet'!$E$10+1,1))</f>
        <v>323.98185264074681</v>
      </c>
      <c r="AO182" s="60">
        <f t="shared" si="144"/>
        <v>301.22207291854005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0.23336359935148149</v>
      </c>
      <c r="AV182" s="23">
        <f>EXP(-LN(2)/25)*AV181+(1-EXP(-LN(2)/25))/(LN(2)/25)*Calculateur!AQ182*Calculateur!AS182*VLOOKUP('Données projet'!$B$10,Paramètres!$A$1:$I$89,3,0)*0.475*44/12</f>
        <v>0.13248691864955883</v>
      </c>
      <c r="AW182" s="23">
        <f>EXP(-LN(2)/2)*AW181+(1-EXP(-LN(2)/2))/(LN(2)/2)*AQ182*AT182*VLOOKUP('Données projet'!$B$10,Paramètres!$A$1:$I$89,3,0)*0.475*44/12</f>
        <v>2.2789049488637915E-22</v>
      </c>
      <c r="AX182" s="23">
        <f t="shared" si="166"/>
        <v>0.36585051800104029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-2.8421709430404007E-13</v>
      </c>
      <c r="BE182" s="14">
        <f>BD182*VLOOKUP('Données projet'!$B$11,Paramètres!$A$1:$I$89,3,0)*VLOOKUP('Données projet'!$B$11,Paramètres!$A$1:$I$89,5,0)</f>
        <v>-1.69961822393816E-13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289.12367833861299</v>
      </c>
      <c r="BJ182" s="60">
        <f t="shared" si="146"/>
        <v>229.06617320689003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1.5523229797871357E-22</v>
      </c>
      <c r="BS182" s="24">
        <f t="shared" si="169"/>
        <v>1.5523229797871357E-22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-1.7053025658242404E-13</v>
      </c>
      <c r="BZ182" s="14">
        <f>BY182*VLOOKUP('Données projet'!$B$12,Paramètres!$A$1:$I$89,3,0)*VLOOKUP('Données projet'!$B$12,Paramètres!$A$1:$I$89,5,0)</f>
        <v>-1.3567387213697657E-13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312.53381881960331</v>
      </c>
      <c r="CE182" s="60">
        <f t="shared" si="148"/>
        <v>342.06887933351783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-9.7986685432260874E-13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475.47920969424894</v>
      </c>
      <c r="CZ182" s="60">
        <f t="shared" si="150"/>
        <v>271.73544012419364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-5.6843418860808015E-14</v>
      </c>
      <c r="DP182" s="18">
        <f>DO182*VLOOKUP('Données projet'!$B$14,Paramètres!$A$1:$I$89,3,0)*VLOOKUP('Données projet'!$B$14,Paramètres!$A$1:$I$89,5,0)</f>
        <v>-2.6602720026858149E-14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284.71577701131588</v>
      </c>
      <c r="DU182" s="60">
        <f t="shared" si="152"/>
        <v>190.4880882944471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-1.7053025658242404E-13</v>
      </c>
      <c r="EK182" s="18">
        <f>EJ182*VLOOKUP('Données projet'!$B$15,Paramètres!$A$1:$I$89,3,0)*VLOOKUP('Données projet'!$B$15,Paramètres!$A$1:$I$89,5,0)</f>
        <v>-1.250327841262333E-13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290.85271051443431</v>
      </c>
      <c r="EP182" s="60">
        <f t="shared" si="154"/>
        <v>318.66958823451142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428.8489304403459</v>
      </c>
      <c r="T183" s="60">
        <f t="shared" si="142"/>
        <v>247.01165577562966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1.2710188457276673E-13</v>
      </c>
      <c r="AK183" s="14">
        <f t="shared" si="164"/>
        <v>1.856866851063998E-12</v>
      </c>
      <c r="AL183" s="22">
        <f t="shared" si="165"/>
        <v>3.4554122145673649E-12</v>
      </c>
      <c r="AM183" s="60">
        <f t="shared" si="113"/>
        <v>293.33333333333678</v>
      </c>
      <c r="AN183" s="60">
        <f ca="1">AVERAGE(OFFSET($AM$3,0,0,'Données projet'!$E$10+1,1))-AVERAGE(OFFSET($H$3,0,0,'Données projet'!$E$10+1,1))</f>
        <v>323.98185264074681</v>
      </c>
      <c r="AO183" s="60">
        <f t="shared" si="144"/>
        <v>301.22207291854005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0.22878748150593986</v>
      </c>
      <c r="AV183" s="23">
        <f>EXP(-LN(2)/25)*AV182+(1-EXP(-LN(2)/25))/(LN(2)/25)*Calculateur!AQ183*Calculateur!AS183*VLOOKUP('Données projet'!$B$10,Paramètres!$A$1:$I$89,3,0)*0.475*44/12</f>
        <v>0.12886405689190239</v>
      </c>
      <c r="AW183" s="23">
        <f>EXP(-LN(2)/2)*AW182+(1-EXP(-LN(2)/2))/(LN(2)/2)*AQ183*AT183*VLOOKUP('Données projet'!$B$10,Paramètres!$A$1:$I$89,3,0)*0.475*44/12</f>
        <v>1.6114291430211693E-22</v>
      </c>
      <c r="AX183" s="23">
        <f t="shared" si="166"/>
        <v>0.35765153839784225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-2.8421709430404007E-13</v>
      </c>
      <c r="BE183" s="14">
        <f>BD183*VLOOKUP('Données projet'!$B$11,Paramètres!$A$1:$I$89,3,0)*VLOOKUP('Données projet'!$B$11,Paramètres!$A$1:$I$89,5,0)</f>
        <v>-1.69961822393816E-13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289.12367833861299</v>
      </c>
      <c r="BJ183" s="60">
        <f t="shared" si="146"/>
        <v>229.06617320689003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1.0976581055991916E-22</v>
      </c>
      <c r="BS183" s="24">
        <f t="shared" si="169"/>
        <v>1.0976581055991916E-22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-1.7053025658242404E-13</v>
      </c>
      <c r="BZ183" s="14">
        <f>BY183*VLOOKUP('Données projet'!$B$12,Paramètres!$A$1:$I$89,3,0)*VLOOKUP('Données projet'!$B$12,Paramètres!$A$1:$I$89,5,0)</f>
        <v>-1.3567387213697657E-13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312.53381881960331</v>
      </c>
      <c r="CE183" s="60">
        <f t="shared" si="148"/>
        <v>342.06887933351783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-9.7986685432260874E-13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475.47920969424894</v>
      </c>
      <c r="CZ183" s="60">
        <f t="shared" si="150"/>
        <v>271.73544012419364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-5.6843418860808015E-14</v>
      </c>
      <c r="DP183" s="18">
        <f>DO183*VLOOKUP('Données projet'!$B$14,Paramètres!$A$1:$I$89,3,0)*VLOOKUP('Données projet'!$B$14,Paramètres!$A$1:$I$89,5,0)</f>
        <v>-2.6602720026858149E-14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284.71577701131588</v>
      </c>
      <c r="DU183" s="60">
        <f t="shared" si="152"/>
        <v>190.4880882944471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-1.7053025658242404E-13</v>
      </c>
      <c r="EK183" s="18">
        <f>EJ183*VLOOKUP('Données projet'!$B$15,Paramètres!$A$1:$I$89,3,0)*VLOOKUP('Données projet'!$B$15,Paramètres!$A$1:$I$89,5,0)</f>
        <v>-1.250327841262333E-13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290.85271051443431</v>
      </c>
      <c r="EP183" s="60">
        <f t="shared" si="154"/>
        <v>318.66958823451142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428.8489304403459</v>
      </c>
      <c r="T184" s="60">
        <f t="shared" si="142"/>
        <v>247.01165577562966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1.2710188457276673E-13</v>
      </c>
      <c r="AK184" s="14">
        <f t="shared" si="164"/>
        <v>1.856866851063998E-12</v>
      </c>
      <c r="AL184" s="22">
        <f t="shared" si="165"/>
        <v>3.4554122145673649E-12</v>
      </c>
      <c r="AM184" s="60">
        <f t="shared" si="113"/>
        <v>293.33333333333678</v>
      </c>
      <c r="AN184" s="60">
        <f ca="1">AVERAGE(OFFSET($AM$3,0,0,'Données projet'!$E$10+1,1))-AVERAGE(OFFSET($H$3,0,0,'Données projet'!$E$10+1,1))</f>
        <v>323.98185264074681</v>
      </c>
      <c r="AO184" s="60">
        <f t="shared" si="144"/>
        <v>301.22207291854005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0.22430109854019301</v>
      </c>
      <c r="AV184" s="23">
        <f>EXP(-LN(2)/25)*AV183+(1-EXP(-LN(2)/25))/(LN(2)/25)*Calculateur!AQ184*Calculateur!AS184*VLOOKUP('Données projet'!$B$10,Paramètres!$A$1:$I$89,3,0)*0.475*44/12</f>
        <v>0.12534026247952709</v>
      </c>
      <c r="AW184" s="23">
        <f>EXP(-LN(2)/2)*AW183+(1-EXP(-LN(2)/2))/(LN(2)/2)*AQ184*AT184*VLOOKUP('Données projet'!$B$10,Paramètres!$A$1:$I$89,3,0)*0.475*44/12</f>
        <v>1.1394524744318957E-22</v>
      </c>
      <c r="AX184" s="23">
        <f t="shared" si="166"/>
        <v>0.3496413610197201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-2.8421709430404007E-13</v>
      </c>
      <c r="BE184" s="14">
        <f>BD184*VLOOKUP('Données projet'!$B$11,Paramètres!$A$1:$I$89,3,0)*VLOOKUP('Données projet'!$B$11,Paramètres!$A$1:$I$89,5,0)</f>
        <v>-1.69961822393816E-13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289.12367833861299</v>
      </c>
      <c r="BJ184" s="60">
        <f t="shared" si="146"/>
        <v>229.06617320689003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7.7616148989356783E-23</v>
      </c>
      <c r="BS184" s="24">
        <f t="shared" si="169"/>
        <v>7.7616148989356783E-23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-1.7053025658242404E-13</v>
      </c>
      <c r="BZ184" s="14">
        <f>BY184*VLOOKUP('Données projet'!$B$12,Paramètres!$A$1:$I$89,3,0)*VLOOKUP('Données projet'!$B$12,Paramètres!$A$1:$I$89,5,0)</f>
        <v>-1.3567387213697657E-13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312.53381881960331</v>
      </c>
      <c r="CE184" s="60">
        <f t="shared" si="148"/>
        <v>342.06887933351783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-9.7986685432260874E-13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475.47920969424894</v>
      </c>
      <c r="CZ184" s="60">
        <f t="shared" si="150"/>
        <v>271.73544012419364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-5.6843418860808015E-14</v>
      </c>
      <c r="DP184" s="18">
        <f>DO184*VLOOKUP('Données projet'!$B$14,Paramètres!$A$1:$I$89,3,0)*VLOOKUP('Données projet'!$B$14,Paramètres!$A$1:$I$89,5,0)</f>
        <v>-2.6602720026858149E-14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284.71577701131588</v>
      </c>
      <c r="DU184" s="60">
        <f t="shared" si="152"/>
        <v>190.4880882944471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-1.7053025658242404E-13</v>
      </c>
      <c r="EK184" s="18">
        <f>EJ184*VLOOKUP('Données projet'!$B$15,Paramètres!$A$1:$I$89,3,0)*VLOOKUP('Données projet'!$B$15,Paramètres!$A$1:$I$89,5,0)</f>
        <v>-1.250327841262333E-13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290.85271051443431</v>
      </c>
      <c r="EP184" s="60">
        <f t="shared" si="154"/>
        <v>318.66958823451142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428.8489304403459</v>
      </c>
      <c r="T185" s="60">
        <f t="shared" si="142"/>
        <v>247.01165577562966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1.2710188457276673E-13</v>
      </c>
      <c r="AK185" s="14">
        <f t="shared" si="164"/>
        <v>1.856866851063998E-12</v>
      </c>
      <c r="AL185" s="22">
        <f t="shared" si="165"/>
        <v>3.4554122145673649E-12</v>
      </c>
      <c r="AM185" s="60">
        <f t="shared" si="113"/>
        <v>293.33333333333678</v>
      </c>
      <c r="AN185" s="60">
        <f ca="1">AVERAGE(OFFSET($AM$3,0,0,'Données projet'!$E$10+1,1))-AVERAGE(OFFSET($H$3,0,0,'Données projet'!$E$10+1,1))</f>
        <v>323.98185264074681</v>
      </c>
      <c r="AO185" s="60">
        <f t="shared" si="144"/>
        <v>301.22207291854005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0.21990269080798105</v>
      </c>
      <c r="AV185" s="23">
        <f>EXP(-LN(2)/25)*AV184+(1-EXP(-LN(2)/25))/(LN(2)/25)*Calculateur!AQ185*Calculateur!AS185*VLOOKUP('Données projet'!$B$10,Paramètres!$A$1:$I$89,3,0)*0.475*44/12</f>
        <v>0.12191282641066649</v>
      </c>
      <c r="AW185" s="23">
        <f>EXP(-LN(2)/2)*AW184+(1-EXP(-LN(2)/2))/(LN(2)/2)*AQ185*AT185*VLOOKUP('Données projet'!$B$10,Paramètres!$A$1:$I$89,3,0)*0.475*44/12</f>
        <v>8.0571457151058466E-23</v>
      </c>
      <c r="AX185" s="23">
        <f t="shared" si="166"/>
        <v>0.34181551721864756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-2.8421709430404007E-13</v>
      </c>
      <c r="BE185" s="14">
        <f>BD185*VLOOKUP('Données projet'!$B$11,Paramètres!$A$1:$I$89,3,0)*VLOOKUP('Données projet'!$B$11,Paramètres!$A$1:$I$89,5,0)</f>
        <v>-1.69961822393816E-13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289.12367833861299</v>
      </c>
      <c r="BJ185" s="60">
        <f t="shared" si="146"/>
        <v>229.06617320689003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5.4882905279959578E-23</v>
      </c>
      <c r="BS185" s="24">
        <f t="shared" si="169"/>
        <v>5.4882905279959578E-23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-1.7053025658242404E-13</v>
      </c>
      <c r="BZ185" s="14">
        <f>BY185*VLOOKUP('Données projet'!$B$12,Paramètres!$A$1:$I$89,3,0)*VLOOKUP('Données projet'!$B$12,Paramètres!$A$1:$I$89,5,0)</f>
        <v>-1.3567387213697657E-13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312.53381881960331</v>
      </c>
      <c r="CE185" s="60">
        <f t="shared" si="148"/>
        <v>342.06887933351783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-9.7986685432260874E-13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475.47920969424894</v>
      </c>
      <c r="CZ185" s="60">
        <f t="shared" si="150"/>
        <v>271.73544012419364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-5.6843418860808015E-14</v>
      </c>
      <c r="DP185" s="18">
        <f>DO185*VLOOKUP('Données projet'!$B$14,Paramètres!$A$1:$I$89,3,0)*VLOOKUP('Données projet'!$B$14,Paramètres!$A$1:$I$89,5,0)</f>
        <v>-2.6602720026858149E-14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284.71577701131588</v>
      </c>
      <c r="DU185" s="60">
        <f t="shared" si="152"/>
        <v>190.4880882944471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-1.7053025658242404E-13</v>
      </c>
      <c r="EK185" s="18">
        <f>EJ185*VLOOKUP('Données projet'!$B$15,Paramètres!$A$1:$I$89,3,0)*VLOOKUP('Données projet'!$B$15,Paramètres!$A$1:$I$89,5,0)</f>
        <v>-1.250327841262333E-13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290.85271051443431</v>
      </c>
      <c r="EP185" s="60">
        <f t="shared" si="154"/>
        <v>318.66958823451142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428.8489304403459</v>
      </c>
      <c r="T186" s="60">
        <f t="shared" si="142"/>
        <v>247.01165577562966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1.2710188457276673E-13</v>
      </c>
      <c r="AK186" s="14">
        <f t="shared" si="164"/>
        <v>1.856866851063998E-12</v>
      </c>
      <c r="AL186" s="22">
        <f t="shared" si="165"/>
        <v>3.4554122145673649E-12</v>
      </c>
      <c r="AM186" s="60">
        <f t="shared" si="113"/>
        <v>293.33333333333678</v>
      </c>
      <c r="AN186" s="60">
        <f ca="1">AVERAGE(OFFSET($AM$3,0,0,'Données projet'!$E$10+1,1))-AVERAGE(OFFSET($H$3,0,0,'Données projet'!$E$10+1,1))</f>
        <v>323.98185264074681</v>
      </c>
      <c r="AO186" s="60">
        <f t="shared" si="144"/>
        <v>301.22207291854005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0.21559053316863397</v>
      </c>
      <c r="AV186" s="23">
        <f>EXP(-LN(2)/25)*AV185+(1-EXP(-LN(2)/25))/(LN(2)/25)*Calculateur!AQ186*Calculateur!AS186*VLOOKUP('Données projet'!$B$10,Paramètres!$A$1:$I$89,3,0)*0.475*44/12</f>
        <v>0.11857911376134991</v>
      </c>
      <c r="AW186" s="23">
        <f>EXP(-LN(2)/2)*AW185+(1-EXP(-LN(2)/2))/(LN(2)/2)*AQ186*AT186*VLOOKUP('Données projet'!$B$10,Paramètres!$A$1:$I$89,3,0)*0.475*44/12</f>
        <v>5.6972623721594787E-23</v>
      </c>
      <c r="AX186" s="23">
        <f t="shared" si="166"/>
        <v>0.33416964692998385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-2.8421709430404007E-13</v>
      </c>
      <c r="BE186" s="14">
        <f>BD186*VLOOKUP('Données projet'!$B$11,Paramètres!$A$1:$I$89,3,0)*VLOOKUP('Données projet'!$B$11,Paramètres!$A$1:$I$89,5,0)</f>
        <v>-1.69961822393816E-13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289.12367833861299</v>
      </c>
      <c r="BJ186" s="60">
        <f t="shared" si="146"/>
        <v>229.06617320689003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3.8808074494678392E-23</v>
      </c>
      <c r="BS186" s="24">
        <f t="shared" si="169"/>
        <v>3.8808074494678392E-23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-1.7053025658242404E-13</v>
      </c>
      <c r="BZ186" s="14">
        <f>BY186*VLOOKUP('Données projet'!$B$12,Paramètres!$A$1:$I$89,3,0)*VLOOKUP('Données projet'!$B$12,Paramètres!$A$1:$I$89,5,0)</f>
        <v>-1.3567387213697657E-13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312.53381881960331</v>
      </c>
      <c r="CE186" s="60">
        <f t="shared" si="148"/>
        <v>342.06887933351783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-9.7986685432260874E-13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475.47920969424894</v>
      </c>
      <c r="CZ186" s="60">
        <f t="shared" si="150"/>
        <v>271.73544012419364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-5.6843418860808015E-14</v>
      </c>
      <c r="DP186" s="18">
        <f>DO186*VLOOKUP('Données projet'!$B$14,Paramètres!$A$1:$I$89,3,0)*VLOOKUP('Données projet'!$B$14,Paramètres!$A$1:$I$89,5,0)</f>
        <v>-2.6602720026858149E-14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284.71577701131588</v>
      </c>
      <c r="DU186" s="60">
        <f t="shared" si="152"/>
        <v>190.4880882944471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-1.7053025658242404E-13</v>
      </c>
      <c r="EK186" s="18">
        <f>EJ186*VLOOKUP('Données projet'!$B$15,Paramètres!$A$1:$I$89,3,0)*VLOOKUP('Données projet'!$B$15,Paramètres!$A$1:$I$89,5,0)</f>
        <v>-1.250327841262333E-13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290.85271051443431</v>
      </c>
      <c r="EP186" s="60">
        <f t="shared" si="154"/>
        <v>318.66958823451142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428.8489304403459</v>
      </c>
      <c r="T187" s="60">
        <f t="shared" si="142"/>
        <v>247.01165577562966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1.2710188457276673E-13</v>
      </c>
      <c r="AK187" s="14">
        <f t="shared" si="164"/>
        <v>1.856866851063998E-12</v>
      </c>
      <c r="AL187" s="22">
        <f t="shared" si="165"/>
        <v>3.4554122145673649E-12</v>
      </c>
      <c r="AM187" s="60">
        <f t="shared" si="113"/>
        <v>293.33333333333678</v>
      </c>
      <c r="AN187" s="60">
        <f ca="1">AVERAGE(OFFSET($AM$3,0,0,'Données projet'!$E$10+1,1))-AVERAGE(OFFSET($H$3,0,0,'Données projet'!$E$10+1,1))</f>
        <v>323.98185264074681</v>
      </c>
      <c r="AO187" s="60">
        <f t="shared" si="144"/>
        <v>301.22207291854005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0.21136293431043801</v>
      </c>
      <c r="AV187" s="23">
        <f>EXP(-LN(2)/25)*AV186+(1-EXP(-LN(2)/25))/(LN(2)/25)*Calculateur!AQ187*Calculateur!AS187*VLOOKUP('Données projet'!$B$10,Paramètres!$A$1:$I$89,3,0)*0.475*44/12</f>
        <v>0.11533656165974122</v>
      </c>
      <c r="AW187" s="23">
        <f>EXP(-LN(2)/2)*AW186+(1-EXP(-LN(2)/2))/(LN(2)/2)*AQ187*AT187*VLOOKUP('Données projet'!$B$10,Paramètres!$A$1:$I$89,3,0)*0.475*44/12</f>
        <v>4.0285728575529233E-23</v>
      </c>
      <c r="AX187" s="23">
        <f t="shared" si="166"/>
        <v>0.32669949597017922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-2.8421709430404007E-13</v>
      </c>
      <c r="BE187" s="14">
        <f>BD187*VLOOKUP('Données projet'!$B$11,Paramètres!$A$1:$I$89,3,0)*VLOOKUP('Données projet'!$B$11,Paramètres!$A$1:$I$89,5,0)</f>
        <v>-1.69961822393816E-13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289.12367833861299</v>
      </c>
      <c r="BJ187" s="60">
        <f t="shared" si="146"/>
        <v>229.06617320689003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2.7441452639979789E-23</v>
      </c>
      <c r="BS187" s="24">
        <f t="shared" si="169"/>
        <v>2.7441452639979789E-23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-1.7053025658242404E-13</v>
      </c>
      <c r="BZ187" s="14">
        <f>BY187*VLOOKUP('Données projet'!$B$12,Paramètres!$A$1:$I$89,3,0)*VLOOKUP('Données projet'!$B$12,Paramètres!$A$1:$I$89,5,0)</f>
        <v>-1.3567387213697657E-13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312.53381881960331</v>
      </c>
      <c r="CE187" s="60">
        <f t="shared" si="148"/>
        <v>342.06887933351783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-9.7986685432260874E-13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475.47920969424894</v>
      </c>
      <c r="CZ187" s="60">
        <f t="shared" si="150"/>
        <v>271.73544012419364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-5.6843418860808015E-14</v>
      </c>
      <c r="DP187" s="18">
        <f>DO187*VLOOKUP('Données projet'!$B$14,Paramètres!$A$1:$I$89,3,0)*VLOOKUP('Données projet'!$B$14,Paramètres!$A$1:$I$89,5,0)</f>
        <v>-2.6602720026858149E-14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284.71577701131588</v>
      </c>
      <c r="DU187" s="60">
        <f t="shared" si="152"/>
        <v>190.4880882944471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-1.7053025658242404E-13</v>
      </c>
      <c r="EK187" s="18">
        <f>EJ187*VLOOKUP('Données projet'!$B$15,Paramètres!$A$1:$I$89,3,0)*VLOOKUP('Données projet'!$B$15,Paramètres!$A$1:$I$89,5,0)</f>
        <v>-1.250327841262333E-13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290.85271051443431</v>
      </c>
      <c r="EP187" s="60">
        <f t="shared" si="154"/>
        <v>318.66958823451142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428.8489304403459</v>
      </c>
      <c r="T188" s="60">
        <f t="shared" si="142"/>
        <v>247.01165577562966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1.2710188457276673E-13</v>
      </c>
      <c r="AK188" s="14">
        <f t="shared" si="164"/>
        <v>1.856866851063998E-12</v>
      </c>
      <c r="AL188" s="22">
        <f t="shared" si="165"/>
        <v>3.4554122145673649E-12</v>
      </c>
      <c r="AM188" s="60">
        <f t="shared" si="113"/>
        <v>293.33333333333678</v>
      </c>
      <c r="AN188" s="60">
        <f ca="1">AVERAGE(OFFSET($AM$3,0,0,'Données projet'!$E$10+1,1))-AVERAGE(OFFSET($H$3,0,0,'Données projet'!$E$10+1,1))</f>
        <v>323.98185264074681</v>
      </c>
      <c r="AO188" s="60">
        <f t="shared" si="144"/>
        <v>301.22207291854005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0.20721823608727058</v>
      </c>
      <c r="AV188" s="23">
        <f>EXP(-LN(2)/25)*AV187+(1-EXP(-LN(2)/25))/(LN(2)/25)*Calculateur!AQ188*Calculateur!AS188*VLOOKUP('Données projet'!$B$10,Paramètres!$A$1:$I$89,3,0)*0.475*44/12</f>
        <v>0.11218267731586942</v>
      </c>
      <c r="AW188" s="23">
        <f>EXP(-LN(2)/2)*AW187+(1-EXP(-LN(2)/2))/(LN(2)/2)*AQ188*AT188*VLOOKUP('Données projet'!$B$10,Paramètres!$A$1:$I$89,3,0)*0.475*44/12</f>
        <v>2.8486311860797394E-23</v>
      </c>
      <c r="AX188" s="23">
        <f t="shared" si="166"/>
        <v>0.31940091340314003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-2.8421709430404007E-13</v>
      </c>
      <c r="BE188" s="14">
        <f>BD188*VLOOKUP('Données projet'!$B$11,Paramètres!$A$1:$I$89,3,0)*VLOOKUP('Données projet'!$B$11,Paramètres!$A$1:$I$89,5,0)</f>
        <v>-1.69961822393816E-13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289.12367833861299</v>
      </c>
      <c r="BJ188" s="60">
        <f t="shared" si="146"/>
        <v>229.06617320689003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1.9404037247339196E-23</v>
      </c>
      <c r="BS188" s="24">
        <f t="shared" si="169"/>
        <v>1.9404037247339196E-23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-1.7053025658242404E-13</v>
      </c>
      <c r="BZ188" s="14">
        <f>BY188*VLOOKUP('Données projet'!$B$12,Paramètres!$A$1:$I$89,3,0)*VLOOKUP('Données projet'!$B$12,Paramètres!$A$1:$I$89,5,0)</f>
        <v>-1.3567387213697657E-13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312.53381881960331</v>
      </c>
      <c r="CE188" s="60">
        <f t="shared" si="148"/>
        <v>342.06887933351783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-9.7986685432260874E-13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475.47920969424894</v>
      </c>
      <c r="CZ188" s="60">
        <f t="shared" si="150"/>
        <v>271.73544012419364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-5.6843418860808015E-14</v>
      </c>
      <c r="DP188" s="18">
        <f>DO188*VLOOKUP('Données projet'!$B$14,Paramètres!$A$1:$I$89,3,0)*VLOOKUP('Données projet'!$B$14,Paramètres!$A$1:$I$89,5,0)</f>
        <v>-2.6602720026858149E-14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284.71577701131588</v>
      </c>
      <c r="DU188" s="60">
        <f t="shared" si="152"/>
        <v>190.4880882944471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-1.7053025658242404E-13</v>
      </c>
      <c r="EK188" s="18">
        <f>EJ188*VLOOKUP('Données projet'!$B$15,Paramètres!$A$1:$I$89,3,0)*VLOOKUP('Données projet'!$B$15,Paramètres!$A$1:$I$89,5,0)</f>
        <v>-1.250327841262333E-13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290.85271051443431</v>
      </c>
      <c r="EP188" s="60">
        <f t="shared" si="154"/>
        <v>318.66958823451142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428.8489304403459</v>
      </c>
      <c r="T189" s="60">
        <f t="shared" si="142"/>
        <v>247.01165577562966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1.2710188457276673E-13</v>
      </c>
      <c r="AK189" s="14">
        <f t="shared" si="164"/>
        <v>1.856866851063998E-12</v>
      </c>
      <c r="AL189" s="22">
        <f t="shared" si="165"/>
        <v>3.4554122145673649E-12</v>
      </c>
      <c r="AM189" s="60">
        <f t="shared" si="113"/>
        <v>293.33333333333678</v>
      </c>
      <c r="AN189" s="60">
        <f ca="1">AVERAGE(OFFSET($AM$3,0,0,'Données projet'!$E$10+1,1))-AVERAGE(OFFSET($H$3,0,0,'Données projet'!$E$10+1,1))</f>
        <v>323.98185264074681</v>
      </c>
      <c r="AO189" s="60">
        <f t="shared" si="144"/>
        <v>301.22207291854005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0.20315481286824319</v>
      </c>
      <c r="AV189" s="23">
        <f>EXP(-LN(2)/25)*AV188+(1-EXP(-LN(2)/25))/(LN(2)/25)*Calculateur!AQ189*Calculateur!AS189*VLOOKUP('Données projet'!$B$10,Paramètres!$A$1:$I$89,3,0)*0.475*44/12</f>
        <v>0.10911503610523637</v>
      </c>
      <c r="AW189" s="23">
        <f>EXP(-LN(2)/2)*AW188+(1-EXP(-LN(2)/2))/(LN(2)/2)*AQ189*AT189*VLOOKUP('Données projet'!$B$10,Paramètres!$A$1:$I$89,3,0)*0.475*44/12</f>
        <v>2.0142864287764616E-23</v>
      </c>
      <c r="AX189" s="23">
        <f t="shared" si="166"/>
        <v>0.31226984897347954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-2.8421709430404007E-13</v>
      </c>
      <c r="BE189" s="14">
        <f>BD189*VLOOKUP('Données projet'!$B$11,Paramètres!$A$1:$I$89,3,0)*VLOOKUP('Données projet'!$B$11,Paramètres!$A$1:$I$89,5,0)</f>
        <v>-1.69961822393816E-13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289.12367833861299</v>
      </c>
      <c r="BJ189" s="60">
        <f t="shared" si="146"/>
        <v>229.06617320689003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1.3720726319989894E-23</v>
      </c>
      <c r="BS189" s="24">
        <f t="shared" si="169"/>
        <v>1.3720726319989894E-23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-1.7053025658242404E-13</v>
      </c>
      <c r="BZ189" s="14">
        <f>BY189*VLOOKUP('Données projet'!$B$12,Paramètres!$A$1:$I$89,3,0)*VLOOKUP('Données projet'!$B$12,Paramètres!$A$1:$I$89,5,0)</f>
        <v>-1.3567387213697657E-13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312.53381881960331</v>
      </c>
      <c r="CE189" s="60">
        <f t="shared" si="148"/>
        <v>342.06887933351783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-9.7986685432260874E-13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475.47920969424894</v>
      </c>
      <c r="CZ189" s="60">
        <f t="shared" si="150"/>
        <v>271.73544012419364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-5.6843418860808015E-14</v>
      </c>
      <c r="DP189" s="18">
        <f>DO189*VLOOKUP('Données projet'!$B$14,Paramètres!$A$1:$I$89,3,0)*VLOOKUP('Données projet'!$B$14,Paramètres!$A$1:$I$89,5,0)</f>
        <v>-2.6602720026858149E-14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284.71577701131588</v>
      </c>
      <c r="DU189" s="60">
        <f t="shared" si="152"/>
        <v>190.4880882944471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-1.7053025658242404E-13</v>
      </c>
      <c r="EK189" s="18">
        <f>EJ189*VLOOKUP('Données projet'!$B$15,Paramètres!$A$1:$I$89,3,0)*VLOOKUP('Données projet'!$B$15,Paramètres!$A$1:$I$89,5,0)</f>
        <v>-1.250327841262333E-13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290.85271051443431</v>
      </c>
      <c r="EP189" s="60">
        <f t="shared" si="154"/>
        <v>318.66958823451142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428.8489304403459</v>
      </c>
      <c r="T190" s="60">
        <f t="shared" si="142"/>
        <v>247.01165577562966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1.2710188457276673E-13</v>
      </c>
      <c r="AK190" s="14">
        <f t="shared" si="164"/>
        <v>1.856866851063998E-12</v>
      </c>
      <c r="AL190" s="22">
        <f t="shared" si="165"/>
        <v>3.4554122145673649E-12</v>
      </c>
      <c r="AM190" s="60">
        <f t="shared" si="113"/>
        <v>293.33333333333678</v>
      </c>
      <c r="AN190" s="60">
        <f ca="1">AVERAGE(OFFSET($AM$3,0,0,'Données projet'!$E$10+1,1))-AVERAGE(OFFSET($H$3,0,0,'Données projet'!$E$10+1,1))</f>
        <v>323.98185264074681</v>
      </c>
      <c r="AO190" s="60">
        <f t="shared" si="144"/>
        <v>301.22207291854005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0.19917107090009747</v>
      </c>
      <c r="AV190" s="23">
        <f>EXP(-LN(2)/25)*AV189+(1-EXP(-LN(2)/25))/(LN(2)/25)*Calculateur!AQ190*Calculateur!AS190*VLOOKUP('Données projet'!$B$10,Paramètres!$A$1:$I$89,3,0)*0.475*44/12</f>
        <v>0.10613127970482832</v>
      </c>
      <c r="AW190" s="23">
        <f>EXP(-LN(2)/2)*AW189+(1-EXP(-LN(2)/2))/(LN(2)/2)*AQ190*AT190*VLOOKUP('Données projet'!$B$10,Paramètres!$A$1:$I$89,3,0)*0.475*44/12</f>
        <v>1.4243155930398697E-23</v>
      </c>
      <c r="AX190" s="23">
        <f t="shared" si="166"/>
        <v>0.30530235060492578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-2.8421709430404007E-13</v>
      </c>
      <c r="BE190" s="14">
        <f>BD190*VLOOKUP('Données projet'!$B$11,Paramètres!$A$1:$I$89,3,0)*VLOOKUP('Données projet'!$B$11,Paramètres!$A$1:$I$89,5,0)</f>
        <v>-1.69961822393816E-13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289.12367833861299</v>
      </c>
      <c r="BJ190" s="60">
        <f t="shared" si="146"/>
        <v>229.06617320689003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9.7020186236695979E-24</v>
      </c>
      <c r="BS190" s="24">
        <f t="shared" si="169"/>
        <v>9.7020186236695979E-24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-1.7053025658242404E-13</v>
      </c>
      <c r="BZ190" s="14">
        <f>BY190*VLOOKUP('Données projet'!$B$12,Paramètres!$A$1:$I$89,3,0)*VLOOKUP('Données projet'!$B$12,Paramètres!$A$1:$I$89,5,0)</f>
        <v>-1.3567387213697657E-13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312.53381881960331</v>
      </c>
      <c r="CE190" s="60">
        <f t="shared" si="148"/>
        <v>342.06887933351783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-9.7986685432260874E-13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475.47920969424894</v>
      </c>
      <c r="CZ190" s="60">
        <f t="shared" si="150"/>
        <v>271.73544012419364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-5.6843418860808015E-14</v>
      </c>
      <c r="DP190" s="18">
        <f>DO190*VLOOKUP('Données projet'!$B$14,Paramètres!$A$1:$I$89,3,0)*VLOOKUP('Données projet'!$B$14,Paramètres!$A$1:$I$89,5,0)</f>
        <v>-2.6602720026858149E-14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284.71577701131588</v>
      </c>
      <c r="DU190" s="60">
        <f t="shared" si="152"/>
        <v>190.4880882944471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-1.7053025658242404E-13</v>
      </c>
      <c r="EK190" s="18">
        <f>EJ190*VLOOKUP('Données projet'!$B$15,Paramètres!$A$1:$I$89,3,0)*VLOOKUP('Données projet'!$B$15,Paramètres!$A$1:$I$89,5,0)</f>
        <v>-1.250327841262333E-13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290.85271051443431</v>
      </c>
      <c r="EP190" s="60">
        <f t="shared" si="154"/>
        <v>318.66958823451142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428.8489304403459</v>
      </c>
      <c r="T191" s="60">
        <f t="shared" si="142"/>
        <v>247.01165577562966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1.2710188457276673E-13</v>
      </c>
      <c r="AK191" s="14">
        <f t="shared" si="164"/>
        <v>1.856866851063998E-12</v>
      </c>
      <c r="AL191" s="22">
        <f t="shared" si="165"/>
        <v>3.4554122145673649E-12</v>
      </c>
      <c r="AM191" s="60">
        <f t="shared" si="113"/>
        <v>293.33333333333678</v>
      </c>
      <c r="AN191" s="60">
        <f ca="1">AVERAGE(OFFSET($AM$3,0,0,'Données projet'!$E$10+1,1))-AVERAGE(OFFSET($H$3,0,0,'Données projet'!$E$10+1,1))</f>
        <v>323.98185264074681</v>
      </c>
      <c r="AO191" s="60">
        <f t="shared" si="144"/>
        <v>301.22207291854005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0.19526544768210444</v>
      </c>
      <c r="AV191" s="23">
        <f>EXP(-LN(2)/25)*AV190+(1-EXP(-LN(2)/25))/(LN(2)/25)*Calculateur!AQ191*Calculateur!AS191*VLOOKUP('Données projet'!$B$10,Paramètres!$A$1:$I$89,3,0)*0.475*44/12</f>
        <v>0.10322911428009836</v>
      </c>
      <c r="AW191" s="23">
        <f>EXP(-LN(2)/2)*AW190+(1-EXP(-LN(2)/2))/(LN(2)/2)*AQ191*AT191*VLOOKUP('Données projet'!$B$10,Paramètres!$A$1:$I$89,3,0)*0.475*44/12</f>
        <v>1.0071432143882308E-23</v>
      </c>
      <c r="AX191" s="23">
        <f t="shared" si="166"/>
        <v>0.29849456196220281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-2.8421709430404007E-13</v>
      </c>
      <c r="BE191" s="14">
        <f>BD191*VLOOKUP('Données projet'!$B$11,Paramètres!$A$1:$I$89,3,0)*VLOOKUP('Données projet'!$B$11,Paramètres!$A$1:$I$89,5,0)</f>
        <v>-1.69961822393816E-13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289.12367833861299</v>
      </c>
      <c r="BJ191" s="60">
        <f t="shared" si="146"/>
        <v>229.06617320689003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6.8603631599949472E-24</v>
      </c>
      <c r="BS191" s="24">
        <f t="shared" si="169"/>
        <v>6.8603631599949472E-24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-1.7053025658242404E-13</v>
      </c>
      <c r="BZ191" s="14">
        <f>BY191*VLOOKUP('Données projet'!$B$12,Paramètres!$A$1:$I$89,3,0)*VLOOKUP('Données projet'!$B$12,Paramètres!$A$1:$I$89,5,0)</f>
        <v>-1.3567387213697657E-13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312.53381881960331</v>
      </c>
      <c r="CE191" s="60">
        <f t="shared" si="148"/>
        <v>342.06887933351783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-9.7986685432260874E-13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475.47920969424894</v>
      </c>
      <c r="CZ191" s="60">
        <f t="shared" si="150"/>
        <v>271.73544012419364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-5.6843418860808015E-14</v>
      </c>
      <c r="DP191" s="18">
        <f>DO191*VLOOKUP('Données projet'!$B$14,Paramètres!$A$1:$I$89,3,0)*VLOOKUP('Données projet'!$B$14,Paramètres!$A$1:$I$89,5,0)</f>
        <v>-2.6602720026858149E-14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284.71577701131588</v>
      </c>
      <c r="DU191" s="60">
        <f t="shared" si="152"/>
        <v>190.4880882944471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-1.7053025658242404E-13</v>
      </c>
      <c r="EK191" s="18">
        <f>EJ191*VLOOKUP('Données projet'!$B$15,Paramètres!$A$1:$I$89,3,0)*VLOOKUP('Données projet'!$B$15,Paramètres!$A$1:$I$89,5,0)</f>
        <v>-1.250327841262333E-13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290.85271051443431</v>
      </c>
      <c r="EP191" s="60">
        <f t="shared" si="154"/>
        <v>318.66958823451142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428.8489304403459</v>
      </c>
      <c r="T192" s="60">
        <f t="shared" si="142"/>
        <v>247.01165577562966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1.2710188457276673E-13</v>
      </c>
      <c r="AK192" s="14">
        <f t="shared" si="164"/>
        <v>1.856866851063998E-12</v>
      </c>
      <c r="AL192" s="22">
        <f t="shared" si="165"/>
        <v>3.4554122145673649E-12</v>
      </c>
      <c r="AM192" s="60">
        <f t="shared" si="113"/>
        <v>293.33333333333678</v>
      </c>
      <c r="AN192" s="60">
        <f ca="1">AVERAGE(OFFSET($AM$3,0,0,'Données projet'!$E$10+1,1))-AVERAGE(OFFSET($H$3,0,0,'Données projet'!$E$10+1,1))</f>
        <v>323.98185264074681</v>
      </c>
      <c r="AO192" s="60">
        <f t="shared" si="144"/>
        <v>301.22207291854005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0.19143641135322129</v>
      </c>
      <c r="AV192" s="23">
        <f>EXP(-LN(2)/25)*AV191+(1-EXP(-LN(2)/25))/(LN(2)/25)*Calculateur!AQ192*Calculateur!AS192*VLOOKUP('Données projet'!$B$10,Paramètres!$A$1:$I$89,3,0)*0.475*44/12</f>
        <v>0.10040630872152588</v>
      </c>
      <c r="AW192" s="23">
        <f>EXP(-LN(2)/2)*AW191+(1-EXP(-LN(2)/2))/(LN(2)/2)*AQ192*AT192*VLOOKUP('Données projet'!$B$10,Paramètres!$A$1:$I$89,3,0)*0.475*44/12</f>
        <v>7.1215779651993484E-24</v>
      </c>
      <c r="AX192" s="23">
        <f t="shared" si="166"/>
        <v>0.29184272007474715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-2.8421709430404007E-13</v>
      </c>
      <c r="BE192" s="14">
        <f>BD192*VLOOKUP('Données projet'!$B$11,Paramètres!$A$1:$I$89,3,0)*VLOOKUP('Données projet'!$B$11,Paramètres!$A$1:$I$89,5,0)</f>
        <v>-1.69961822393816E-13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289.12367833861299</v>
      </c>
      <c r="BJ192" s="60">
        <f t="shared" si="146"/>
        <v>229.06617320689003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4.851009311834799E-24</v>
      </c>
      <c r="BS192" s="24">
        <f t="shared" si="169"/>
        <v>4.851009311834799E-24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-1.7053025658242404E-13</v>
      </c>
      <c r="BZ192" s="14">
        <f>BY192*VLOOKUP('Données projet'!$B$12,Paramètres!$A$1:$I$89,3,0)*VLOOKUP('Données projet'!$B$12,Paramètres!$A$1:$I$89,5,0)</f>
        <v>-1.3567387213697657E-13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312.53381881960331</v>
      </c>
      <c r="CE192" s="60">
        <f t="shared" si="148"/>
        <v>342.06887933351783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-9.7986685432260874E-13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475.47920969424894</v>
      </c>
      <c r="CZ192" s="60">
        <f t="shared" si="150"/>
        <v>271.73544012419364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-5.6843418860808015E-14</v>
      </c>
      <c r="DP192" s="18">
        <f>DO192*VLOOKUP('Données projet'!$B$14,Paramètres!$A$1:$I$89,3,0)*VLOOKUP('Données projet'!$B$14,Paramètres!$A$1:$I$89,5,0)</f>
        <v>-2.6602720026858149E-14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284.71577701131588</v>
      </c>
      <c r="DU192" s="60">
        <f t="shared" si="152"/>
        <v>190.4880882944471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-1.7053025658242404E-13</v>
      </c>
      <c r="EK192" s="18">
        <f>EJ192*VLOOKUP('Données projet'!$B$15,Paramètres!$A$1:$I$89,3,0)*VLOOKUP('Données projet'!$B$15,Paramètres!$A$1:$I$89,5,0)</f>
        <v>-1.250327841262333E-13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290.85271051443431</v>
      </c>
      <c r="EP192" s="60">
        <f t="shared" si="154"/>
        <v>318.66958823451142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428.8489304403459</v>
      </c>
      <c r="T193" s="60">
        <f t="shared" si="142"/>
        <v>247.01165577562966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1.2710188457276673E-13</v>
      </c>
      <c r="AK193" s="14">
        <f t="shared" si="164"/>
        <v>1.856866851063998E-12</v>
      </c>
      <c r="AL193" s="22">
        <f t="shared" si="165"/>
        <v>3.4554122145673649E-12</v>
      </c>
      <c r="AM193" s="60">
        <f t="shared" si="113"/>
        <v>293.33333333333678</v>
      </c>
      <c r="AN193" s="60">
        <f ca="1">AVERAGE(OFFSET($AM$3,0,0,'Données projet'!$E$10+1,1))-AVERAGE(OFFSET($H$3,0,0,'Données projet'!$E$10+1,1))</f>
        <v>323.98185264074681</v>
      </c>
      <c r="AO193" s="60">
        <f t="shared" si="144"/>
        <v>301.22207291854005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0.18768246009126599</v>
      </c>
      <c r="AV193" s="23">
        <f>EXP(-LN(2)/25)*AV192+(1-EXP(-LN(2)/25))/(LN(2)/25)*Calculateur!AQ193*Calculateur!AS193*VLOOKUP('Données projet'!$B$10,Paramètres!$A$1:$I$89,3,0)*0.475*44/12</f>
        <v>9.7660692929397455E-2</v>
      </c>
      <c r="AW193" s="23">
        <f>EXP(-LN(2)/2)*AW192+(1-EXP(-LN(2)/2))/(LN(2)/2)*AQ193*AT193*VLOOKUP('Données projet'!$B$10,Paramètres!$A$1:$I$89,3,0)*0.475*44/12</f>
        <v>5.0357160719411541E-24</v>
      </c>
      <c r="AX193" s="23">
        <f t="shared" si="166"/>
        <v>0.28534315302066343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-2.8421709430404007E-13</v>
      </c>
      <c r="BE193" s="14">
        <f>BD193*VLOOKUP('Données projet'!$B$11,Paramètres!$A$1:$I$89,3,0)*VLOOKUP('Données projet'!$B$11,Paramètres!$A$1:$I$89,5,0)</f>
        <v>-1.69961822393816E-13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289.12367833861299</v>
      </c>
      <c r="BJ193" s="60">
        <f t="shared" si="146"/>
        <v>229.06617320689003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3.4301815799974736E-24</v>
      </c>
      <c r="BS193" s="24">
        <f t="shared" si="169"/>
        <v>3.4301815799974736E-24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-1.7053025658242404E-13</v>
      </c>
      <c r="BZ193" s="14">
        <f>BY193*VLOOKUP('Données projet'!$B$12,Paramètres!$A$1:$I$89,3,0)*VLOOKUP('Données projet'!$B$12,Paramètres!$A$1:$I$89,5,0)</f>
        <v>-1.3567387213697657E-13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312.53381881960331</v>
      </c>
      <c r="CE193" s="60">
        <f t="shared" si="148"/>
        <v>342.06887933351783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-9.7986685432260874E-13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475.47920969424894</v>
      </c>
      <c r="CZ193" s="60">
        <f t="shared" si="150"/>
        <v>271.73544012419364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-5.6843418860808015E-14</v>
      </c>
      <c r="DP193" s="18">
        <f>DO193*VLOOKUP('Données projet'!$B$14,Paramètres!$A$1:$I$89,3,0)*VLOOKUP('Données projet'!$B$14,Paramètres!$A$1:$I$89,5,0)</f>
        <v>-2.6602720026858149E-14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284.71577701131588</v>
      </c>
      <c r="DU193" s="60">
        <f t="shared" si="152"/>
        <v>190.4880882944471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-1.7053025658242404E-13</v>
      </c>
      <c r="EK193" s="18">
        <f>EJ193*VLOOKUP('Données projet'!$B$15,Paramètres!$A$1:$I$89,3,0)*VLOOKUP('Données projet'!$B$15,Paramètres!$A$1:$I$89,5,0)</f>
        <v>-1.250327841262333E-13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290.85271051443431</v>
      </c>
      <c r="EP193" s="60">
        <f t="shared" si="154"/>
        <v>318.66958823451142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428.8489304403459</v>
      </c>
      <c r="T194" s="60">
        <f t="shared" si="142"/>
        <v>247.01165577562966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1.2710188457276673E-13</v>
      </c>
      <c r="AK194" s="14">
        <f t="shared" si="164"/>
        <v>1.856866851063998E-12</v>
      </c>
      <c r="AL194" s="22">
        <f t="shared" si="165"/>
        <v>3.4554122145673649E-12</v>
      </c>
      <c r="AM194" s="60">
        <f t="shared" si="113"/>
        <v>293.33333333333678</v>
      </c>
      <c r="AN194" s="60">
        <f ca="1">AVERAGE(OFFSET($AM$3,0,0,'Données projet'!$E$10+1,1))-AVERAGE(OFFSET($H$3,0,0,'Données projet'!$E$10+1,1))</f>
        <v>323.98185264074681</v>
      </c>
      <c r="AO194" s="60">
        <f t="shared" si="144"/>
        <v>301.22207291854005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0.18400212152387346</v>
      </c>
      <c r="AV194" s="23">
        <f>EXP(-LN(2)/25)*AV193+(1-EXP(-LN(2)/25))/(LN(2)/25)*Calculateur!AQ194*Calculateur!AS194*VLOOKUP('Données projet'!$B$10,Paramètres!$A$1:$I$89,3,0)*0.475*44/12</f>
        <v>9.4990156145490445E-2</v>
      </c>
      <c r="AW194" s="23">
        <f>EXP(-LN(2)/2)*AW193+(1-EXP(-LN(2)/2))/(LN(2)/2)*AQ194*AT194*VLOOKUP('Données projet'!$B$10,Paramètres!$A$1:$I$89,3,0)*0.475*44/12</f>
        <v>3.5607889825996742E-24</v>
      </c>
      <c r="AX194" s="23">
        <f t="shared" si="166"/>
        <v>0.27899227766936391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-2.8421709430404007E-13</v>
      </c>
      <c r="BE194" s="14">
        <f>BD194*VLOOKUP('Données projet'!$B$11,Paramètres!$A$1:$I$89,3,0)*VLOOKUP('Données projet'!$B$11,Paramètres!$A$1:$I$89,5,0)</f>
        <v>-1.69961822393816E-13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289.12367833861299</v>
      </c>
      <c r="BJ194" s="60">
        <f t="shared" si="146"/>
        <v>229.06617320689003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2.4255046559173995E-24</v>
      </c>
      <c r="BS194" s="24">
        <f t="shared" si="169"/>
        <v>2.4255046559173995E-24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-1.7053025658242404E-13</v>
      </c>
      <c r="BZ194" s="14">
        <f>BY194*VLOOKUP('Données projet'!$B$12,Paramètres!$A$1:$I$89,3,0)*VLOOKUP('Données projet'!$B$12,Paramètres!$A$1:$I$89,5,0)</f>
        <v>-1.3567387213697657E-13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312.53381881960331</v>
      </c>
      <c r="CE194" s="60">
        <f t="shared" si="148"/>
        <v>342.06887933351783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-9.7986685432260874E-13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475.47920969424894</v>
      </c>
      <c r="CZ194" s="60">
        <f t="shared" si="150"/>
        <v>271.73544012419364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-5.6843418860808015E-14</v>
      </c>
      <c r="DP194" s="18">
        <f>DO194*VLOOKUP('Données projet'!$B$14,Paramètres!$A$1:$I$89,3,0)*VLOOKUP('Données projet'!$B$14,Paramètres!$A$1:$I$89,5,0)</f>
        <v>-2.6602720026858149E-14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284.71577701131588</v>
      </c>
      <c r="DU194" s="60">
        <f t="shared" si="152"/>
        <v>190.4880882944471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-1.7053025658242404E-13</v>
      </c>
      <c r="EK194" s="18">
        <f>EJ194*VLOOKUP('Données projet'!$B$15,Paramètres!$A$1:$I$89,3,0)*VLOOKUP('Données projet'!$B$15,Paramètres!$A$1:$I$89,5,0)</f>
        <v>-1.250327841262333E-13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290.85271051443431</v>
      </c>
      <c r="EP194" s="60">
        <f t="shared" si="154"/>
        <v>318.66958823451142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428.8489304403459</v>
      </c>
      <c r="T195" s="60">
        <f t="shared" si="142"/>
        <v>247.01165577562966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1.2710188457276673E-13</v>
      </c>
      <c r="AK195" s="14">
        <f t="shared" si="164"/>
        <v>1.856866851063998E-12</v>
      </c>
      <c r="AL195" s="22">
        <f t="shared" si="165"/>
        <v>3.4554122145673649E-12</v>
      </c>
      <c r="AM195" s="60">
        <f t="shared" si="113"/>
        <v>293.33333333333678</v>
      </c>
      <c r="AN195" s="60">
        <f ca="1">AVERAGE(OFFSET($AM$3,0,0,'Données projet'!$E$10+1,1))-AVERAGE(OFFSET($H$3,0,0,'Données projet'!$E$10+1,1))</f>
        <v>323.98185264074681</v>
      </c>
      <c r="AO195" s="60">
        <f t="shared" si="144"/>
        <v>301.22207291854005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0.18039395215100262</v>
      </c>
      <c r="AV195" s="23">
        <f>EXP(-LN(2)/25)*AV194+(1-EXP(-LN(2)/25))/(LN(2)/25)*Calculateur!AQ195*Calculateur!AS195*VLOOKUP('Données projet'!$B$10,Paramètres!$A$1:$I$89,3,0)*0.475*44/12</f>
        <v>9.2392645330376805E-2</v>
      </c>
      <c r="AW195" s="23">
        <f>EXP(-LN(2)/2)*AW194+(1-EXP(-LN(2)/2))/(LN(2)/2)*AQ195*AT195*VLOOKUP('Données projet'!$B$10,Paramètres!$A$1:$I$89,3,0)*0.475*44/12</f>
        <v>2.517858035970577E-24</v>
      </c>
      <c r="AX195" s="23">
        <f t="shared" si="166"/>
        <v>0.27278659748137946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-2.8421709430404007E-13</v>
      </c>
      <c r="BE195" s="14">
        <f>BD195*VLOOKUP('Données projet'!$B$11,Paramètres!$A$1:$I$89,3,0)*VLOOKUP('Données projet'!$B$11,Paramètres!$A$1:$I$89,5,0)</f>
        <v>-1.69961822393816E-13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289.12367833861299</v>
      </c>
      <c r="BJ195" s="60">
        <f t="shared" si="146"/>
        <v>229.06617320689003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1.7150907899987368E-24</v>
      </c>
      <c r="BS195" s="24">
        <f t="shared" si="169"/>
        <v>1.7150907899987368E-24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-1.7053025658242404E-13</v>
      </c>
      <c r="BZ195" s="14">
        <f>BY195*VLOOKUP('Données projet'!$B$12,Paramètres!$A$1:$I$89,3,0)*VLOOKUP('Données projet'!$B$12,Paramètres!$A$1:$I$89,5,0)</f>
        <v>-1.3567387213697657E-13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312.53381881960331</v>
      </c>
      <c r="CE195" s="60">
        <f t="shared" si="148"/>
        <v>342.06887933351783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-9.7986685432260874E-13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475.47920969424894</v>
      </c>
      <c r="CZ195" s="60">
        <f t="shared" si="150"/>
        <v>271.73544012419364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-5.6843418860808015E-14</v>
      </c>
      <c r="DP195" s="18">
        <f>DO195*VLOOKUP('Données projet'!$B$14,Paramètres!$A$1:$I$89,3,0)*VLOOKUP('Données projet'!$B$14,Paramètres!$A$1:$I$89,5,0)</f>
        <v>-2.6602720026858149E-14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284.71577701131588</v>
      </c>
      <c r="DU195" s="60">
        <f t="shared" si="152"/>
        <v>190.4880882944471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-1.7053025658242404E-13</v>
      </c>
      <c r="EK195" s="18">
        <f>EJ195*VLOOKUP('Données projet'!$B$15,Paramètres!$A$1:$I$89,3,0)*VLOOKUP('Données projet'!$B$15,Paramètres!$A$1:$I$89,5,0)</f>
        <v>-1.250327841262333E-13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290.85271051443431</v>
      </c>
      <c r="EP195" s="60">
        <f t="shared" si="154"/>
        <v>318.66958823451142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428.8489304403459</v>
      </c>
      <c r="T196" s="60">
        <f t="shared" si="142"/>
        <v>247.01165577562966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1.2710188457276673E-13</v>
      </c>
      <c r="AK196" s="14">
        <f t="shared" si="164"/>
        <v>1.856866851063998E-12</v>
      </c>
      <c r="AL196" s="22">
        <f t="shared" si="165"/>
        <v>3.4554122145673649E-12</v>
      </c>
      <c r="AM196" s="60">
        <f t="shared" ref="AM196:AM203" si="193">AL196+(AD196+AE196)*44/12</f>
        <v>293.33333333333678</v>
      </c>
      <c r="AN196" s="60">
        <f ca="1">AVERAGE(OFFSET($AM$3,0,0,'Données projet'!$E$10+1,1))-AVERAGE(OFFSET($H$3,0,0,'Données projet'!$E$10+1,1))</f>
        <v>323.98185264074681</v>
      </c>
      <c r="AO196" s="60">
        <f t="shared" si="144"/>
        <v>301.22207291854005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0.17685653677876778</v>
      </c>
      <c r="AV196" s="23">
        <f>EXP(-LN(2)/25)*AV195+(1-EXP(-LN(2)/25))/(LN(2)/25)*Calculateur!AQ196*Calculateur!AS196*VLOOKUP('Données projet'!$B$10,Paramètres!$A$1:$I$89,3,0)*0.475*44/12</f>
        <v>8.9866163585099593E-2</v>
      </c>
      <c r="AW196" s="23">
        <f>EXP(-LN(2)/2)*AW195+(1-EXP(-LN(2)/2))/(LN(2)/2)*AQ196*AT196*VLOOKUP('Données projet'!$B$10,Paramètres!$A$1:$I$89,3,0)*0.475*44/12</f>
        <v>1.7803944912998371E-24</v>
      </c>
      <c r="AX196" s="23">
        <f t="shared" si="166"/>
        <v>0.26672270036386736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-2.8421709430404007E-13</v>
      </c>
      <c r="BE196" s="14">
        <f>BD196*VLOOKUP('Données projet'!$B$11,Paramètres!$A$1:$I$89,3,0)*VLOOKUP('Données projet'!$B$11,Paramètres!$A$1:$I$89,5,0)</f>
        <v>-1.69961822393816E-13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289.12367833861299</v>
      </c>
      <c r="BJ196" s="60">
        <f t="shared" si="146"/>
        <v>229.06617320689003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1.2127523279586997E-24</v>
      </c>
      <c r="BS196" s="24">
        <f t="shared" si="169"/>
        <v>1.2127523279586997E-24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-1.7053025658242404E-13</v>
      </c>
      <c r="BZ196" s="14">
        <f>BY196*VLOOKUP('Données projet'!$B$12,Paramètres!$A$1:$I$89,3,0)*VLOOKUP('Données projet'!$B$12,Paramètres!$A$1:$I$89,5,0)</f>
        <v>-1.3567387213697657E-13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312.53381881960331</v>
      </c>
      <c r="CE196" s="60">
        <f t="shared" si="148"/>
        <v>342.06887933351783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-9.7986685432260874E-13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475.47920969424894</v>
      </c>
      <c r="CZ196" s="60">
        <f t="shared" si="150"/>
        <v>271.73544012419364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-5.6843418860808015E-14</v>
      </c>
      <c r="DP196" s="18">
        <f>DO196*VLOOKUP('Données projet'!$B$14,Paramètres!$A$1:$I$89,3,0)*VLOOKUP('Données projet'!$B$14,Paramètres!$A$1:$I$89,5,0)</f>
        <v>-2.6602720026858149E-14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284.71577701131588</v>
      </c>
      <c r="DU196" s="60">
        <f t="shared" si="152"/>
        <v>190.4880882944471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-1.7053025658242404E-13</v>
      </c>
      <c r="EK196" s="18">
        <f>EJ196*VLOOKUP('Données projet'!$B$15,Paramètres!$A$1:$I$89,3,0)*VLOOKUP('Données projet'!$B$15,Paramètres!$A$1:$I$89,5,0)</f>
        <v>-1.250327841262333E-13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290.85271051443431</v>
      </c>
      <c r="EP196" s="60">
        <f t="shared" si="154"/>
        <v>318.66958823451142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428.8489304403459</v>
      </c>
      <c r="T197" s="60">
        <f t="shared" ref="T197:T203" si="204">$T$3</f>
        <v>247.01165577562966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1.2710188457276673E-13</v>
      </c>
      <c r="AK197" s="14">
        <f t="shared" si="164"/>
        <v>1.856866851063998E-12</v>
      </c>
      <c r="AL197" s="22">
        <f t="shared" si="165"/>
        <v>3.4554122145673649E-12</v>
      </c>
      <c r="AM197" s="60">
        <f t="shared" si="193"/>
        <v>293.33333333333678</v>
      </c>
      <c r="AN197" s="60">
        <f ca="1">AVERAGE(OFFSET($AM$3,0,0,'Données projet'!$E$10+1,1))-AVERAGE(OFFSET($H$3,0,0,'Données projet'!$E$10+1,1))</f>
        <v>323.98185264074681</v>
      </c>
      <c r="AO197" s="60">
        <f t="shared" ref="AO197:AO203" si="205">$AO$3</f>
        <v>301.22207291854005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0.17338848796437212</v>
      </c>
      <c r="AV197" s="23">
        <f>EXP(-LN(2)/25)*AV196+(1-EXP(-LN(2)/25))/(LN(2)/25)*Calculateur!AQ197*Calculateur!AS197*VLOOKUP('Données projet'!$B$10,Paramètres!$A$1:$I$89,3,0)*0.475*44/12</f>
        <v>8.7408768616008894E-2</v>
      </c>
      <c r="AW197" s="23">
        <f>EXP(-LN(2)/2)*AW196+(1-EXP(-LN(2)/2))/(LN(2)/2)*AQ197*AT197*VLOOKUP('Données projet'!$B$10,Paramètres!$A$1:$I$89,3,0)*0.475*44/12</f>
        <v>1.2589290179852885E-24</v>
      </c>
      <c r="AX197" s="23">
        <f t="shared" si="166"/>
        <v>0.260797256580381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-2.8421709430404007E-13</v>
      </c>
      <c r="BE197" s="14">
        <f>BD197*VLOOKUP('Données projet'!$B$11,Paramètres!$A$1:$I$89,3,0)*VLOOKUP('Données projet'!$B$11,Paramètres!$A$1:$I$89,5,0)</f>
        <v>-1.69961822393816E-13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289.12367833861299</v>
      </c>
      <c r="BJ197" s="60">
        <f t="shared" ref="BJ197:BJ203" si="206">$BJ$3</f>
        <v>229.06617320689003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8.575453949993684E-25</v>
      </c>
      <c r="BS197" s="24">
        <f t="shared" si="169"/>
        <v>8.575453949993684E-25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-1.7053025658242404E-13</v>
      </c>
      <c r="BZ197" s="14">
        <f>BY197*VLOOKUP('Données projet'!$B$12,Paramètres!$A$1:$I$89,3,0)*VLOOKUP('Données projet'!$B$12,Paramètres!$A$1:$I$89,5,0)</f>
        <v>-1.3567387213697657E-13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312.53381881960331</v>
      </c>
      <c r="CE197" s="60">
        <f t="shared" ref="CE197:CE203" si="207">$CE$3</f>
        <v>342.06887933351783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-9.7986685432260874E-13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475.47920969424894</v>
      </c>
      <c r="CZ197" s="60">
        <f t="shared" ref="CZ197:CZ203" si="208">$CZ$3</f>
        <v>271.73544012419364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-5.6843418860808015E-14</v>
      </c>
      <c r="DP197" s="18">
        <f>DO197*VLOOKUP('Données projet'!$B$14,Paramètres!$A$1:$I$89,3,0)*VLOOKUP('Données projet'!$B$14,Paramètres!$A$1:$I$89,5,0)</f>
        <v>-2.6602720026858149E-14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284.71577701131588</v>
      </c>
      <c r="DU197" s="60">
        <f t="shared" ref="DU197:DU203" si="209">$DU$3</f>
        <v>190.4880882944471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-1.7053025658242404E-13</v>
      </c>
      <c r="EK197" s="18">
        <f>EJ197*VLOOKUP('Données projet'!$B$15,Paramètres!$A$1:$I$89,3,0)*VLOOKUP('Données projet'!$B$15,Paramètres!$A$1:$I$89,5,0)</f>
        <v>-1.250327841262333E-13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290.85271051443431</v>
      </c>
      <c r="EP197" s="60">
        <f t="shared" ref="EP197:EP203" si="210">$EP$3</f>
        <v>318.66958823451142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428.8489304403459</v>
      </c>
      <c r="T198" s="60">
        <f t="shared" si="204"/>
        <v>247.01165577562966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1.2710188457276673E-13</v>
      </c>
      <c r="AK198" s="14">
        <f t="shared" si="164"/>
        <v>1.856866851063998E-12</v>
      </c>
      <c r="AL198" s="22">
        <f t="shared" si="165"/>
        <v>3.4554122145673649E-12</v>
      </c>
      <c r="AM198" s="60">
        <f t="shared" si="193"/>
        <v>293.33333333333678</v>
      </c>
      <c r="AN198" s="60">
        <f ca="1">AVERAGE(OFFSET($AM$3,0,0,'Données projet'!$E$10+1,1))-AVERAGE(OFFSET($H$3,0,0,'Données projet'!$E$10+1,1))</f>
        <v>323.98185264074681</v>
      </c>
      <c r="AO198" s="60">
        <f t="shared" si="205"/>
        <v>301.22207291854005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0.16998844547192585</v>
      </c>
      <c r="AV198" s="23">
        <f>EXP(-LN(2)/25)*AV197+(1-EXP(-LN(2)/25))/(LN(2)/25)*Calculateur!AQ198*Calculateur!AS198*VLOOKUP('Données projet'!$B$10,Paramètres!$A$1:$I$89,3,0)*0.475*44/12</f>
        <v>8.501857124157676E-2</v>
      </c>
      <c r="AW198" s="23">
        <f>EXP(-LN(2)/2)*AW197+(1-EXP(-LN(2)/2))/(LN(2)/2)*AQ198*AT198*VLOOKUP('Données projet'!$B$10,Paramètres!$A$1:$I$89,3,0)*0.475*44/12</f>
        <v>8.9019724564991855E-25</v>
      </c>
      <c r="AX198" s="23">
        <f t="shared" si="166"/>
        <v>0.25500701671350262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-2.8421709430404007E-13</v>
      </c>
      <c r="BE198" s="14">
        <f>BD198*VLOOKUP('Données projet'!$B$11,Paramètres!$A$1:$I$89,3,0)*VLOOKUP('Données projet'!$B$11,Paramètres!$A$1:$I$89,5,0)</f>
        <v>-1.69961822393816E-13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289.12367833861299</v>
      </c>
      <c r="BJ198" s="60">
        <f t="shared" si="206"/>
        <v>229.06617320689003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6.0637616397934987E-25</v>
      </c>
      <c r="BS198" s="24">
        <f t="shared" si="169"/>
        <v>6.0637616397934987E-25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-1.7053025658242404E-13</v>
      </c>
      <c r="BZ198" s="14">
        <f>BY198*VLOOKUP('Données projet'!$B$12,Paramètres!$A$1:$I$89,3,0)*VLOOKUP('Données projet'!$B$12,Paramètres!$A$1:$I$89,5,0)</f>
        <v>-1.3567387213697657E-13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312.53381881960331</v>
      </c>
      <c r="CE198" s="60">
        <f t="shared" si="207"/>
        <v>342.06887933351783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-9.7986685432260874E-13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475.47920969424894</v>
      </c>
      <c r="CZ198" s="60">
        <f t="shared" si="208"/>
        <v>271.73544012419364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-5.6843418860808015E-14</v>
      </c>
      <c r="DP198" s="18">
        <f>DO198*VLOOKUP('Données projet'!$B$14,Paramètres!$A$1:$I$89,3,0)*VLOOKUP('Données projet'!$B$14,Paramètres!$A$1:$I$89,5,0)</f>
        <v>-2.6602720026858149E-14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284.71577701131588</v>
      </c>
      <c r="DU198" s="60">
        <f t="shared" si="209"/>
        <v>190.4880882944471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-1.7053025658242404E-13</v>
      </c>
      <c r="EK198" s="18">
        <f>EJ198*VLOOKUP('Données projet'!$B$15,Paramètres!$A$1:$I$89,3,0)*VLOOKUP('Données projet'!$B$15,Paramètres!$A$1:$I$89,5,0)</f>
        <v>-1.250327841262333E-13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290.85271051443431</v>
      </c>
      <c r="EP198" s="60">
        <f t="shared" si="210"/>
        <v>318.66958823451142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428.8489304403459</v>
      </c>
      <c r="T199" s="60">
        <f t="shared" si="204"/>
        <v>247.01165577562966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1.2710188457276673E-13</v>
      </c>
      <c r="AK199" s="14">
        <f t="shared" si="164"/>
        <v>1.856866851063998E-12</v>
      </c>
      <c r="AL199" s="22">
        <f t="shared" si="165"/>
        <v>3.4554122145673649E-12</v>
      </c>
      <c r="AM199" s="60">
        <f t="shared" si="193"/>
        <v>293.33333333333678</v>
      </c>
      <c r="AN199" s="60">
        <f ca="1">AVERAGE(OFFSET($AM$3,0,0,'Données projet'!$E$10+1,1))-AVERAGE(OFFSET($H$3,0,0,'Données projet'!$E$10+1,1))</f>
        <v>323.98185264074681</v>
      </c>
      <c r="AO199" s="60">
        <f t="shared" si="205"/>
        <v>301.22207291854005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0.16665507573893532</v>
      </c>
      <c r="AV199" s="23">
        <f>EXP(-LN(2)/25)*AV198+(1-EXP(-LN(2)/25))/(LN(2)/25)*Calculateur!AQ199*Calculateur!AS199*VLOOKUP('Données projet'!$B$10,Paramètres!$A$1:$I$89,3,0)*0.475*44/12</f>
        <v>8.2693733940043493E-2</v>
      </c>
      <c r="AW199" s="23">
        <f>EXP(-LN(2)/2)*AW198+(1-EXP(-LN(2)/2))/(LN(2)/2)*AQ199*AT199*VLOOKUP('Données projet'!$B$10,Paramètres!$A$1:$I$89,3,0)*0.475*44/12</f>
        <v>6.2946450899264426E-25</v>
      </c>
      <c r="AX199" s="23">
        <f t="shared" si="166"/>
        <v>0.24934880967897882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-2.8421709430404007E-13</v>
      </c>
      <c r="BE199" s="14">
        <f>BD199*VLOOKUP('Données projet'!$B$11,Paramètres!$A$1:$I$89,3,0)*VLOOKUP('Données projet'!$B$11,Paramètres!$A$1:$I$89,5,0)</f>
        <v>-1.69961822393816E-13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289.12367833861299</v>
      </c>
      <c r="BJ199" s="60">
        <f t="shared" si="206"/>
        <v>229.06617320689003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4.287726974996842E-25</v>
      </c>
      <c r="BS199" s="24">
        <f t="shared" si="169"/>
        <v>4.287726974996842E-25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-1.7053025658242404E-13</v>
      </c>
      <c r="BZ199" s="14">
        <f>BY199*VLOOKUP('Données projet'!$B$12,Paramètres!$A$1:$I$89,3,0)*VLOOKUP('Données projet'!$B$12,Paramètres!$A$1:$I$89,5,0)</f>
        <v>-1.3567387213697657E-13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312.53381881960331</v>
      </c>
      <c r="CE199" s="60">
        <f t="shared" si="207"/>
        <v>342.06887933351783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-9.7986685432260874E-13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475.47920969424894</v>
      </c>
      <c r="CZ199" s="60">
        <f t="shared" si="208"/>
        <v>271.73544012419364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-5.6843418860808015E-14</v>
      </c>
      <c r="DP199" s="18">
        <f>DO199*VLOOKUP('Données projet'!$B$14,Paramètres!$A$1:$I$89,3,0)*VLOOKUP('Données projet'!$B$14,Paramètres!$A$1:$I$89,5,0)</f>
        <v>-2.6602720026858149E-14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284.71577701131588</v>
      </c>
      <c r="DU199" s="60">
        <f t="shared" si="209"/>
        <v>190.4880882944471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-1.7053025658242404E-13</v>
      </c>
      <c r="EK199" s="18">
        <f>EJ199*VLOOKUP('Données projet'!$B$15,Paramètres!$A$1:$I$89,3,0)*VLOOKUP('Données projet'!$B$15,Paramètres!$A$1:$I$89,5,0)</f>
        <v>-1.250327841262333E-13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290.85271051443431</v>
      </c>
      <c r="EP199" s="60">
        <f t="shared" si="210"/>
        <v>318.66958823451142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428.8489304403459</v>
      </c>
      <c r="T200" s="60">
        <f t="shared" si="204"/>
        <v>247.01165577562966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1.2710188457276673E-13</v>
      </c>
      <c r="AK200" s="14">
        <f t="shared" si="164"/>
        <v>1.856866851063998E-12</v>
      </c>
      <c r="AL200" s="22">
        <f t="shared" si="165"/>
        <v>3.4554122145673649E-12</v>
      </c>
      <c r="AM200" s="60">
        <f t="shared" si="193"/>
        <v>293.33333333333678</v>
      </c>
      <c r="AN200" s="60">
        <f ca="1">AVERAGE(OFFSET($AM$3,0,0,'Données projet'!$E$10+1,1))-AVERAGE(OFFSET($H$3,0,0,'Données projet'!$E$10+1,1))</f>
        <v>323.98185264074681</v>
      </c>
      <c r="AO200" s="60">
        <f t="shared" si="205"/>
        <v>301.22207291854005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0.16338707135325392</v>
      </c>
      <c r="AV200" s="23">
        <f>EXP(-LN(2)/25)*AV199+(1-EXP(-LN(2)/25))/(LN(2)/25)*Calculateur!AQ200*Calculateur!AS200*VLOOKUP('Données projet'!$B$10,Paramètres!$A$1:$I$89,3,0)*0.475*44/12</f>
        <v>8.0432469436778536E-2</v>
      </c>
      <c r="AW200" s="23">
        <f>EXP(-LN(2)/2)*AW199+(1-EXP(-LN(2)/2))/(LN(2)/2)*AQ200*AT200*VLOOKUP('Données projet'!$B$10,Paramètres!$A$1:$I$89,3,0)*0.475*44/12</f>
        <v>4.4509862282495927E-25</v>
      </c>
      <c r="AX200" s="23">
        <f t="shared" si="166"/>
        <v>0.24381954079003246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-2.8421709430404007E-13</v>
      </c>
      <c r="BE200" s="14">
        <f>BD200*VLOOKUP('Données projet'!$B$11,Paramètres!$A$1:$I$89,3,0)*VLOOKUP('Données projet'!$B$11,Paramètres!$A$1:$I$89,5,0)</f>
        <v>-1.69961822393816E-13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289.12367833861299</v>
      </c>
      <c r="BJ200" s="60">
        <f t="shared" si="206"/>
        <v>229.06617320689003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3.0318808198967493E-25</v>
      </c>
      <c r="BS200" s="24">
        <f t="shared" si="169"/>
        <v>3.0318808198967493E-25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-1.7053025658242404E-13</v>
      </c>
      <c r="BZ200" s="14">
        <f>BY200*VLOOKUP('Données projet'!$B$12,Paramètres!$A$1:$I$89,3,0)*VLOOKUP('Données projet'!$B$12,Paramètres!$A$1:$I$89,5,0)</f>
        <v>-1.3567387213697657E-13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312.53381881960331</v>
      </c>
      <c r="CE200" s="60">
        <f t="shared" si="207"/>
        <v>342.06887933351783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-9.7986685432260874E-13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475.47920969424894</v>
      </c>
      <c r="CZ200" s="60">
        <f t="shared" si="208"/>
        <v>271.73544012419364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-5.6843418860808015E-14</v>
      </c>
      <c r="DP200" s="18">
        <f>DO200*VLOOKUP('Données projet'!$B$14,Paramètres!$A$1:$I$89,3,0)*VLOOKUP('Données projet'!$B$14,Paramètres!$A$1:$I$89,5,0)</f>
        <v>-2.6602720026858149E-14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284.71577701131588</v>
      </c>
      <c r="DU200" s="60">
        <f t="shared" si="209"/>
        <v>190.4880882944471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-1.7053025658242404E-13</v>
      </c>
      <c r="EK200" s="18">
        <f>EJ200*VLOOKUP('Données projet'!$B$15,Paramètres!$A$1:$I$89,3,0)*VLOOKUP('Données projet'!$B$15,Paramètres!$A$1:$I$89,5,0)</f>
        <v>-1.250327841262333E-13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290.85271051443431</v>
      </c>
      <c r="EP200" s="60">
        <f t="shared" si="210"/>
        <v>318.66958823451142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428.8489304403459</v>
      </c>
      <c r="T201" s="60">
        <f t="shared" si="204"/>
        <v>247.01165577562966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1.2710188457276673E-13</v>
      </c>
      <c r="AK201" s="14">
        <f t="shared" si="164"/>
        <v>1.856866851063998E-12</v>
      </c>
      <c r="AL201" s="22">
        <f t="shared" si="165"/>
        <v>3.4554122145673649E-12</v>
      </c>
      <c r="AM201" s="60">
        <f t="shared" si="193"/>
        <v>293.33333333333678</v>
      </c>
      <c r="AN201" s="60">
        <f ca="1">AVERAGE(OFFSET($AM$3,0,0,'Données projet'!$E$10+1,1))-AVERAGE(OFFSET($H$3,0,0,'Données projet'!$E$10+1,1))</f>
        <v>323.98185264074681</v>
      </c>
      <c r="AO201" s="60">
        <f t="shared" si="205"/>
        <v>301.22207291854005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0.16018315054028989</v>
      </c>
      <c r="AV201" s="23">
        <f>EXP(-LN(2)/25)*AV200+(1-EXP(-LN(2)/25))/(LN(2)/25)*Calculateur!AQ201*Calculateur!AS201*VLOOKUP('Données projet'!$B$10,Paramètres!$A$1:$I$89,3,0)*0.475*44/12</f>
        <v>7.8233039330270093E-2</v>
      </c>
      <c r="AW201" s="23">
        <f>EXP(-LN(2)/2)*AW200+(1-EXP(-LN(2)/2))/(LN(2)/2)*AQ201*AT201*VLOOKUP('Données projet'!$B$10,Paramètres!$A$1:$I$89,3,0)*0.475*44/12</f>
        <v>3.1473225449632213E-25</v>
      </c>
      <c r="AX201" s="23">
        <f t="shared" si="166"/>
        <v>0.23841618987055999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-2.8421709430404007E-13</v>
      </c>
      <c r="BE201" s="14">
        <f>BD201*VLOOKUP('Données projet'!$B$11,Paramètres!$A$1:$I$89,3,0)*VLOOKUP('Données projet'!$B$11,Paramètres!$A$1:$I$89,5,0)</f>
        <v>-1.69961822393816E-13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289.12367833861299</v>
      </c>
      <c r="BJ201" s="60">
        <f t="shared" si="206"/>
        <v>229.06617320689003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2.143863487498421E-25</v>
      </c>
      <c r="BS201" s="24">
        <f t="shared" si="169"/>
        <v>2.143863487498421E-25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-1.7053025658242404E-13</v>
      </c>
      <c r="BZ201" s="14">
        <f>BY201*VLOOKUP('Données projet'!$B$12,Paramètres!$A$1:$I$89,3,0)*VLOOKUP('Données projet'!$B$12,Paramètres!$A$1:$I$89,5,0)</f>
        <v>-1.3567387213697657E-13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312.53381881960331</v>
      </c>
      <c r="CE201" s="60">
        <f t="shared" si="207"/>
        <v>342.06887933351783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-9.7986685432260874E-13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475.47920969424894</v>
      </c>
      <c r="CZ201" s="60">
        <f t="shared" si="208"/>
        <v>271.73544012419364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-5.6843418860808015E-14</v>
      </c>
      <c r="DP201" s="18">
        <f>DO201*VLOOKUP('Données projet'!$B$14,Paramètres!$A$1:$I$89,3,0)*VLOOKUP('Données projet'!$B$14,Paramètres!$A$1:$I$89,5,0)</f>
        <v>-2.6602720026858149E-14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284.71577701131588</v>
      </c>
      <c r="DU201" s="60">
        <f t="shared" si="209"/>
        <v>190.4880882944471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-1.7053025658242404E-13</v>
      </c>
      <c r="EK201" s="18">
        <f>EJ201*VLOOKUP('Données projet'!$B$15,Paramètres!$A$1:$I$89,3,0)*VLOOKUP('Données projet'!$B$15,Paramètres!$A$1:$I$89,5,0)</f>
        <v>-1.250327841262333E-13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290.85271051443431</v>
      </c>
      <c r="EP201" s="60">
        <f t="shared" si="210"/>
        <v>318.66958823451142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428.8489304403459</v>
      </c>
      <c r="T202" s="60">
        <f t="shared" si="204"/>
        <v>247.01165577562966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1.2710188457276673E-13</v>
      </c>
      <c r="AK202" s="14">
        <f t="shared" si="164"/>
        <v>1.856866851063998E-12</v>
      </c>
      <c r="AL202" s="22">
        <f t="shared" si="165"/>
        <v>3.4554122145673649E-12</v>
      </c>
      <c r="AM202" s="60">
        <f t="shared" si="193"/>
        <v>293.33333333333678</v>
      </c>
      <c r="AN202" s="60">
        <f ca="1">AVERAGE(OFFSET($AM$3,0,0,'Données projet'!$E$10+1,1))-AVERAGE(OFFSET($H$3,0,0,'Données projet'!$E$10+1,1))</f>
        <v>323.98185264074681</v>
      </c>
      <c r="AO202" s="60">
        <f t="shared" si="205"/>
        <v>301.22207291854005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0.15704205666026935</v>
      </c>
      <c r="AV202" s="23">
        <f>EXP(-LN(2)/25)*AV201+(1-EXP(-LN(2)/25))/(LN(2)/25)*Calculateur!AQ202*Calculateur!AS202*VLOOKUP('Données projet'!$B$10,Paramètres!$A$1:$I$89,3,0)*0.475*44/12</f>
        <v>7.6093752755687125E-2</v>
      </c>
      <c r="AW202" s="23">
        <f>EXP(-LN(2)/2)*AW201+(1-EXP(-LN(2)/2))/(LN(2)/2)*AQ202*AT202*VLOOKUP('Données projet'!$B$10,Paramètres!$A$1:$I$89,3,0)*0.475*44/12</f>
        <v>2.2254931141247964E-25</v>
      </c>
      <c r="AX202" s="23">
        <f t="shared" si="166"/>
        <v>0.23313580941595646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-2.8421709430404007E-13</v>
      </c>
      <c r="BE202" s="14">
        <f>BD202*VLOOKUP('Données projet'!$B$11,Paramètres!$A$1:$I$89,3,0)*VLOOKUP('Données projet'!$B$11,Paramètres!$A$1:$I$89,5,0)</f>
        <v>-1.69961822393816E-13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289.12367833861299</v>
      </c>
      <c r="BJ202" s="60">
        <f t="shared" si="206"/>
        <v>229.06617320689003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1.5159404099483747E-25</v>
      </c>
      <c r="BS202" s="24">
        <f t="shared" si="169"/>
        <v>1.5159404099483747E-25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-1.7053025658242404E-13</v>
      </c>
      <c r="BZ202" s="14">
        <f>BY202*VLOOKUP('Données projet'!$B$12,Paramètres!$A$1:$I$89,3,0)*VLOOKUP('Données projet'!$B$12,Paramètres!$A$1:$I$89,5,0)</f>
        <v>-1.3567387213697657E-13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312.53381881960331</v>
      </c>
      <c r="CE202" s="60">
        <f t="shared" si="207"/>
        <v>342.06887933351783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-9.7986685432260874E-13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475.47920969424894</v>
      </c>
      <c r="CZ202" s="60">
        <f t="shared" si="208"/>
        <v>271.73544012419364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-5.6843418860808015E-14</v>
      </c>
      <c r="DP202" s="18">
        <f>DO202*VLOOKUP('Données projet'!$B$14,Paramètres!$A$1:$I$89,3,0)*VLOOKUP('Données projet'!$B$14,Paramètres!$A$1:$I$89,5,0)</f>
        <v>-2.6602720026858149E-14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284.71577701131588</v>
      </c>
      <c r="DU202" s="60">
        <f t="shared" si="209"/>
        <v>190.4880882944471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-1.7053025658242404E-13</v>
      </c>
      <c r="EK202" s="18">
        <f>EJ202*VLOOKUP('Données projet'!$B$15,Paramètres!$A$1:$I$89,3,0)*VLOOKUP('Données projet'!$B$15,Paramètres!$A$1:$I$89,5,0)</f>
        <v>-1.250327841262333E-13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290.85271051443431</v>
      </c>
      <c r="EP202" s="60">
        <f t="shared" si="210"/>
        <v>318.66958823451142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428.8489304403459</v>
      </c>
      <c r="T203" s="60">
        <f t="shared" si="204"/>
        <v>247.01165577562966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1.2710188457276673E-13</v>
      </c>
      <c r="AK203" s="14">
        <f t="shared" si="164"/>
        <v>1.856866851063998E-12</v>
      </c>
      <c r="AL203" s="22">
        <f t="shared" si="165"/>
        <v>3.4554122145673649E-12</v>
      </c>
      <c r="AM203" s="60">
        <f t="shared" si="193"/>
        <v>293.33333333333678</v>
      </c>
      <c r="AN203" s="60">
        <f ca="1">AVERAGE(OFFSET($AM$3,0,0,'Données projet'!$E$10+1,1))-AVERAGE(OFFSET($H$3,0,0,'Données projet'!$E$10+1,1))</f>
        <v>323.98185264074681</v>
      </c>
      <c r="AO203" s="60">
        <f t="shared" si="205"/>
        <v>301.22207291854005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0.15396255771535794</v>
      </c>
      <c r="AV203" s="23">
        <f>EXP(-LN(2)/25)*AV202+(1-EXP(-LN(2)/25))/(LN(2)/25)*Calculateur!AQ203*Calculateur!AS203*VLOOKUP('Données projet'!$B$10,Paramètres!$A$1:$I$89,3,0)*0.475*44/12</f>
        <v>7.4012965084986324E-2</v>
      </c>
      <c r="AW203" s="23">
        <f>EXP(-LN(2)/2)*AW202+(1-EXP(-LN(2)/2))/(LN(2)/2)*AQ203*AT203*VLOOKUP('Données projet'!$B$10,Paramètres!$A$1:$I$89,3,0)*0.475*44/12</f>
        <v>1.5736612724816107E-25</v>
      </c>
      <c r="AX203" s="23">
        <f t="shared" si="166"/>
        <v>0.22797552280034428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-2.8421709430404007E-13</v>
      </c>
      <c r="BE203" s="14">
        <f>BD203*VLOOKUP('Données projet'!$B$11,Paramètres!$A$1:$I$89,3,0)*VLOOKUP('Données projet'!$B$11,Paramètres!$A$1:$I$89,5,0)</f>
        <v>-1.69961822393816E-13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289.12367833861299</v>
      </c>
      <c r="BJ203" s="60">
        <f t="shared" si="206"/>
        <v>229.06617320689003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1.0719317437492105E-25</v>
      </c>
      <c r="BS203" s="24">
        <f t="shared" si="169"/>
        <v>1.0719317437492105E-25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-1.7053025658242404E-13</v>
      </c>
      <c r="BZ203" s="14">
        <f>BY203*VLOOKUP('Données projet'!$B$12,Paramètres!$A$1:$I$89,3,0)*VLOOKUP('Données projet'!$B$12,Paramètres!$A$1:$I$89,5,0)</f>
        <v>-1.3567387213697657E-13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312.53381881960331</v>
      </c>
      <c r="CE203" s="60">
        <f t="shared" si="207"/>
        <v>342.06887933351783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-9.7986685432260874E-13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475.47920969424894</v>
      </c>
      <c r="CZ203" s="60">
        <f t="shared" si="208"/>
        <v>271.73544012419364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-5.6843418860808015E-14</v>
      </c>
      <c r="DP203" s="18">
        <f>DO203*VLOOKUP('Données projet'!$B$14,Paramètres!$A$1:$I$89,3,0)*VLOOKUP('Données projet'!$B$14,Paramètres!$A$1:$I$89,5,0)</f>
        <v>-2.6602720026858149E-14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284.71577701131588</v>
      </c>
      <c r="DU203" s="60">
        <f t="shared" si="209"/>
        <v>190.4880882944471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-1.7053025658242404E-13</v>
      </c>
      <c r="EK203" s="18">
        <f>EJ203*VLOOKUP('Données projet'!$B$15,Paramètres!$A$1:$I$89,3,0)*VLOOKUP('Données projet'!$B$15,Paramètres!$A$1:$I$89,5,0)</f>
        <v>-1.250327841262333E-13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290.85271051443431</v>
      </c>
      <c r="EP203" s="60">
        <f t="shared" si="210"/>
        <v>318.66958823451142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1.3009230512021859</v>
      </c>
      <c r="BA205" s="86">
        <f>EXP(LN('Données projet'!B88)/'Données projet'!A88)</f>
        <v>1.2691631451226497</v>
      </c>
      <c r="BV205" s="86">
        <f>EXP(LN('Données projet'!B114)/'Données projet'!A114)</f>
        <v>1.2721747796233518</v>
      </c>
      <c r="CQ205" s="86">
        <f>EXP(LN('Données projet'!B140)/'Données projet'!A140)</f>
        <v>1.2054868146447177</v>
      </c>
      <c r="DL205" s="86">
        <f>EXP(LN('Données projet'!B166)/'Données projet'!A166)</f>
        <v>1.1810516433311786</v>
      </c>
      <c r="EG205" s="86">
        <f>EXP(LN('Données projet'!B192)/'Données projet'!A192)</f>
        <v>1.2721747796233518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G10" zoomScale="160" zoomScaleNormal="160" workbookViewId="0">
      <selection activeCell="F19" sqref="F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1.5405900000000001</v>
      </c>
      <c r="C6" s="154">
        <f ca="1">IF(OR('Données projet'!B9="",'Données projet'!C9="",'Données projet'!C9=0%),0,Calculateur!S3)</f>
        <v>428.8489304403459</v>
      </c>
      <c r="D6" s="154">
        <f>IF(OR('Données projet'!B9="",'Données projet'!C9="",'Données projet'!C9=0%),0,Calculateur!T3)</f>
        <v>247.01165577562966</v>
      </c>
      <c r="E6" s="154">
        <f ca="1">MIN(C6,D6)</f>
        <v>247.01165577562966</v>
      </c>
      <c r="F6" s="154">
        <f ca="1">E6*B6</f>
        <v>380.54368677137734</v>
      </c>
      <c r="G6" s="154">
        <f ca="1">F6*(100%-'Données projet'!$C$24)*(100%-'Données projet'!$C$25)*(100%-'Données projet'!$C$26)*(100%-'Données projet'!$C$27)</f>
        <v>342.48931809423959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11.169277500000002</v>
      </c>
      <c r="K6" s="158">
        <f>J6*(100%-'Données projet'!$C$24)*(100%-'Données projet'!$C$25)*(100%-'Données projet'!$C$26)*(100%-'Données projet'!$C$27)</f>
        <v>10.052349750000001</v>
      </c>
      <c r="L6" s="159">
        <f ca="1">G6+I6+K6</f>
        <v>352.54166784423961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Douglas</v>
      </c>
      <c r="B7" s="161">
        <f>'Données projet'!D10</f>
        <v>0.67283999999999999</v>
      </c>
      <c r="C7" s="154">
        <f ca="1">IF(OR('Données projet'!B10="",'Données projet'!C10="",'Données projet'!C10=0%),0,Calculateur!AN3)</f>
        <v>323.98185264074681</v>
      </c>
      <c r="D7" s="154">
        <f>IF(OR('Données projet'!B10="",'Données projet'!C10="",'Données projet'!C10=0%),0,Calculateur!AO3)</f>
        <v>301.22207291854005</v>
      </c>
      <c r="E7" s="154">
        <f t="shared" ref="E7:E15" ca="1" si="0">MIN(C7,D7)</f>
        <v>301.22207291854005</v>
      </c>
      <c r="F7" s="154">
        <f t="shared" ref="F7:F15" ca="1" si="1">E7*B7</f>
        <v>202.6742595425105</v>
      </c>
      <c r="G7" s="154">
        <f ca="1">F7*(100%-'Données projet'!$C$24)*(100%-'Données projet'!$C$25)*(100%-'Données projet'!$C$26)*(100%-'Données projet'!$C$27)</f>
        <v>182.40683358825945</v>
      </c>
      <c r="H7" s="162">
        <f>IF(OR('Données projet'!B10="",'Données projet'!C10="",'Données projet'!C10=0%),0,AVERAGE(Calculateur!$AX$3:$AX$33)*B7)</f>
        <v>3.1739599103956757</v>
      </c>
      <c r="I7" s="156">
        <f>H7*(100%-'Données projet'!$C$24)*(100%-'Données projet'!$C$25)*(100%-'Données projet'!$C$26)*(100%-'Données projet'!$C$27)</f>
        <v>2.8565639193561081</v>
      </c>
      <c r="J7" s="157">
        <f>IF(OR('Données projet'!B10="",'Données projet'!C10="",'Données projet'!C10=0%),0,SUM(Calculateur!$AQ$3:$AQ$33)*VLOOKUP('Données projet'!$B$10,Paramètres!$A$1:$I$89,9,0)*B7)</f>
        <v>34.164382624615378</v>
      </c>
      <c r="K7" s="158">
        <f>J7*(100%-'Données projet'!$C$24)*(100%-'Données projet'!$C$25)*(100%-'Données projet'!$C$26)*(100%-'Données projet'!$C$27)</f>
        <v>30.747944362153842</v>
      </c>
      <c r="L7" s="159">
        <f t="shared" ref="L7:L15" ca="1" si="2">G7+I7+K7</f>
        <v>216.01134186976941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Pin laricio</v>
      </c>
      <c r="B8" s="161">
        <f>'Données projet'!D11</f>
        <v>0.59362999999999999</v>
      </c>
      <c r="C8" s="154">
        <f ca="1">IF(OR('Données projet'!B11="",'Données projet'!C11="",'Données projet'!C11=0%),0,Calculateur!BI3)</f>
        <v>289.12367833861299</v>
      </c>
      <c r="D8" s="154">
        <f>IF(OR('Données projet'!B11="",'Données projet'!C11="",'Données projet'!C11=0%),0,Calculateur!BJ3)</f>
        <v>229.06617320689003</v>
      </c>
      <c r="E8" s="154">
        <f t="shared" ca="1" si="0"/>
        <v>229.06617320689003</v>
      </c>
      <c r="F8" s="154">
        <f t="shared" ca="1" si="1"/>
        <v>135.98055240080612</v>
      </c>
      <c r="G8" s="154">
        <f ca="1">F8*(100%-'Données projet'!$C$24)*(100%-'Données projet'!$C$25)*(100%-'Données projet'!$C$26)*(100%-'Données projet'!$C$27)</f>
        <v>122.38249716072551</v>
      </c>
      <c r="H8" s="162">
        <f>IF(OR('Données projet'!B11="",'Données projet'!C11="",'Données projet'!C11=0%),0,AVERAGE(Calculateur!$BS$3:$BS$33)*B8)</f>
        <v>0.57513242138984799</v>
      </c>
      <c r="I8" s="156">
        <f>H8*(100%-'Données projet'!$C$24)*(100%-'Données projet'!$C$25)*(100%-'Données projet'!$C$26)*(100%-'Données projet'!$C$27)</f>
        <v>0.5176191792508632</v>
      </c>
      <c r="J8" s="157">
        <f>IF(OR('Données projet'!B11="",'Données projet'!C11="",'Données projet'!C11=0%),0,SUM(Calculateur!$BL$3:$BL$33)*VLOOKUP('Données projet'!$B$11,Paramètres!$A$1:$I$89,9,0)*B8)</f>
        <v>22.30783911461538</v>
      </c>
      <c r="K8" s="158">
        <f>J8*(100%-'Données projet'!$C$24)*(100%-'Données projet'!$C$25)*(100%-'Données projet'!$C$26)*(100%-'Données projet'!$C$27)</f>
        <v>20.077055203153844</v>
      </c>
      <c r="L8" s="159">
        <f t="shared" ca="1" si="2"/>
        <v>142.9771715431302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Erable sycomore</v>
      </c>
      <c r="B9" s="161">
        <f>'Données projet'!D12</f>
        <v>0.51976</v>
      </c>
      <c r="C9" s="154">
        <f ca="1">IF(OR('Données projet'!B12="",'Données projet'!C12="",'Données projet'!C12=0%),0,Calculateur!CD3)</f>
        <v>312.53381881960331</v>
      </c>
      <c r="D9" s="154">
        <f>IF(OR('Données projet'!B12="",'Données projet'!C12="",'Données projet'!C12=0%),0,Calculateur!CE3)</f>
        <v>342.06887933351783</v>
      </c>
      <c r="E9" s="154">
        <f t="shared" ca="1" si="0"/>
        <v>312.53381881960331</v>
      </c>
      <c r="F9" s="154">
        <f t="shared" ca="1" si="1"/>
        <v>162.44257766967701</v>
      </c>
      <c r="G9" s="154">
        <f ca="1">F9*(100%-'Données projet'!$C$24)*(100%-'Données projet'!$C$25)*(100%-'Données projet'!$C$26)*(100%-'Données projet'!$C$27)</f>
        <v>146.1983199027093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12.86406</v>
      </c>
      <c r="K9" s="158">
        <f>J9*(100%-'Données projet'!$C$24)*(100%-'Données projet'!$C$25)*(100%-'Données projet'!$C$26)*(100%-'Données projet'!$C$27)</f>
        <v>11.577654000000001</v>
      </c>
      <c r="L9" s="159">
        <f t="shared" ca="1" si="2"/>
        <v>157.7759739027093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Chêne pubescent</v>
      </c>
      <c r="B10" s="161">
        <f>'Données projet'!D13</f>
        <v>0.43654500000000007</v>
      </c>
      <c r="C10" s="154">
        <f ca="1">IF(OR('Données projet'!B13="",'Données projet'!C13="",'Données projet'!C13=0%),0,Calculateur!CY3)</f>
        <v>475.47920969424894</v>
      </c>
      <c r="D10" s="154">
        <f>IF(OR('Données projet'!B13="",'Données projet'!C13="",'Données projet'!C13=0%),0,Calculateur!CZ3)</f>
        <v>271.73544012419364</v>
      </c>
      <c r="E10" s="154">
        <f t="shared" ca="1" si="0"/>
        <v>271.73544012419364</v>
      </c>
      <c r="F10" s="154">
        <f t="shared" ca="1" si="1"/>
        <v>118.62474770901613</v>
      </c>
      <c r="G10" s="154">
        <f ca="1">F10*(100%-'Données projet'!$C$24)*(100%-'Données projet'!$C$25)*(100%-'Données projet'!$C$26)*(100%-'Données projet'!$C$27)</f>
        <v>106.76227293811452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3.1649512500000005</v>
      </c>
      <c r="K10" s="158">
        <f>J10*(100%-'Données projet'!$C$24)*(100%-'Données projet'!$C$25)*(100%-'Données projet'!$C$26)*(100%-'Données projet'!$C$27)</f>
        <v>2.8484561250000007</v>
      </c>
      <c r="L10" s="159">
        <f t="shared" ca="1" si="2"/>
        <v>109.61072906311452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Cèdre de l'Atlas</v>
      </c>
      <c r="B11" s="161">
        <f>'Données projet'!D14</f>
        <v>0.41652</v>
      </c>
      <c r="C11" s="154">
        <f ca="1">IF(OR('Données projet'!B14="",'Données projet'!C14="",'Données projet'!C14=0%),0,Calculateur!DT3)</f>
        <v>284.71577701131588</v>
      </c>
      <c r="D11" s="154">
        <f>IF(OR('Données projet'!B14="",'Données projet'!C14="",'Données projet'!C14=0%),0,Calculateur!DU3)</f>
        <v>190.4880882944471</v>
      </c>
      <c r="E11" s="154">
        <f t="shared" ca="1" si="0"/>
        <v>190.4880882944471</v>
      </c>
      <c r="F11" s="154">
        <f t="shared" ca="1" si="1"/>
        <v>79.3420985364031</v>
      </c>
      <c r="G11" s="154">
        <f ca="1">F11*(100%-'Données projet'!$C$24)*(100%-'Données projet'!$C$25)*(100%-'Données projet'!$C$26)*(100%-'Données projet'!$C$27)</f>
        <v>71.407888682762788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ca="1" si="2"/>
        <v>71.407888682762788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Châtaignier</v>
      </c>
      <c r="B12" s="161">
        <f>'Données projet'!D15</f>
        <v>0.27011499999999999</v>
      </c>
      <c r="C12" s="154">
        <f ca="1">IF(OR('Données projet'!B15="",'Données projet'!C15="",'Données projet'!C15=0%),0,Calculateur!EO3)</f>
        <v>290.85271051443431</v>
      </c>
      <c r="D12" s="154">
        <f>IF(OR('Données projet'!B15="",'Données projet'!C15="",'Données projet'!C15=0%),0,Calculateur!EP3)</f>
        <v>318.66958823451142</v>
      </c>
      <c r="E12" s="154">
        <f t="shared" ca="1" si="0"/>
        <v>290.85271051443431</v>
      </c>
      <c r="F12" s="154">
        <f t="shared" ca="1" si="1"/>
        <v>78.563679900606417</v>
      </c>
      <c r="G12" s="154">
        <f ca="1">F12*(100%-'Données projet'!$C$24)*(100%-'Données projet'!$C$25)*(100%-'Données projet'!$C$26)*(100%-'Données projet'!$C$27)</f>
        <v>70.707311910545783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6.6853462500000003</v>
      </c>
      <c r="K12" s="158">
        <f>J12*(100%-'Données projet'!$C$24)*(100%-'Données projet'!$C$25)*(100%-'Données projet'!$C$26)*(100%-'Données projet'!$C$27)</f>
        <v>6.0168116250000008</v>
      </c>
      <c r="L12" s="159">
        <f t="shared" ca="1" si="2"/>
        <v>76.724123535545786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1158.1716025303967</v>
      </c>
      <c r="G16" s="173">
        <f t="shared" ca="1" si="3"/>
        <v>1042.3544422773568</v>
      </c>
      <c r="H16" s="174">
        <f t="shared" si="3"/>
        <v>3.7490923317855236</v>
      </c>
      <c r="I16" s="174">
        <f t="shared" si="3"/>
        <v>3.3741830986069714</v>
      </c>
      <c r="J16" s="175">
        <f t="shared" si="3"/>
        <v>90.355856739230745</v>
      </c>
      <c r="K16" s="175">
        <f t="shared" si="3"/>
        <v>81.320271065307679</v>
      </c>
      <c r="L16" s="176">
        <f t="shared" ca="1" si="3"/>
        <v>1127.0488964412716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Douglas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Pin laricio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Erable sycomore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Chêne pubescent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Cèdre de l'Atlas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Châtaignier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G1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530.51799468090121</v>
      </c>
      <c r="U10" s="188">
        <f>'Données projet'!D9</f>
        <v>1.5405900000000001</v>
      </c>
      <c r="V10" s="187">
        <f>U10*T10</f>
        <v>817.31071742544964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Douglas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4422.7312954271119</v>
      </c>
      <c r="U11" s="188">
        <f>'Données projet'!D10</f>
        <v>0.67283999999999999</v>
      </c>
      <c r="V11" s="187">
        <f t="shared" ref="V11" si="0">U11*T11</f>
        <v>2975.7905248151778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Pin laricio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1930.7554447310717</v>
      </c>
      <c r="U12" s="188">
        <f>'Données projet'!D11</f>
        <v>0.59362999999999999</v>
      </c>
      <c r="V12" s="187">
        <f t="shared" ref="V12:V19" si="1">U12*T12</f>
        <v>1146.1543546557061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Erable sycomore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1469.0615284279975</v>
      </c>
      <c r="U13" s="188">
        <f>'Données projet'!D12</f>
        <v>0.51976</v>
      </c>
      <c r="V13" s="187">
        <f t="shared" si="1"/>
        <v>763.55942001573601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Chêne pubescent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530.51799468090121</v>
      </c>
      <c r="U14" s="188">
        <f>'Données projet'!D13</f>
        <v>0.43654500000000007</v>
      </c>
      <c r="V14" s="187">
        <f t="shared" si="1"/>
        <v>231.59497798797406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Cèdre de l'Atlas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702.41443272601964</v>
      </c>
      <c r="U15" s="188">
        <f>'Données projet'!D14</f>
        <v>0.41652</v>
      </c>
      <c r="V15" s="187">
        <f t="shared" si="1"/>
        <v>292.56965951904169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>Châtaignier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1469.0615284279975</v>
      </c>
      <c r="U16" s="188">
        <f>'Données projet'!D15</f>
        <v>0.27011499999999999</v>
      </c>
      <c r="V16" s="187">
        <f t="shared" si="1"/>
        <v>396.81555475132853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6398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-21847.304790829588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5631.5656757892302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29</v>
      </c>
      <c r="C25" s="202">
        <v>10</v>
      </c>
      <c r="D25" s="192">
        <f t="shared" si="2"/>
        <v>290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57</v>
      </c>
      <c r="Q25" s="263"/>
      <c r="R25" s="25"/>
      <c r="S25" s="196" t="s">
        <v>266</v>
      </c>
      <c r="T25" s="339">
        <f ca="1">T23-T24</f>
        <v>-27478.870466618821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0</v>
      </c>
      <c r="C26" s="202"/>
      <c r="D26" s="192">
        <f t="shared" si="2"/>
        <v>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42</v>
      </c>
      <c r="C27" s="202">
        <v>10</v>
      </c>
      <c r="D27" s="192">
        <f t="shared" si="2"/>
        <v>420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0</v>
      </c>
      <c r="C28" s="202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42</v>
      </c>
      <c r="C29" s="202">
        <v>15</v>
      </c>
      <c r="D29" s="192">
        <f t="shared" si="2"/>
        <v>630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0</v>
      </c>
      <c r="C30" s="202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1265.5203765818494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42</v>
      </c>
      <c r="C31" s="202">
        <v>20</v>
      </c>
      <c r="D31" s="192">
        <f t="shared" si="2"/>
        <v>840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0</v>
      </c>
      <c r="C32" s="202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42</v>
      </c>
      <c r="C33" s="202">
        <v>25</v>
      </c>
      <c r="D33" s="192">
        <f t="shared" si="2"/>
        <v>1050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57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0</v>
      </c>
      <c r="C34" s="202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54.545454545454547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42</v>
      </c>
      <c r="C35" s="202">
        <v>30</v>
      </c>
      <c r="D35" s="192">
        <f t="shared" si="2"/>
        <v>1260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52.196607220530673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42</v>
      </c>
      <c r="C36" s="202">
        <v>35</v>
      </c>
      <c r="D36" s="192">
        <f t="shared" si="2"/>
        <v>1470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49.948906431129835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100</v>
      </c>
      <c r="B37" s="191">
        <f>'Données projet'!D50</f>
        <v>42</v>
      </c>
      <c r="C37" s="202">
        <v>40</v>
      </c>
      <c r="D37" s="192">
        <f t="shared" si="2"/>
        <v>1680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47.797996584813248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39</v>
      </c>
      <c r="C38" s="202">
        <v>50</v>
      </c>
      <c r="D38" s="192">
        <f t="shared" si="2"/>
        <v>1950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45.739709650538991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35</v>
      </c>
      <c r="C39" s="202">
        <v>60</v>
      </c>
      <c r="D39" s="192">
        <f t="shared" si="2"/>
        <v>2100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43.770057081855505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130</v>
      </c>
      <c r="B40" s="191">
        <f>'Données projet'!D53</f>
        <v>31</v>
      </c>
      <c r="C40" s="202">
        <v>70</v>
      </c>
      <c r="D40" s="192">
        <f t="shared" si="2"/>
        <v>2170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41.885222087900004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140</v>
      </c>
      <c r="B41" s="191">
        <f>'Données projet'!D54</f>
        <v>27</v>
      </c>
      <c r="C41" s="202">
        <v>80</v>
      </c>
      <c r="D41" s="192">
        <f t="shared" si="2"/>
        <v>2160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40.081552237224898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293</v>
      </c>
      <c r="C42" s="207">
        <v>200</v>
      </c>
      <c r="D42" s="192">
        <f t="shared" si="2"/>
        <v>58600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38.355552380119519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36.703877875712465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35.123328110729631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Douglas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33.610840297348936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32.163483538132951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30.77845314653872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29.453065211998773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28.1847513990419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26.971053970375021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25.809621024282322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24.698201937112273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23.634643002021321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19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22.61688325552279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21</v>
      </c>
      <c r="B55" s="191">
        <f>'Données projet'!D63</f>
        <v>61.169230769230765</v>
      </c>
      <c r="C55" s="204">
        <v>15</v>
      </c>
      <c r="D55" s="189">
        <f t="shared" ref="D55:D73" si="4">B55*C55</f>
        <v>917.53846153846143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21.642950483753875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28</v>
      </c>
      <c r="B56" s="191">
        <f>'Données projet'!D64</f>
        <v>56.91538461538461</v>
      </c>
      <c r="C56" s="204">
        <v>20</v>
      </c>
      <c r="D56" s="189">
        <f t="shared" si="4"/>
        <v>1138.3076923076922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20.710957400721409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30</v>
      </c>
      <c r="B57" s="191">
        <f>'Données projet'!D65</f>
        <v>0</v>
      </c>
      <c r="C57" s="204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19.819097991120969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35</v>
      </c>
      <c r="B58" s="191">
        <f>'Données projet'!D66</f>
        <v>70.5</v>
      </c>
      <c r="C58" s="204">
        <v>30</v>
      </c>
      <c r="D58" s="189">
        <f t="shared" si="4"/>
        <v>2115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18.965644010642077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42</v>
      </c>
      <c r="B59" s="191">
        <f>'Données projet'!D67</f>
        <v>80.669230769230765</v>
      </c>
      <c r="C59" s="204">
        <v>35</v>
      </c>
      <c r="D59" s="189">
        <f t="shared" si="4"/>
        <v>2823.4230769230767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18.148941636978069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49</v>
      </c>
      <c r="B60" s="191">
        <f>'Données projet'!D68</f>
        <v>90.453846153846158</v>
      </c>
      <c r="C60" s="204">
        <v>40</v>
      </c>
      <c r="D60" s="189">
        <f t="shared" si="4"/>
        <v>3618.1538461538462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17.367408265050784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56</v>
      </c>
      <c r="B61" s="191">
        <f>'Données projet'!D69</f>
        <v>75.869230769230768</v>
      </c>
      <c r="C61" s="204">
        <v>50</v>
      </c>
      <c r="D61" s="189">
        <f t="shared" si="4"/>
        <v>3793.4615384615386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16.61952944023999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63</v>
      </c>
      <c r="B62" s="191">
        <f>'Données projet'!D70</f>
        <v>79.723076923076917</v>
      </c>
      <c r="C62" s="204">
        <v>60</v>
      </c>
      <c r="D62" s="189">
        <f t="shared" si="4"/>
        <v>4783.3846153846152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15.903855923674628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69</v>
      </c>
      <c r="B63" s="191">
        <f>'Données projet'!D71</f>
        <v>0</v>
      </c>
      <c r="C63" s="204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15.219000883899172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70</v>
      </c>
      <c r="B64" s="191">
        <f>'Données projet'!D72</f>
        <v>469.06923076923073</v>
      </c>
      <c r="C64" s="204">
        <v>100</v>
      </c>
      <c r="D64" s="189">
        <f t="shared" si="4"/>
        <v>46906.923076923071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14.563637209472889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13.936494937294638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13.336358791669511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12.762065829348815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12.212503185979729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11.686605919597829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11.183354946983568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10.7017750688838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10.240933080271578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9.7999359619823743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9.3779291502223678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8.9740948805955689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Pin laricio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8.5876506034407356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8.2178474674074042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7.863968868332444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7.5253290606052117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7.201271828330345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6.8911692137132521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6.5944203002040691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6.3104500480421724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6.0387081799446625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5.7786681147795829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21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5.5298259471574953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22</v>
      </c>
      <c r="B87" s="191">
        <f>'Données projet'!D90</f>
        <v>52.746153846153838</v>
      </c>
      <c r="C87" s="202">
        <v>10</v>
      </c>
      <c r="D87" s="189">
        <f t="shared" si="6"/>
        <v>527.46153846153834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5.2916994709641125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24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5.0638272449417334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27</v>
      </c>
      <c r="B89" s="191">
        <f>'Données projet'!D92</f>
        <v>34.646153846153844</v>
      </c>
      <c r="C89" s="202">
        <v>15</v>
      </c>
      <c r="D89" s="189">
        <f t="shared" si="6"/>
        <v>519.69230769230762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4.8457676985088369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30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4.6370982760850126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33</v>
      </c>
      <c r="B91" s="191">
        <f>'Données projet'!D94</f>
        <v>43.007692307692302</v>
      </c>
      <c r="C91" s="202">
        <v>20</v>
      </c>
      <c r="D91" s="189">
        <f t="shared" si="6"/>
        <v>860.15384615384608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4.4374146182631709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41</v>
      </c>
      <c r="B92" s="191">
        <f>'Données projet'!D95</f>
        <v>58.484615384615381</v>
      </c>
      <c r="C92" s="202">
        <v>25</v>
      </c>
      <c r="D92" s="189">
        <f t="shared" si="6"/>
        <v>1462.1153846153845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4.2463297782422691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50</v>
      </c>
      <c r="B93" s="191">
        <f>'Données projet'!D96</f>
        <v>55.292307692307688</v>
      </c>
      <c r="C93" s="202">
        <v>30</v>
      </c>
      <c r="D93" s="189">
        <f t="shared" si="6"/>
        <v>1658.7692307692307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4.0634734720021717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60</v>
      </c>
      <c r="B94" s="191">
        <f>'Données projet'!D97</f>
        <v>54.261538461538464</v>
      </c>
      <c r="C94" s="202">
        <v>35</v>
      </c>
      <c r="D94" s="189">
        <f t="shared" si="6"/>
        <v>1899.1538461538462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3.8884913607676275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70</v>
      </c>
      <c r="B95" s="191">
        <f>'Données projet'!D98</f>
        <v>52.669230769230765</v>
      </c>
      <c r="C95" s="202">
        <v>40</v>
      </c>
      <c r="D95" s="189">
        <f t="shared" si="6"/>
        <v>2106.7692307692305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3.721044364370937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80</v>
      </c>
      <c r="B96" s="191">
        <f>'Données projet'!D99</f>
        <v>402.90769230769229</v>
      </c>
      <c r="C96" s="202">
        <v>60</v>
      </c>
      <c r="D96" s="189">
        <f t="shared" si="6"/>
        <v>24174.461538461539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3.5608080041827144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3.4074717743375276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3.2607385400359115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3.1203239617568541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2.9859559442649317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2.8573741093444327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2.7343292912386921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2.6165830538169308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str">
        <f>IF(O103+1&lt;=MIN('Données projet'!$E$9:$E$18),O103+1,"STOP")</f>
        <v>STOP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Erable sycomore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15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20</v>
      </c>
      <c r="B117" s="191">
        <f>'Données projet'!D115</f>
        <v>43</v>
      </c>
      <c r="C117" s="202">
        <v>10</v>
      </c>
      <c r="D117" s="189">
        <f t="shared" ref="D117:D135" si="8">B117*C117</f>
        <v>430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25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30</v>
      </c>
      <c r="B119" s="191">
        <f>'Données projet'!D117</f>
        <v>56</v>
      </c>
      <c r="C119" s="202">
        <v>15</v>
      </c>
      <c r="D119" s="189">
        <f t="shared" si="8"/>
        <v>840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35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40</v>
      </c>
      <c r="B121" s="191">
        <f>'Données projet'!D119</f>
        <v>56</v>
      </c>
      <c r="C121" s="202">
        <v>20</v>
      </c>
      <c r="D121" s="189">
        <f t="shared" si="8"/>
        <v>1120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45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50</v>
      </c>
      <c r="B123" s="191">
        <f>'Données projet'!D121</f>
        <v>39</v>
      </c>
      <c r="C123" s="202">
        <v>25</v>
      </c>
      <c r="D123" s="189">
        <f t="shared" si="8"/>
        <v>975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55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60</v>
      </c>
      <c r="B125" s="191">
        <f>'Données projet'!D123</f>
        <v>25</v>
      </c>
      <c r="C125" s="202">
        <v>30</v>
      </c>
      <c r="D125" s="189">
        <f t="shared" si="8"/>
        <v>750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65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70</v>
      </c>
      <c r="B127" s="191">
        <f>'Données projet'!D125</f>
        <v>21</v>
      </c>
      <c r="C127" s="202">
        <v>40</v>
      </c>
      <c r="D127" s="189">
        <f t="shared" si="8"/>
        <v>840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75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80</v>
      </c>
      <c r="B129" s="191">
        <f>'Données projet'!D127</f>
        <v>285</v>
      </c>
      <c r="C129" s="202">
        <v>80</v>
      </c>
      <c r="D129" s="189">
        <f t="shared" si="8"/>
        <v>22800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Chêne pubescent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5">
        <f>'Données projet'!D142</f>
        <v>29</v>
      </c>
      <c r="C149" s="202">
        <v>10</v>
      </c>
      <c r="D149" s="192">
        <f t="shared" si="10"/>
        <v>290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5">
        <f>'Données projet'!D144</f>
        <v>42</v>
      </c>
      <c r="C151" s="202">
        <v>10</v>
      </c>
      <c r="D151" s="192">
        <f t="shared" si="10"/>
        <v>420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5">
        <f>'Données projet'!D146</f>
        <v>42</v>
      </c>
      <c r="C153" s="202">
        <v>15</v>
      </c>
      <c r="D153" s="192">
        <f t="shared" si="10"/>
        <v>630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5">
        <f>'Données projet'!D148</f>
        <v>42</v>
      </c>
      <c r="C155" s="202">
        <v>20</v>
      </c>
      <c r="D155" s="192">
        <f t="shared" si="10"/>
        <v>840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5">
        <f>'Données projet'!D150</f>
        <v>42</v>
      </c>
      <c r="C157" s="202">
        <v>25</v>
      </c>
      <c r="D157" s="192">
        <f t="shared" si="10"/>
        <v>1050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5">
        <f>'Données projet'!D152</f>
        <v>42</v>
      </c>
      <c r="C159" s="202">
        <v>30</v>
      </c>
      <c r="D159" s="192">
        <f t="shared" si="10"/>
        <v>1260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5">
        <f>'Données projet'!D153</f>
        <v>42</v>
      </c>
      <c r="C160" s="202">
        <v>35</v>
      </c>
      <c r="D160" s="192">
        <f t="shared" si="10"/>
        <v>1470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5">
        <f>'Données projet'!D154</f>
        <v>42</v>
      </c>
      <c r="C161" s="202">
        <v>40</v>
      </c>
      <c r="D161" s="192">
        <f t="shared" si="10"/>
        <v>1680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5">
        <f>'Données projet'!D155</f>
        <v>39</v>
      </c>
      <c r="C162" s="202">
        <v>50</v>
      </c>
      <c r="D162" s="192">
        <f t="shared" si="10"/>
        <v>1950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5">
        <f>'Données projet'!D156</f>
        <v>35</v>
      </c>
      <c r="C163" s="202">
        <v>60</v>
      </c>
      <c r="D163" s="192">
        <f t="shared" si="10"/>
        <v>2100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5">
        <f>'Données projet'!D157</f>
        <v>31</v>
      </c>
      <c r="C164" s="202">
        <v>70</v>
      </c>
      <c r="D164" s="192">
        <f t="shared" si="10"/>
        <v>2170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5">
        <f>'Données projet'!D158</f>
        <v>27</v>
      </c>
      <c r="C165" s="202">
        <v>80</v>
      </c>
      <c r="D165" s="192">
        <f t="shared" si="10"/>
        <v>2160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5">
        <f>'Données projet'!D159</f>
        <v>293</v>
      </c>
      <c r="C166" s="207">
        <v>200</v>
      </c>
      <c r="D166" s="192">
        <f t="shared" si="10"/>
        <v>58600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Cèdre de l'Atlas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30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35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40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45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51</v>
      </c>
      <c r="B182" s="191">
        <f>'Données projet'!D170</f>
        <v>170.16153846153847</v>
      </c>
      <c r="C182" s="202">
        <v>15</v>
      </c>
      <c r="D182" s="189">
        <f t="shared" si="11"/>
        <v>2552.4230769230771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56</v>
      </c>
      <c r="B183" s="191">
        <f>'Données projet'!D171</f>
        <v>0</v>
      </c>
      <c r="C183" s="202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61</v>
      </c>
      <c r="B184" s="191">
        <f>'Données projet'!D172</f>
        <v>94.76153846153845</v>
      </c>
      <c r="C184" s="202">
        <v>20</v>
      </c>
      <c r="D184" s="189">
        <f t="shared" si="11"/>
        <v>1895.2307692307691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67</v>
      </c>
      <c r="B185" s="191">
        <f>'Données projet'!D173</f>
        <v>0</v>
      </c>
      <c r="C185" s="202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73</v>
      </c>
      <c r="B186" s="191">
        <f>'Données projet'!D174</f>
        <v>93.584615384615375</v>
      </c>
      <c r="C186" s="202">
        <v>30</v>
      </c>
      <c r="D186" s="189">
        <f t="shared" si="11"/>
        <v>2807.5384615384614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79</v>
      </c>
      <c r="B187" s="191">
        <f>'Données projet'!D175</f>
        <v>0</v>
      </c>
      <c r="C187" s="202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85</v>
      </c>
      <c r="B188" s="191">
        <f>'Données projet'!D176</f>
        <v>85.207692307692298</v>
      </c>
      <c r="C188" s="202">
        <v>40</v>
      </c>
      <c r="D188" s="189">
        <f t="shared" si="11"/>
        <v>3408.3076923076919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91</v>
      </c>
      <c r="B189" s="191">
        <f>'Données projet'!D177</f>
        <v>0</v>
      </c>
      <c r="C189" s="202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97</v>
      </c>
      <c r="B190" s="191">
        <f>'Données projet'!D178</f>
        <v>79.669230769230765</v>
      </c>
      <c r="C190" s="202">
        <v>50</v>
      </c>
      <c r="D190" s="189">
        <f t="shared" si="11"/>
        <v>3983.4615384615381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103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109</v>
      </c>
      <c r="B192" s="191">
        <f>'Données projet'!D180</f>
        <v>80.653846153846146</v>
      </c>
      <c r="C192" s="202">
        <v>80</v>
      </c>
      <c r="D192" s="189">
        <f t="shared" si="11"/>
        <v>6452.3076923076915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115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121</v>
      </c>
      <c r="B194" s="191">
        <f>'Données projet'!D182</f>
        <v>207.07692307692307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126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131</v>
      </c>
      <c r="B196" s="191">
        <f>'Données projet'!D184</f>
        <v>259.61538461538458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Châtaignier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15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20</v>
      </c>
      <c r="B210" s="191">
        <f>'Données projet'!D193</f>
        <v>43</v>
      </c>
      <c r="C210" s="202">
        <v>10</v>
      </c>
      <c r="D210" s="189">
        <f t="shared" ref="D210:D228" si="12">B210*C210</f>
        <v>430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25</v>
      </c>
      <c r="B211" s="191">
        <f>'Données projet'!D194</f>
        <v>0</v>
      </c>
      <c r="C211" s="202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30</v>
      </c>
      <c r="B212" s="191">
        <f>'Données projet'!D195</f>
        <v>56</v>
      </c>
      <c r="C212" s="202">
        <v>15</v>
      </c>
      <c r="D212" s="189">
        <f t="shared" si="12"/>
        <v>840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35</v>
      </c>
      <c r="B213" s="191">
        <f>'Données projet'!D196</f>
        <v>0</v>
      </c>
      <c r="C213" s="202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40</v>
      </c>
      <c r="B214" s="191">
        <f>'Données projet'!D197</f>
        <v>56</v>
      </c>
      <c r="C214" s="202">
        <v>20</v>
      </c>
      <c r="D214" s="189">
        <f t="shared" si="12"/>
        <v>1120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45</v>
      </c>
      <c r="B215" s="191">
        <f>'Données projet'!D198</f>
        <v>0</v>
      </c>
      <c r="C215" s="202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50</v>
      </c>
      <c r="B216" s="191">
        <f>'Données projet'!D199</f>
        <v>39</v>
      </c>
      <c r="C216" s="202">
        <v>25</v>
      </c>
      <c r="D216" s="189">
        <f t="shared" si="12"/>
        <v>975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55</v>
      </c>
      <c r="B217" s="191">
        <f>'Données projet'!D200</f>
        <v>0</v>
      </c>
      <c r="C217" s="202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60</v>
      </c>
      <c r="B218" s="191">
        <f>'Données projet'!D201</f>
        <v>25</v>
      </c>
      <c r="C218" s="202">
        <v>30</v>
      </c>
      <c r="D218" s="189">
        <f t="shared" si="12"/>
        <v>750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65</v>
      </c>
      <c r="B219" s="191">
        <f>'Données projet'!D202</f>
        <v>0</v>
      </c>
      <c r="C219" s="202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70</v>
      </c>
      <c r="B220" s="191">
        <f>'Données projet'!D203</f>
        <v>21</v>
      </c>
      <c r="C220" s="202">
        <v>40</v>
      </c>
      <c r="D220" s="189">
        <f t="shared" si="12"/>
        <v>840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75</v>
      </c>
      <c r="B221" s="191">
        <f>'Données projet'!D204</f>
        <v>0</v>
      </c>
      <c r="C221" s="202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80</v>
      </c>
      <c r="B222" s="191">
        <f>'Données projet'!D205</f>
        <v>285</v>
      </c>
      <c r="C222" s="202">
        <v>80</v>
      </c>
      <c r="D222" s="189">
        <f t="shared" si="12"/>
        <v>22800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2025-03-20T18:51:13Z</dcterms:modified>
</cp:coreProperties>
</file>