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TAURIAC (33) - GFA DES EYQUEMS\Dossier à deposer\"/>
    </mc:Choice>
  </mc:AlternateContent>
  <xr:revisionPtr revIDLastSave="0" documentId="13_ncr:1_{EA258C70-E446-4C44-A5DF-E6942DCDF232}" xr6:coauthVersionLast="36" xr6:coauthVersionMax="36" xr10:uidLastSave="{00000000-0000-0000-0000-000000000000}"/>
  <bookViews>
    <workbookView xWindow="0" yWindow="0" windowWidth="28800" windowHeight="12615" tabRatio="866" activeTab="2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6" l="1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D155" i="2" l="1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C162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EA164" i="2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HG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ED174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B185" i="2"/>
  <c r="EA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B201" i="2"/>
  <c r="EA201" i="2"/>
  <c r="HH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126" i="2" a="1"/>
  <c r="BC126" i="2" s="1"/>
  <c r="BC65" i="2" a="1"/>
  <c r="BC65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164" i="2" a="1"/>
  <c r="BC164" i="2" s="1"/>
  <c r="BC185" i="2" a="1"/>
  <c r="BC185" i="2" s="1"/>
  <c r="BC7" i="2" a="1"/>
  <c r="BC7" i="2" s="1"/>
  <c r="BC83" i="2" a="1"/>
  <c r="BC83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BX107" i="2" l="1" a="1"/>
  <c r="BX107" i="2" s="1"/>
  <c r="BC192" i="2" a="1"/>
  <c r="BC192" i="2" s="1"/>
  <c r="BC181" i="2" a="1"/>
  <c r="BC181" i="2" s="1"/>
  <c r="BC38" i="2" a="1"/>
  <c r="BC38" i="2" s="1"/>
  <c r="BC130" i="2" a="1"/>
  <c r="BC130" i="2" s="1"/>
  <c r="BC114" i="2" a="1"/>
  <c r="BC114" i="2" s="1"/>
  <c r="BC151" i="2" a="1"/>
  <c r="BC151" i="2" s="1"/>
  <c r="BC82" i="2" a="1"/>
  <c r="BC82" i="2" s="1"/>
  <c r="BC47" i="2" a="1"/>
  <c r="BC47" i="2" s="1"/>
  <c r="BC143" i="2" a="1"/>
  <c r="BC143" i="2" s="1"/>
  <c r="BC58" i="2" a="1"/>
  <c r="BC58" i="2" s="1"/>
  <c r="BC34" i="2" a="1"/>
  <c r="BC34" i="2" s="1"/>
  <c r="BC84" i="2" a="1"/>
  <c r="BC84" i="2" s="1"/>
  <c r="BC31" i="2" a="1"/>
  <c r="BC31" i="2" s="1"/>
  <c r="BC32" i="2" a="1"/>
  <c r="BC32" i="2" s="1"/>
  <c r="AH199" i="2" a="1"/>
  <c r="AH199" i="2" s="1"/>
  <c r="CS24" i="2" a="1"/>
  <c r="CS24" i="2" s="1"/>
  <c r="CS134" i="2" a="1"/>
  <c r="CS134" i="2" s="1"/>
  <c r="CS105" i="2" a="1"/>
  <c r="CS105" i="2" s="1"/>
  <c r="CS161" i="2" a="1"/>
  <c r="CS161" i="2" s="1"/>
  <c r="CS120" i="2" a="1"/>
  <c r="CS120" i="2" s="1"/>
  <c r="CS77" i="2" a="1"/>
  <c r="CS77" i="2" s="1"/>
  <c r="CS56" i="2" a="1"/>
  <c r="CS56" i="2" s="1"/>
  <c r="CS72" i="2" a="1"/>
  <c r="CS72" i="2" s="1"/>
  <c r="CS185" i="2" a="1"/>
  <c r="CS185" i="2" s="1"/>
  <c r="CS129" i="2" a="1"/>
  <c r="CS129" i="2" s="1"/>
  <c r="CS52" i="2" a="1"/>
  <c r="CS52" i="2" s="1"/>
  <c r="CS137" i="2" a="1"/>
  <c r="CS137" i="2" s="1"/>
  <c r="CS66" i="2" a="1"/>
  <c r="CS66" i="2" s="1"/>
  <c r="CS116" i="2" a="1"/>
  <c r="CS116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164" i="2" l="1"/>
  <c r="CY24" i="2"/>
  <c r="CY93" i="2"/>
  <c r="CY10" i="2"/>
  <c r="CY163" i="2"/>
  <c r="CY118" i="2"/>
  <c r="CY177" i="2"/>
  <c r="CY169" i="2"/>
  <c r="CY27" i="2"/>
  <c r="CY18" i="2"/>
  <c r="CY71" i="2"/>
  <c r="CY141" i="2"/>
  <c r="CY175" i="2"/>
  <c r="CY31" i="2"/>
  <c r="CY151" i="2"/>
  <c r="CY191" i="2"/>
  <c r="CY42" i="2"/>
  <c r="CY32" i="2"/>
  <c r="CY78" i="2"/>
  <c r="CY41" i="2"/>
  <c r="CY96" i="2"/>
  <c r="CY161" i="2"/>
  <c r="CY6" i="2"/>
  <c r="CY9" i="2"/>
  <c r="CY102" i="2"/>
  <c r="CY40" i="2"/>
  <c r="CY113" i="2"/>
  <c r="CY63" i="2"/>
  <c r="CY68" i="2"/>
  <c r="CY95" i="2"/>
  <c r="CY61" i="2"/>
  <c r="CY83" i="2"/>
  <c r="CY143" i="2"/>
  <c r="CY172" i="2"/>
  <c r="CY145" i="2"/>
  <c r="CY13" i="2"/>
  <c r="CY53" i="2"/>
  <c r="CY91" i="2"/>
  <c r="CY189" i="2"/>
  <c r="CY49" i="2"/>
  <c r="CY174" i="2"/>
  <c r="CY29" i="2"/>
  <c r="CY148" i="2"/>
  <c r="CY168" i="2"/>
  <c r="CY173" i="2"/>
  <c r="CY77" i="2"/>
  <c r="CY152" i="2"/>
  <c r="CY7" i="2"/>
  <c r="CY16" i="2"/>
  <c r="CY26" i="2"/>
  <c r="CY66" i="2"/>
  <c r="CY30" i="2"/>
  <c r="CY5" i="2"/>
  <c r="CY80" i="2"/>
  <c r="CY128" i="2"/>
  <c r="CY147" i="2"/>
  <c r="CY119" i="2"/>
  <c r="CY131" i="2"/>
  <c r="CY186" i="2"/>
  <c r="CY109" i="2"/>
  <c r="CY138" i="2"/>
  <c r="CY129" i="2"/>
  <c r="CY146" i="2"/>
  <c r="CY142" i="2"/>
  <c r="CY167" i="2"/>
  <c r="CY97" i="2"/>
  <c r="CY51" i="2"/>
  <c r="CY85" i="2"/>
  <c r="CY111" i="2"/>
  <c r="CY117" i="2"/>
  <c r="CY82" i="2"/>
  <c r="CY107" i="2"/>
  <c r="CY58" i="2"/>
  <c r="CY90" i="2"/>
  <c r="CY157" i="2"/>
  <c r="CY196" i="2"/>
  <c r="CY202" i="2"/>
  <c r="CY20" i="2"/>
  <c r="CY105" i="2"/>
  <c r="CY44" i="2"/>
  <c r="CY79" i="2"/>
  <c r="CY123" i="2"/>
  <c r="CY110" i="2"/>
  <c r="CY122" i="2"/>
  <c r="CY150" i="2"/>
  <c r="CY37" i="2"/>
  <c r="CY127" i="2"/>
  <c r="CY81" i="2"/>
  <c r="CY3" i="2"/>
  <c r="C10" i="4" s="1"/>
  <c r="E10" i="4" s="1"/>
  <c r="F10" i="4" s="1"/>
  <c r="G10" i="4" s="1"/>
  <c r="L10" i="4" s="1"/>
  <c r="CY89" i="2"/>
  <c r="CY11" i="2"/>
  <c r="CY134" i="2"/>
  <c r="CY47" i="2"/>
  <c r="CY23" i="2"/>
  <c r="CY25" i="2"/>
  <c r="CY65" i="2"/>
  <c r="CY72" i="2"/>
  <c r="CY34" i="2"/>
  <c r="CY99" i="2"/>
  <c r="CY38" i="2"/>
  <c r="CY112" i="2"/>
  <c r="CY46" i="2"/>
  <c r="CY185" i="2"/>
  <c r="CY101" i="2"/>
  <c r="CY64" i="2"/>
  <c r="CY33" i="2"/>
  <c r="CY184" i="2"/>
  <c r="CY182" i="2"/>
  <c r="CY197" i="2"/>
  <c r="CY108" i="2"/>
  <c r="CY52" i="2"/>
  <c r="CY75" i="2"/>
  <c r="CY12" i="2"/>
  <c r="CY19" i="2"/>
  <c r="CY103" i="2"/>
  <c r="CY166" i="2"/>
  <c r="CY183" i="2"/>
  <c r="CY178" i="2"/>
  <c r="CY170" i="2"/>
  <c r="CY195" i="2"/>
  <c r="CY62" i="2"/>
  <c r="CY59" i="2"/>
  <c r="CY76" i="2"/>
  <c r="CY116" i="2"/>
  <c r="CY50" i="2"/>
  <c r="CY73" i="2"/>
  <c r="CY92" i="2"/>
  <c r="CY160" i="2"/>
  <c r="CY100" i="2"/>
  <c r="CY181" i="2"/>
  <c r="CY135" i="2"/>
  <c r="CY125" i="2"/>
  <c r="CY36" i="2"/>
  <c r="CY56" i="2"/>
  <c r="CY54" i="2"/>
  <c r="CY162" i="2"/>
  <c r="CY22" i="2"/>
  <c r="CY199" i="2"/>
  <c r="CY149" i="2"/>
  <c r="CY4" i="2"/>
  <c r="CY106" i="2"/>
  <c r="CY28" i="2"/>
  <c r="CY43" i="2"/>
  <c r="CY198" i="2"/>
  <c r="CY60" i="2"/>
  <c r="CY171" i="2"/>
  <c r="CY139" i="2"/>
  <c r="CY187" i="2"/>
  <c r="CY88" i="2"/>
  <c r="CY35" i="2"/>
  <c r="CY156" i="2"/>
  <c r="CY121" i="2"/>
  <c r="CY67" i="2"/>
  <c r="CY86" i="2"/>
  <c r="CY39" i="2"/>
  <c r="CY192" i="2"/>
  <c r="CY200" i="2"/>
  <c r="CY159" i="2"/>
  <c r="CY133" i="2"/>
  <c r="CY8" i="2"/>
  <c r="CY154" i="2"/>
  <c r="CY74" i="2"/>
  <c r="CY180" i="2"/>
  <c r="CY115" i="2"/>
  <c r="CY140" i="2"/>
  <c r="CY69" i="2"/>
  <c r="CY137" i="2"/>
  <c r="CY17" i="2"/>
  <c r="CY194" i="2"/>
  <c r="CY98" i="2"/>
  <c r="CY144" i="2"/>
  <c r="CY55" i="2"/>
  <c r="CY14" i="2"/>
  <c r="CY155" i="2"/>
  <c r="CY179" i="2"/>
  <c r="CY126" i="2"/>
  <c r="CY188" i="2"/>
  <c r="CY48" i="2"/>
  <c r="CY132" i="2"/>
  <c r="CY57" i="2"/>
  <c r="CY130" i="2"/>
  <c r="CY94" i="2"/>
  <c r="CY114" i="2"/>
  <c r="CY158" i="2"/>
  <c r="CY165" i="2"/>
  <c r="CY15" i="2"/>
  <c r="CY21" i="2"/>
  <c r="CY201" i="2"/>
  <c r="CY203" i="2"/>
  <c r="CY120" i="2"/>
  <c r="CY84" i="2"/>
  <c r="CY70" i="2"/>
  <c r="CY153" i="2"/>
  <c r="CY176" i="2"/>
  <c r="CY104" i="2"/>
  <c r="CY45" i="2"/>
  <c r="CY124" i="2"/>
  <c r="CY136" i="2"/>
  <c r="CY193" i="2"/>
  <c r="CY190" i="2"/>
  <c r="CY87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<sst xmlns="http://schemas.openxmlformats.org/spreadsheetml/2006/main" count="1173" uniqueCount="324">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</sst>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8.4687006525389847</c:v>
                </c:pt>
                <c:pt idx="2">
                  <c:v>16.56321787850057</c:v>
                </c:pt>
                <c:pt idx="3">
                  <c:v>24.536892640510697</c:v>
                </c:pt>
                <c:pt idx="4">
                  <c:v>32.436077296047166</c:v>
                </c:pt>
                <c:pt idx="5">
                  <c:v>40.281780253049675</c:v>
                </c:pt>
                <c:pt idx="6">
                  <c:v>48.085985584532558</c:v>
                </c:pt>
                <c:pt idx="7">
                  <c:v>55.856418958997217</c:v>
                </c:pt>
                <c:pt idx="8">
                  <c:v>63.598461609564083</c:v>
                </c:pt>
                <c:pt idx="9">
                  <c:v>71.316068811031457</c:v>
                </c:pt>
                <c:pt idx="10">
                  <c:v>79.012265324528812</c:v>
                </c:pt>
                <c:pt idx="11">
                  <c:v>86.689435951991172</c:v>
                </c:pt>
                <c:pt idx="12">
                  <c:v>94.349507025111919</c:v>
                </c:pt>
                <c:pt idx="13">
                  <c:v>101.99406551237553</c:v>
                </c:pt>
                <c:pt idx="14">
                  <c:v>109.62444036403468</c:v>
                </c:pt>
                <c:pt idx="15">
                  <c:v>117.24175992250753</c:v>
                </c:pt>
                <c:pt idx="16">
                  <c:v>124.84699357315124</c:v>
                </c:pt>
                <c:pt idx="17">
                  <c:v>132.44098267942363</c:v>
                </c:pt>
                <c:pt idx="18">
                  <c:v>140.02446402917167</c:v>
                </c:pt>
                <c:pt idx="19">
                  <c:v>147.59808792125918</c:v>
                </c:pt>
                <c:pt idx="20">
                  <c:v>155.16243233585811</c:v>
                </c:pt>
                <c:pt idx="21">
                  <c:v>162.7180141901425</c:v>
                </c:pt>
                <c:pt idx="22">
                  <c:v>170.26529838929525</c:v>
                </c:pt>
                <c:pt idx="23">
                  <c:v>177.80470518535947</c:v>
                </c:pt>
                <c:pt idx="24">
                  <c:v>185.33661622017692</c:v>
                </c:pt>
                <c:pt idx="25">
                  <c:v>192.86137953279058</c:v>
                </c:pt>
                <c:pt idx="26">
                  <c:v>200.37931374311032</c:v>
                </c:pt>
                <c:pt idx="27">
                  <c:v>207.89071157383387</c:v>
                </c:pt>
                <c:pt idx="28">
                  <c:v>215.39584283593396</c:v>
                </c:pt>
                <c:pt idx="29">
                  <c:v>222.89495697566213</c:v>
                </c:pt>
                <c:pt idx="30">
                  <c:v>230.38828526037184</c:v>
                </c:pt>
                <c:pt idx="31">
                  <c:v>237.87604266471195</c:v>
                </c:pt>
                <c:pt idx="32">
                  <c:v>245.35842950660216</c:v>
                </c:pt>
                <c:pt idx="33">
                  <c:v>252.83563287296877</c:v>
                </c:pt>
                <c:pt idx="34">
                  <c:v>260.30782786780691</c:v>
                </c:pt>
                <c:pt idx="35">
                  <c:v>267.77517870928608</c:v>
                </c:pt>
                <c:pt idx="36">
                  <c:v>275.23783969794948</c:v>
                </c:pt>
                <c:pt idx="37">
                  <c:v>282.69595607430921</c:v>
                </c:pt>
                <c:pt idx="38">
                  <c:v>290.14966478112234</c:v>
                </c:pt>
                <c:pt idx="39">
                  <c:v>297.59909514317076</c:v>
                </c:pt>
                <c:pt idx="40">
                  <c:v>305.04436947535646</c:v>
                </c:pt>
                <c:pt idx="41">
                  <c:v>312.48560362827743</c:v>
                </c:pt>
                <c:pt idx="42">
                  <c:v>319.92290747907697</c:v>
                </c:pt>
                <c:pt idx="43">
                  <c:v>327.3563853742283</c:v>
                </c:pt>
                <c:pt idx="44">
                  <c:v>334.78613652997024</c:v>
                </c:pt>
                <c:pt idx="45">
                  <c:v>342.21225539531355</c:v>
                </c:pt>
                <c:pt idx="46">
                  <c:v>349.6348319818685</c:v>
                </c:pt>
                <c:pt idx="47">
                  <c:v>357.05395216418509</c:v>
                </c:pt>
                <c:pt idx="48">
                  <c:v>364.46969795380983</c:v>
                </c:pt>
                <c:pt idx="49">
                  <c:v>371.88214774985954</c:v>
                </c:pt>
                <c:pt idx="50">
                  <c:v>282.83933776674917</c:v>
                </c:pt>
                <c:pt idx="51">
                  <c:v>298.88799440275972</c:v>
                </c:pt>
                <c:pt idx="52">
                  <c:v>314.91745712114295</c:v>
                </c:pt>
                <c:pt idx="53">
                  <c:v>330.92884034916193</c:v>
                </c:pt>
                <c:pt idx="54">
                  <c:v>346.92314186926546</c:v>
                </c:pt>
                <c:pt idx="55">
                  <c:v>362.90125995557429</c:v>
                </c:pt>
                <c:pt idx="56">
                  <c:v>378.86400733367765</c:v>
                </c:pt>
                <c:pt idx="57">
                  <c:v>320.63782960974697</c:v>
                </c:pt>
                <c:pt idx="58">
                  <c:v>336.35734610848698</c:v>
                </c:pt>
                <c:pt idx="59">
                  <c:v>352.06068979395098</c:v>
                </c:pt>
                <c:pt idx="60">
                  <c:v>367.74868350762807</c:v>
                </c:pt>
                <c:pt idx="61">
                  <c:v>383.42207416339437</c:v>
                </c:pt>
                <c:pt idx="62">
                  <c:v>399.08154263585919</c:v>
                </c:pt>
                <c:pt idx="63">
                  <c:v>414.7277120155033</c:v>
                </c:pt>
                <c:pt idx="64">
                  <c:v>353.04163099807107</c:v>
                </c:pt>
                <c:pt idx="65">
                  <c:v>368.14069328529212</c:v>
                </c:pt>
                <c:pt idx="66">
                  <c:v>383.22624406149117</c:v>
                </c:pt>
                <c:pt idx="67">
                  <c:v>398.29889002851706</c:v>
                </c:pt>
                <c:pt idx="68">
                  <c:v>413.35918822887157</c:v>
                </c:pt>
                <c:pt idx="69">
                  <c:v>428.40765180935227</c:v>
                </c:pt>
                <c:pt idx="70">
                  <c:v>443.44475493264548</c:v>
                </c:pt>
                <c:pt idx="71">
                  <c:v>458.47093698802956</c:v>
                </c:pt>
                <c:pt idx="72">
                  <c:v>383.8493322938416</c:v>
                </c:pt>
                <c:pt idx="73">
                  <c:v>397.80082102983084</c:v>
                </c:pt>
                <c:pt idx="74">
                  <c:v>411.74171584285932</c:v>
                </c:pt>
                <c:pt idx="75">
                  <c:v>425.67242592235584</c:v>
                </c:pt>
                <c:pt idx="76">
                  <c:v>439.59333149267519</c:v>
                </c:pt>
                <c:pt idx="77">
                  <c:v>453.50478673498748</c:v>
                </c:pt>
                <c:pt idx="78">
                  <c:v>467.40712233198593</c:v>
                </c:pt>
                <c:pt idx="79">
                  <c:v>481.30064769410069</c:v>
                </c:pt>
                <c:pt idx="80">
                  <c:v>410.99514389488394</c:v>
                </c:pt>
                <c:pt idx="81">
                  <c:v>424.18032529272637</c:v>
                </c:pt>
                <c:pt idx="82">
                  <c:v>437.35668939981042</c:v>
                </c:pt>
                <c:pt idx="83">
                  <c:v>450.52453926699678</c:v>
                </c:pt>
                <c:pt idx="84">
                  <c:v>463.68415878645283</c:v>
                </c:pt>
                <c:pt idx="85">
                  <c:v>476.83581442364516</c:v>
                </c:pt>
                <c:pt idx="86">
                  <c:v>489.97975674831883</c:v>
                </c:pt>
                <c:pt idx="87">
                  <c:v>503.11622179266851</c:v>
                </c:pt>
                <c:pt idx="88">
                  <c:v>430.89389491342303</c:v>
                </c:pt>
                <c:pt idx="89">
                  <c:v>443.07206797078328</c:v>
                </c:pt>
                <c:pt idx="90">
                  <c:v>455.24307087387547</c:v>
                </c:pt>
                <c:pt idx="91">
                  <c:v>467.40712233198593</c:v>
                </c:pt>
                <c:pt idx="92">
                  <c:v>479.56442874249416</c:v>
                </c:pt>
                <c:pt idx="93">
                  <c:v>491.71518518509509</c:v>
                </c:pt>
                <c:pt idx="94">
                  <c:v>503.85957631264267</c:v>
                </c:pt>
                <c:pt idx="95">
                  <c:v>515.99777715164373</c:v>
                </c:pt>
                <c:pt idx="96">
                  <c:v>1.590873277977066E-12</c:v>
                </c:pt>
                <c:pt idx="97">
                  <c:v>1.590873277977066E-12</c:v>
                </c:pt>
                <c:pt idx="98">
                  <c:v>1.590873277977066E-12</c:v>
                </c:pt>
                <c:pt idx="99">
                  <c:v>1.590873277977066E-12</c:v>
                </c:pt>
                <c:pt idx="100">
                  <c:v>1.590873277977066E-12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585.1820440334875</c:v>
                </c:pt>
                <c:pt idx="107">
                  <c:v>594.17154727265404</c:v>
                </c:pt>
                <c:pt idx="108">
                  <c:v>603.15822108828741</c:v>
                </c:pt>
                <c:pt idx="109">
                  <c:v>612.14211357944725</c:v>
                </c:pt>
                <c:pt idx="110">
                  <c:v>621.12327131831148</c:v>
                </c:pt>
                <c:pt idx="111">
                  <c:v>588.60695345087686</c:v>
                </c:pt>
                <c:pt idx="112">
                  <c:v>596.7394549467042</c:v>
                </c:pt>
                <c:pt idx="113">
                  <c:v>604.8696516932963</c:v>
                </c:pt>
                <c:pt idx="114">
                  <c:v>612.99757903900309</c:v>
                </c:pt>
                <c:pt idx="115">
                  <c:v>621.12327131831159</c:v>
                </c:pt>
                <c:pt idx="116">
                  <c:v>590.31925234777316</c:v>
                </c:pt>
                <c:pt idx="117">
                  <c:v>598.02332252750432</c:v>
                </c:pt>
                <c:pt idx="118">
                  <c:v>605.72532925827124</c:v>
                </c:pt>
                <c:pt idx="119">
                  <c:v>613.42530247966863</c:v>
                </c:pt>
                <c:pt idx="120">
                  <c:v>621.12327131831182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415.77601826307938</c:v>
                </c:pt>
                <c:pt idx="77">
                  <c:v>422.46261177230502</c:v>
                </c:pt>
                <c:pt idx="78">
                  <c:v>429.14692708065189</c:v>
                </c:pt>
                <c:pt idx="79">
                  <c:v>435.82900470393224</c:v>
                </c:pt>
                <c:pt idx="80">
                  <c:v>442.5088838133741</c:v>
                </c:pt>
                <c:pt idx="81">
                  <c:v>423.9482106076087</c:v>
                </c:pt>
                <c:pt idx="82">
                  <c:v>429.51821195249204</c:v>
                </c:pt>
                <c:pt idx="83">
                  <c:v>435.0866609084182</c:v>
                </c:pt>
                <c:pt idx="84">
                  <c:v>440.65358016358778</c:v>
                </c:pt>
                <c:pt idx="85">
                  <c:v>446.21899178570357</c:v>
                </c:pt>
                <c:pt idx="86">
                  <c:v>428.77563530272073</c:v>
                </c:pt>
                <c:pt idx="87">
                  <c:v>433.60189168293056</c:v>
                </c:pt>
                <c:pt idx="88">
                  <c:v>438.42699459967213</c:v>
                </c:pt>
                <c:pt idx="89">
                  <c:v>443.25095855050739</c:v>
                </c:pt>
                <c:pt idx="90">
                  <c:v>448.07379769140431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E30" sqref="E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17.2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0.128</v>
      </c>
      <c r="D9" s="36">
        <f t="shared" ref="D9:D18" si="0">C9*$C$5</f>
        <v>2.2016</v>
      </c>
      <c r="E9" s="37">
        <v>95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0.16900000000000001</v>
      </c>
      <c r="D10" s="36">
        <f t="shared" si="0"/>
        <v>2.9068000000000001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13</v>
      </c>
      <c r="C11" s="35">
        <v>0.19800000000000001</v>
      </c>
      <c r="D11" s="36">
        <f t="shared" si="0"/>
        <v>3.4056000000000002</v>
      </c>
      <c r="E11" s="37">
        <v>90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138</v>
      </c>
      <c r="C12" s="35">
        <v>0.27900000000000003</v>
      </c>
      <c r="D12" s="36">
        <f t="shared" si="0"/>
        <v>4.7988</v>
      </c>
      <c r="E12" s="37">
        <v>34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14</v>
      </c>
      <c r="C13" s="35">
        <v>9.9000000000000005E-2</v>
      </c>
      <c r="D13" s="36">
        <f t="shared" si="0"/>
        <v>1.7028000000000001</v>
      </c>
      <c r="E13" s="37">
        <v>115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36</v>
      </c>
      <c r="C14" s="35">
        <v>0.127</v>
      </c>
      <c r="D14" s="36">
        <f t="shared" si="0"/>
        <v>2.1844000000000001</v>
      </c>
      <c r="E14" s="37">
        <v>34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17.2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49</v>
      </c>
      <c r="B36" s="63">
        <v>364</v>
      </c>
      <c r="C36" s="63">
        <v>1</v>
      </c>
      <c r="D36" s="63">
        <v>105</v>
      </c>
      <c r="E36" s="54"/>
      <c r="F36" s="54"/>
      <c r="G36" s="54"/>
      <c r="H36" s="54"/>
      <c r="I36" s="52">
        <f>IFERROR(B36/A36,"")</f>
        <v>7.4285714285714288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56</v>
      </c>
      <c r="B37" s="63">
        <v>371</v>
      </c>
      <c r="C37" s="63">
        <v>2</v>
      </c>
      <c r="D37" s="63">
        <v>74</v>
      </c>
      <c r="E37" s="54"/>
      <c r="F37" s="54"/>
      <c r="G37" s="54"/>
      <c r="H37" s="54"/>
      <c r="I37" s="56">
        <f t="shared" ref="I37:I55" si="1">IF(A37&lt;&gt;0,(B37-(B36-D36))/(A37-A36),"")</f>
        <v>16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63</v>
      </c>
      <c r="B38" s="63">
        <v>407</v>
      </c>
      <c r="C38" s="63">
        <v>3</v>
      </c>
      <c r="D38" s="63">
        <v>77</v>
      </c>
      <c r="E38" s="54"/>
      <c r="F38" s="54"/>
      <c r="G38" s="54"/>
      <c r="H38" s="54"/>
      <c r="I38" s="56">
        <f t="shared" si="1"/>
        <v>15.714285714285714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71</v>
      </c>
      <c r="B39" s="63">
        <v>451</v>
      </c>
      <c r="C39" s="63">
        <v>4</v>
      </c>
      <c r="D39" s="63">
        <v>89</v>
      </c>
      <c r="E39" s="54"/>
      <c r="F39" s="54"/>
      <c r="G39" s="54"/>
      <c r="H39" s="54"/>
      <c r="I39" s="52">
        <f t="shared" si="1"/>
        <v>15.125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79</v>
      </c>
      <c r="B40" s="63">
        <v>474</v>
      </c>
      <c r="C40" s="63">
        <v>5</v>
      </c>
      <c r="D40" s="63">
        <v>84</v>
      </c>
      <c r="E40" s="54"/>
      <c r="F40" s="54"/>
      <c r="G40" s="54"/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87</v>
      </c>
      <c r="B41" s="63">
        <v>496</v>
      </c>
      <c r="C41" s="63">
        <v>6</v>
      </c>
      <c r="D41" s="63">
        <v>85</v>
      </c>
      <c r="E41" s="54"/>
      <c r="F41" s="54"/>
      <c r="G41" s="54"/>
      <c r="H41" s="54"/>
      <c r="I41" s="56">
        <f t="shared" si="1"/>
        <v>13.25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95</v>
      </c>
      <c r="B42" s="63">
        <v>509</v>
      </c>
      <c r="C42" s="63">
        <v>7</v>
      </c>
      <c r="D42" s="63">
        <v>509</v>
      </c>
      <c r="E42" s="54"/>
      <c r="F42" s="54"/>
      <c r="G42" s="54"/>
      <c r="H42" s="54"/>
      <c r="I42" s="56">
        <f t="shared" si="1"/>
        <v>12.25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>
        <v>0.3</v>
      </c>
      <c r="G63" s="54">
        <v>0.7</v>
      </c>
      <c r="H63" s="54"/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284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284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284</v>
      </c>
      <c r="C81" s="53">
        <v>20</v>
      </c>
      <c r="D81" s="53">
        <v>284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rouge d'Amérique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132</v>
      </c>
      <c r="C88" s="63">
        <v>1</v>
      </c>
      <c r="D88" s="63">
        <v>50</v>
      </c>
      <c r="E88" s="54"/>
      <c r="F88" s="54"/>
      <c r="G88" s="54"/>
      <c r="H88" s="54">
        <v>1</v>
      </c>
      <c r="I88" s="56">
        <f>IFERROR(B88/A88,"")</f>
        <v>6.6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143</v>
      </c>
      <c r="C89" s="63">
        <v>2</v>
      </c>
      <c r="D89" s="63">
        <v>37</v>
      </c>
      <c r="E89" s="54"/>
      <c r="F89" s="54">
        <v>0.5</v>
      </c>
      <c r="G89" s="54">
        <v>0.5</v>
      </c>
      <c r="H89" s="54"/>
      <c r="I89" s="56">
        <f t="shared" ref="I89:I107" si="3">IF(A89&lt;&gt;0,(B89-(B88-D88))/(A89-A88),"")</f>
        <v>12.2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163</v>
      </c>
      <c r="C90" s="63">
        <v>3</v>
      </c>
      <c r="D90" s="63">
        <v>37</v>
      </c>
      <c r="E90" s="54"/>
      <c r="F90" s="54">
        <v>0.6</v>
      </c>
      <c r="G90" s="54">
        <v>0.4</v>
      </c>
      <c r="H90" s="54"/>
      <c r="I90" s="56">
        <f t="shared" si="3"/>
        <v>11.4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179</v>
      </c>
      <c r="C91" s="63">
        <v>4</v>
      </c>
      <c r="D91" s="63">
        <v>36</v>
      </c>
      <c r="E91" s="93"/>
      <c r="F91" s="93"/>
      <c r="G91" s="93"/>
      <c r="H91" s="93"/>
      <c r="I91" s="56">
        <f t="shared" si="3"/>
        <v>10.6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191</v>
      </c>
      <c r="C92" s="63">
        <v>5</v>
      </c>
      <c r="D92" s="63">
        <v>33</v>
      </c>
      <c r="E92" s="93"/>
      <c r="F92" s="93"/>
      <c r="G92" s="93"/>
      <c r="H92" s="93"/>
      <c r="I92" s="56">
        <f t="shared" si="3"/>
        <v>9.6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201</v>
      </c>
      <c r="C93" s="63">
        <v>6</v>
      </c>
      <c r="D93" s="63">
        <v>31</v>
      </c>
      <c r="E93" s="93"/>
      <c r="F93" s="93"/>
      <c r="G93" s="93"/>
      <c r="H93" s="93"/>
      <c r="I93" s="56">
        <f t="shared" si="3"/>
        <v>8.6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209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7.8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215</v>
      </c>
      <c r="C95" s="63">
        <v>8</v>
      </c>
      <c r="D95" s="63">
        <v>25</v>
      </c>
      <c r="E95" s="93"/>
      <c r="F95" s="93"/>
      <c r="G95" s="93"/>
      <c r="H95" s="93"/>
      <c r="I95" s="56">
        <f t="shared" si="3"/>
        <v>6.8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220</v>
      </c>
      <c r="C96" s="63">
        <v>9</v>
      </c>
      <c r="D96" s="63">
        <v>22</v>
      </c>
      <c r="E96" s="93"/>
      <c r="F96" s="93"/>
      <c r="G96" s="93"/>
      <c r="H96" s="93"/>
      <c r="I96" s="56">
        <f t="shared" si="3"/>
        <v>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224</v>
      </c>
      <c r="C97" s="63">
        <v>10</v>
      </c>
      <c r="D97" s="63">
        <v>20</v>
      </c>
      <c r="E97" s="93"/>
      <c r="F97" s="93"/>
      <c r="G97" s="93"/>
      <c r="H97" s="93"/>
      <c r="I97" s="56">
        <f t="shared" si="3"/>
        <v>5.2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227</v>
      </c>
      <c r="C98" s="63">
        <v>11</v>
      </c>
      <c r="D98" s="63">
        <v>17</v>
      </c>
      <c r="E98" s="93"/>
      <c r="F98" s="93"/>
      <c r="G98" s="93"/>
      <c r="H98" s="93"/>
      <c r="I98" s="56">
        <f t="shared" si="3"/>
        <v>4.5999999999999996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230</v>
      </c>
      <c r="C99" s="63">
        <v>12</v>
      </c>
      <c r="D99" s="63">
        <v>15</v>
      </c>
      <c r="E99" s="93"/>
      <c r="F99" s="93"/>
      <c r="G99" s="93"/>
      <c r="H99" s="93"/>
      <c r="I99" s="56">
        <f t="shared" si="3"/>
        <v>4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233</v>
      </c>
      <c r="C100" s="63">
        <v>13</v>
      </c>
      <c r="D100" s="63">
        <v>13</v>
      </c>
      <c r="E100" s="68"/>
      <c r="F100" s="68"/>
      <c r="G100" s="68"/>
      <c r="H100" s="68"/>
      <c r="I100" s="56">
        <f t="shared" si="3"/>
        <v>3.6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235</v>
      </c>
      <c r="C101" s="63">
        <v>14</v>
      </c>
      <c r="D101" s="63">
        <v>12</v>
      </c>
      <c r="E101" s="68"/>
      <c r="F101" s="68"/>
      <c r="G101" s="68"/>
      <c r="H101" s="68"/>
      <c r="I101" s="56">
        <f t="shared" si="3"/>
        <v>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236</v>
      </c>
      <c r="C102" s="63">
        <v>15</v>
      </c>
      <c r="D102" s="53">
        <v>236</v>
      </c>
      <c r="E102" s="57"/>
      <c r="F102" s="57"/>
      <c r="G102" s="57"/>
      <c r="H102" s="57"/>
      <c r="I102" s="56">
        <f t="shared" si="3"/>
        <v>2.6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taeda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13</v>
      </c>
      <c r="B114" s="63">
        <v>101</v>
      </c>
      <c r="C114" s="63">
        <v>1</v>
      </c>
      <c r="D114" s="63">
        <v>28</v>
      </c>
      <c r="E114" s="54"/>
      <c r="F114" s="54"/>
      <c r="G114" s="54">
        <v>1</v>
      </c>
      <c r="H114" s="54"/>
      <c r="I114" s="56">
        <f>IFERROR(B114/A114,"")</f>
        <v>7.7692307692307692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18</v>
      </c>
      <c r="B115" s="63">
        <v>166</v>
      </c>
      <c r="C115" s="63">
        <v>2</v>
      </c>
      <c r="D115" s="63">
        <v>40</v>
      </c>
      <c r="E115" s="54">
        <v>0.25</v>
      </c>
      <c r="F115" s="54"/>
      <c r="G115" s="54">
        <v>0.75</v>
      </c>
      <c r="H115" s="54"/>
      <c r="I115" s="56">
        <f t="shared" ref="I115:I133" si="4">IF(A115&lt;&gt;0,(B115-(B114-D114))/(A115-A114),"")</f>
        <v>18.600000000000001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23</v>
      </c>
      <c r="B116" s="63">
        <v>215</v>
      </c>
      <c r="C116" s="63">
        <v>3</v>
      </c>
      <c r="D116" s="63">
        <v>52</v>
      </c>
      <c r="E116" s="54">
        <v>0.5</v>
      </c>
      <c r="F116" s="54"/>
      <c r="G116" s="54">
        <v>0.5</v>
      </c>
      <c r="H116" s="54"/>
      <c r="I116" s="56">
        <f t="shared" si="4"/>
        <v>17.8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v>269</v>
      </c>
      <c r="C117" s="63">
        <v>4</v>
      </c>
      <c r="D117" s="63">
        <v>0</v>
      </c>
      <c r="E117" s="54"/>
      <c r="F117" s="54"/>
      <c r="G117" s="54"/>
      <c r="H117" s="54"/>
      <c r="I117" s="56">
        <f t="shared" si="4"/>
        <v>15.142857142857142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34</v>
      </c>
      <c r="B118" s="63">
        <v>325</v>
      </c>
      <c r="C118" s="63">
        <v>5</v>
      </c>
      <c r="D118" s="63">
        <v>325</v>
      </c>
      <c r="E118" s="54">
        <v>0.7</v>
      </c>
      <c r="F118" s="54"/>
      <c r="G118" s="54">
        <v>0.3</v>
      </c>
      <c r="H118" s="54"/>
      <c r="I118" s="56">
        <f t="shared" si="4"/>
        <v>14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sessile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3">
        <v>73</v>
      </c>
      <c r="C140" s="53">
        <v>1</v>
      </c>
      <c r="D140" s="63">
        <v>6</v>
      </c>
      <c r="E140" s="54"/>
      <c r="F140" s="54"/>
      <c r="G140" s="54"/>
      <c r="H140" s="54">
        <v>1</v>
      </c>
      <c r="I140" s="60">
        <f>IFERROR(B140/A140,"")</f>
        <v>3.65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3">
        <v>103</v>
      </c>
      <c r="C141" s="53">
        <v>2</v>
      </c>
      <c r="D141" s="63">
        <v>28</v>
      </c>
      <c r="E141" s="54"/>
      <c r="F141" s="54">
        <v>0.3</v>
      </c>
      <c r="G141" s="54">
        <v>0.7</v>
      </c>
      <c r="H141" s="54"/>
      <c r="I141" s="60">
        <f t="shared" ref="I141:I159" si="5">IF(A141&lt;&gt;0,(B141-(B140-D140))/(A141-A140),"")</f>
        <v>7.2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3">
        <v>121</v>
      </c>
      <c r="C142" s="53">
        <v>3</v>
      </c>
      <c r="D142" s="63">
        <v>28</v>
      </c>
      <c r="E142" s="54"/>
      <c r="F142" s="54">
        <v>0.5</v>
      </c>
      <c r="G142" s="54">
        <v>0.5</v>
      </c>
      <c r="H142" s="54"/>
      <c r="I142" s="60">
        <f t="shared" si="5"/>
        <v>9.1999999999999993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3">
        <v>147</v>
      </c>
      <c r="C143" s="53">
        <v>4</v>
      </c>
      <c r="D143" s="63">
        <v>28</v>
      </c>
      <c r="E143" s="54"/>
      <c r="F143" s="54"/>
      <c r="G143" s="54"/>
      <c r="H143" s="54"/>
      <c r="I143" s="60">
        <f t="shared" si="5"/>
        <v>10.8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3">
        <v>175</v>
      </c>
      <c r="C144" s="53">
        <v>5</v>
      </c>
      <c r="D144" s="63">
        <v>28</v>
      </c>
      <c r="E144" s="54"/>
      <c r="F144" s="54"/>
      <c r="G144" s="54"/>
      <c r="H144" s="54"/>
      <c r="I144" s="60">
        <f t="shared" si="5"/>
        <v>11.2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3">
        <v>204</v>
      </c>
      <c r="C145" s="53">
        <v>6</v>
      </c>
      <c r="D145" s="63">
        <v>28</v>
      </c>
      <c r="E145" s="54"/>
      <c r="F145" s="54"/>
      <c r="G145" s="54"/>
      <c r="H145" s="54"/>
      <c r="I145" s="60">
        <f t="shared" si="5"/>
        <v>11.4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3">
        <v>231</v>
      </c>
      <c r="C146" s="53">
        <v>7</v>
      </c>
      <c r="D146" s="63">
        <v>28</v>
      </c>
      <c r="E146" s="54"/>
      <c r="F146" s="54"/>
      <c r="G146" s="54"/>
      <c r="H146" s="54"/>
      <c r="I146" s="60">
        <f t="shared" si="5"/>
        <v>11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55</v>
      </c>
      <c r="B147" s="63">
        <v>254</v>
      </c>
      <c r="C147" s="53">
        <v>8</v>
      </c>
      <c r="D147" s="63">
        <v>28</v>
      </c>
      <c r="E147" s="54"/>
      <c r="F147" s="54"/>
      <c r="G147" s="54"/>
      <c r="H147" s="54"/>
      <c r="I147" s="60">
        <f>IF(A147&lt;&gt;0,(B147-(B146-D146))/(A147-A146),"")</f>
        <v>10.199999999999999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60</v>
      </c>
      <c r="B148" s="63">
        <v>273</v>
      </c>
      <c r="C148" s="53">
        <v>9</v>
      </c>
      <c r="D148" s="63">
        <v>28</v>
      </c>
      <c r="E148" s="54"/>
      <c r="F148" s="54"/>
      <c r="G148" s="54"/>
      <c r="H148" s="54"/>
      <c r="I148" s="60">
        <f t="shared" si="5"/>
        <v>9.4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65</v>
      </c>
      <c r="B149" s="63">
        <v>289</v>
      </c>
      <c r="C149" s="53">
        <v>10</v>
      </c>
      <c r="D149" s="63">
        <v>28</v>
      </c>
      <c r="E149" s="54"/>
      <c r="F149" s="54"/>
      <c r="G149" s="54"/>
      <c r="H149" s="54"/>
      <c r="I149" s="60">
        <f t="shared" si="5"/>
        <v>8.8000000000000007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70</v>
      </c>
      <c r="B150" s="63">
        <v>302</v>
      </c>
      <c r="C150" s="53">
        <v>11</v>
      </c>
      <c r="D150" s="63">
        <v>28</v>
      </c>
      <c r="E150" s="54"/>
      <c r="F150" s="54"/>
      <c r="G150" s="54"/>
      <c r="H150" s="54"/>
      <c r="I150" s="60">
        <f t="shared" si="5"/>
        <v>8.1999999999999993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75</v>
      </c>
      <c r="B151" s="63">
        <v>312</v>
      </c>
      <c r="C151" s="53">
        <v>12</v>
      </c>
      <c r="D151" s="63">
        <v>28</v>
      </c>
      <c r="E151" s="54"/>
      <c r="F151" s="54"/>
      <c r="G151" s="54"/>
      <c r="H151" s="54"/>
      <c r="I151" s="60">
        <f t="shared" si="5"/>
        <v>7.6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80</v>
      </c>
      <c r="B152" s="63">
        <v>320</v>
      </c>
      <c r="C152" s="53">
        <v>13</v>
      </c>
      <c r="D152" s="63">
        <v>28</v>
      </c>
      <c r="E152" s="57"/>
      <c r="F152" s="57"/>
      <c r="G152" s="57"/>
      <c r="H152" s="57"/>
      <c r="I152" s="60">
        <f t="shared" si="5"/>
        <v>7.2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85</v>
      </c>
      <c r="B153" s="63">
        <v>326</v>
      </c>
      <c r="C153" s="53">
        <v>14</v>
      </c>
      <c r="D153" s="63">
        <v>28</v>
      </c>
      <c r="E153" s="57"/>
      <c r="F153" s="57"/>
      <c r="G153" s="57"/>
      <c r="H153" s="57"/>
      <c r="I153" s="60">
        <f t="shared" si="5"/>
        <v>6.8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90</v>
      </c>
      <c r="B154" s="59">
        <v>330</v>
      </c>
      <c r="C154" s="53">
        <v>15</v>
      </c>
      <c r="D154" s="53">
        <v>28</v>
      </c>
      <c r="E154" s="57"/>
      <c r="F154" s="57"/>
      <c r="G154" s="57"/>
      <c r="H154" s="57"/>
      <c r="I154" s="60">
        <f t="shared" si="5"/>
        <v>6.4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95</v>
      </c>
      <c r="B155" s="59">
        <v>332</v>
      </c>
      <c r="C155" s="53">
        <v>16</v>
      </c>
      <c r="D155" s="53">
        <v>28</v>
      </c>
      <c r="E155" s="57"/>
      <c r="F155" s="57"/>
      <c r="G155" s="57"/>
      <c r="H155" s="57"/>
      <c r="I155" s="60">
        <f t="shared" si="5"/>
        <v>6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100</v>
      </c>
      <c r="B156" s="59">
        <v>333</v>
      </c>
      <c r="C156" s="53">
        <v>17</v>
      </c>
      <c r="D156" s="53">
        <v>27</v>
      </c>
      <c r="E156" s="57"/>
      <c r="F156" s="57"/>
      <c r="G156" s="57"/>
      <c r="H156" s="57"/>
      <c r="I156" s="60">
        <f t="shared" si="5"/>
        <v>5.8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105</v>
      </c>
      <c r="B157" s="59">
        <v>333</v>
      </c>
      <c r="C157" s="53">
        <v>18</v>
      </c>
      <c r="D157" s="53">
        <v>26</v>
      </c>
      <c r="E157" s="57"/>
      <c r="F157" s="57"/>
      <c r="G157" s="57"/>
      <c r="H157" s="57"/>
      <c r="I157" s="60">
        <f t="shared" si="5"/>
        <v>5.4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110</v>
      </c>
      <c r="B158" s="59">
        <v>332</v>
      </c>
      <c r="C158" s="53">
        <v>19</v>
      </c>
      <c r="D158" s="53">
        <v>25</v>
      </c>
      <c r="E158" s="57"/>
      <c r="F158" s="57"/>
      <c r="G158" s="57"/>
      <c r="H158" s="57"/>
      <c r="I158" s="60">
        <f t="shared" si="5"/>
        <v>5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115</v>
      </c>
      <c r="B159" s="59">
        <v>330</v>
      </c>
      <c r="C159" s="53">
        <v>20</v>
      </c>
      <c r="D159" s="61">
        <v>330</v>
      </c>
      <c r="E159" s="57"/>
      <c r="F159" s="57"/>
      <c r="G159" s="57"/>
      <c r="H159" s="57"/>
      <c r="I159" s="60">
        <f t="shared" si="5"/>
        <v>4.5999999999999996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Pin maritime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13</v>
      </c>
      <c r="B166" s="63">
        <v>101</v>
      </c>
      <c r="C166" s="63">
        <v>1</v>
      </c>
      <c r="D166" s="63">
        <v>28</v>
      </c>
      <c r="E166" s="54"/>
      <c r="F166" s="54"/>
      <c r="G166" s="54">
        <v>1</v>
      </c>
      <c r="H166" s="54"/>
      <c r="I166" s="52">
        <f>IFERROR(B166/A166,"")</f>
        <v>7.7692307692307692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18</v>
      </c>
      <c r="B167" s="63">
        <v>166</v>
      </c>
      <c r="C167" s="63">
        <v>2</v>
      </c>
      <c r="D167" s="63">
        <v>40</v>
      </c>
      <c r="E167" s="54">
        <v>0.25</v>
      </c>
      <c r="F167" s="54"/>
      <c r="G167" s="54">
        <v>0.75</v>
      </c>
      <c r="H167" s="54"/>
      <c r="I167" s="52">
        <f t="shared" ref="I167:I185" si="6">IF(A167&lt;&gt;0,(B167-(B166-D166))/(A167-A166),"")</f>
        <v>18.600000000000001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23</v>
      </c>
      <c r="B168" s="63">
        <v>215</v>
      </c>
      <c r="C168" s="63">
        <v>3</v>
      </c>
      <c r="D168" s="63">
        <v>52</v>
      </c>
      <c r="E168" s="54">
        <v>0.5</v>
      </c>
      <c r="F168" s="54"/>
      <c r="G168" s="54">
        <v>0.5</v>
      </c>
      <c r="H168" s="54"/>
      <c r="I168" s="52">
        <f t="shared" si="6"/>
        <v>17.8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30</v>
      </c>
      <c r="B169" s="63">
        <v>269</v>
      </c>
      <c r="C169" s="63">
        <v>4</v>
      </c>
      <c r="D169" s="63">
        <v>0</v>
      </c>
      <c r="E169" s="54"/>
      <c r="F169" s="54"/>
      <c r="G169" s="54"/>
      <c r="H169" s="54"/>
      <c r="I169" s="52">
        <f t="shared" si="6"/>
        <v>15.142857142857142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34</v>
      </c>
      <c r="B170" s="63">
        <v>325</v>
      </c>
      <c r="C170" s="63">
        <v>5</v>
      </c>
      <c r="D170" s="63">
        <v>325</v>
      </c>
      <c r="E170" s="54">
        <v>0.7</v>
      </c>
      <c r="F170" s="54"/>
      <c r="G170" s="54">
        <v>0.3</v>
      </c>
      <c r="H170" s="54"/>
      <c r="I170" s="52">
        <f t="shared" si="6"/>
        <v>14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abSelected="1" topLeftCell="A4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9.9000000000000005E-2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0.90100000000000002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Cèdre de l'Atlas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pubescent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Chêne rouge d'Amérique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Pin taeda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Chêne sessile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>Pin maritime</v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4.5049999999999999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16.518333333333334</v>
      </c>
      <c r="H3" s="70">
        <f>(B3+E3+F3)*44/12+(C3+D3)*0.475*44/12</f>
        <v>147.64566666666667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35.762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131.12733333333333</v>
      </c>
      <c r="S3" s="62">
        <f ca="1">AVERAGE(OFFSET($R$3,0,0,'Données projet'!$E$9+1,1))-AVERAGE(OFFSET($H$3,0,0,'Données projet'!$E$9+1,1))</f>
        <v>374.81775021423215</v>
      </c>
      <c r="T3" s="62">
        <f>IF('Données projet'!E9&gt;30,$R$33-$H$33,LOOKUP('Données projet'!$E$9,$A$3:$A$203,R3:R203)-LOOKUP('Données projet'!$E$9,$A$3:$A$203,$H$3:$H$203))</f>
        <v>301.81248585467142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35.762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131.12733333333333</v>
      </c>
      <c r="AN3" s="62">
        <f ca="1">AVERAGE(OFFSET($AM$3,0,0,'Données projet'!$E$10+1,1))-AVERAGE(OFFSET($H$3,0,0,'Données projet'!$E$10+1,1))</f>
        <v>468.39960552661171</v>
      </c>
      <c r="AO3" s="62">
        <f>IF('Données projet'!E10&gt;30,$AM$33-$H$33,LOOKUP('Données projet'!$E$10,$A$3:$A$203,AM3:AM203)-LOOKUP('Données projet'!$E$10,$A$3:$A$203,$H$3:$H$203))</f>
        <v>291.1952427029787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35.762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131.12733333333333</v>
      </c>
      <c r="BI3" s="62">
        <f ca="1">AVERAGE(OFFSET($BH$3,0,0,'Données projet'!$E$11+1,1))-AVERAGE(OFFSET($H$3,0,0,'Données projet'!$E$11+1,1))</f>
        <v>373.50005214669716</v>
      </c>
      <c r="BJ3" s="62">
        <f>IF('Données projet'!E11&gt;30,$BH$33-$H$33,LOOKUP('Données projet'!$E$11,$A$3:$A$203,BH3:BH203)-LOOKUP('Données projet'!$E$11,$A$3:$A$203,$H$3:$H$203))</f>
        <v>383.60460086643036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35.762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131.12733333333333</v>
      </c>
      <c r="CD3" s="62">
        <f ca="1">AVERAGE(OFFSET($CC$3,0,0,'Données projet'!$E$12+1,1))-AVERAGE(OFFSET($H$3,0,0,'Données projet'!$E$12+1,1))</f>
        <v>210.13237351083279</v>
      </c>
      <c r="CE3" s="62">
        <f>IF('Données projet'!E12&gt;30,$CC$33-$H$33,LOOKUP('Données projet'!$E$12,$A$3:$A$203,CC3:CC203)-LOOKUP('Données projet'!$E$12,$A$3:$A$203,$H$3:$H$203))</f>
        <v>423.06475179432277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35.762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131.12733333333333</v>
      </c>
      <c r="CY3" s="62">
        <f ca="1">AVERAGE(OFFSET($CX$3,0,0,'Données projet'!$E$13+1,1))-AVERAGE(OFFSET($H$3,0,0,'Données projet'!$E$13+1,1))</f>
        <v>493.89660144134291</v>
      </c>
      <c r="CZ3" s="62">
        <f>IF('Données projet'!E13&gt;30,$CX$33-$H$33,LOOKUP('Données projet'!$E$13,$A$3:$A$203,CX3:CX203)-LOOKUP('Données projet'!$E$13,$A$3:$A$203,$H$3:$H$203))</f>
        <v>312.97494624463229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35.762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131.12733333333333</v>
      </c>
      <c r="DT3" s="62">
        <f ca="1">AVERAGE(OFFSET($DS$3,0,0,'Données projet'!$E$14+1,1))-AVERAGE(OFFSET($H$3,0,0,'Données projet'!$E$14+1,1))</f>
        <v>210.13237351083279</v>
      </c>
      <c r="DU3" s="62">
        <f>IF('Données projet'!E14&gt;30,$DS$33-$H$33,LOOKUP('Données projet'!$E$14,$A$3:$A$203,DS3:DS203)-LOOKUP('Données projet'!$E$14,$A$3:$A$203,$H$3:$H$203))</f>
        <v>423.06475179432277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35.762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35.762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35.762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35.762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4.5049999999999999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16.518333333333334</v>
      </c>
      <c r="H4" s="70">
        <f t="shared" ref="H4:H67" si="1">(B4+E4+F4)*44/12+(C4+D4)*0.475*44/12</f>
        <v>147.64566666666667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36.355952755299228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7.4285714285714288</v>
      </c>
      <c r="N4" s="14">
        <f>IF('Données projet'!$A$36&gt;35,N3+M4-V3,IF(A4&lt;'Données projet'!$A$36,$K$205^A4,IF(A4='Données projet'!$A$36,'Données projet'!$B$36,N3+M4-V3)))</f>
        <v>7.4285714285714288</v>
      </c>
      <c r="O4" s="14">
        <f>N4*VLOOKUP('Données projet'!$B$9,Paramètres!$A$1:$I$89,3,0)*VLOOKUP('Données projet'!$B$9,Paramètres!$A$1:$I$89,5,0)</f>
        <v>3.4765714285714289</v>
      </c>
      <c r="P4" s="14">
        <f>EXP(-1.0587+0.8836*LN(O4)+0.284)</f>
        <v>1.3858404293456914</v>
      </c>
      <c r="Q4" s="22">
        <f t="shared" ref="Q4:Q34" si="2">(O4+P4)*0.475*44/12</f>
        <v>8.4687006525389847</v>
      </c>
      <c r="R4" s="62">
        <f t="shared" si="0"/>
        <v>142.99608297752505</v>
      </c>
      <c r="S4" s="62">
        <f ca="1">AVERAGE(OFFSET($R$3,0,0,'Données projet'!$E$9+1,1))-AVERAGE(OFFSET($H$3,0,0,'Données projet'!$E$9+1,1))</f>
        <v>374.81775021423215</v>
      </c>
      <c r="T4" s="62">
        <f>$T$3</f>
        <v>301.81248585467142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36.355952755299228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1.2025088711792926</v>
      </c>
      <c r="AK4" s="14">
        <f>EXP(-1.0587+0.8836*LN(AJ4)+0.284)</f>
        <v>0.54239799688655566</v>
      </c>
      <c r="AL4" s="22">
        <f t="shared" ref="AL4:AL67" si="4">(AJ4+AK4)*0.475*44/12</f>
        <v>3.0390461285480193</v>
      </c>
      <c r="AM4" s="62">
        <f t="shared" ref="AM4:AM67" si="5">AL4+(AD4+AE4)*44/12</f>
        <v>137.56642845353409</v>
      </c>
      <c r="AN4" s="62">
        <f ca="1">AVERAGE(OFFSET($AM$3,0,0,'Données projet'!$E$10+1,1))-AVERAGE(OFFSET($H$3,0,0,'Données projet'!$E$10+1,1))</f>
        <v>468.39960552661171</v>
      </c>
      <c r="AO4" s="62">
        <f>$AO$3</f>
        <v>291.1952427029787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36.355952755299228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6.6</v>
      </c>
      <c r="BD4" s="13">
        <f>IF('Données projet'!$A$88&gt;35,BD3+BC4-BL3,IF(A4&lt;'Données projet'!$A$88,$BA$205^A4,IF(A4='Données projet'!$A$88,'Données projet'!$B$88,BD3+BC4-BL3)))</f>
        <v>1.2765231539157764</v>
      </c>
      <c r="BE4" s="14">
        <f>BD4*VLOOKUP('Données projet'!$B$11,Paramètres!$A$1:$I$89,3,0)*VLOOKUP('Données projet'!$B$11,Paramètres!$A$1:$I$89,5,0)</f>
        <v>1.1151706272608224</v>
      </c>
      <c r="BF4" s="14">
        <f>EXP(-1.0587+0.8836*LN(BE4)+0.284)</f>
        <v>0.50743784838663863</v>
      </c>
      <c r="BG4" s="22">
        <f t="shared" ref="BG4:BG67" si="7">(BE4+BF4)*0.475*44/12</f>
        <v>2.8260430950859945</v>
      </c>
      <c r="BH4" s="62">
        <f t="shared" ref="BH4:BH67" si="8">BG4+(AY4+AZ4)*44/12</f>
        <v>137.35342542007206</v>
      </c>
      <c r="BI4" s="62">
        <f ca="1">AVERAGE(OFFSET($BH$3,0,0,'Données projet'!$E$11+1,1))-AVERAGE(OFFSET($H$3,0,0,'Données projet'!$E$11+1,1))</f>
        <v>373.50005214669716</v>
      </c>
      <c r="BJ4" s="62">
        <f>$BJ$3</f>
        <v>383.60460086643036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36.355952755299228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7.7692307692307692</v>
      </c>
      <c r="BY4" s="13">
        <f>IF('Données projet'!$A$114&gt;35,BY3+BX4-CG3,IF(A4&lt;'Données projet'!$A$114,$BV$205^A4,IF(A4='Données projet'!$A$114,'Données projet'!$B$114,BY3+BX4-CG3)))</f>
        <v>1.4261938757879591</v>
      </c>
      <c r="BZ4" s="14">
        <f>BY4*VLOOKUP('Données projet'!$B$12,Paramètres!$A$1:$I$89,3,0)*VLOOKUP('Données projet'!$B$12,Paramètres!$A$1:$I$89,5,0)</f>
        <v>0.85286393772119951</v>
      </c>
      <c r="CA4" s="14">
        <f>EXP(-1.0587+0.8836*LN(BZ4)+0.284)</f>
        <v>0.40038464441801103</v>
      </c>
      <c r="CB4" s="22">
        <f t="shared" ref="CB4:CB67" si="10">(BZ4+CA4)*0.475*44/12</f>
        <v>2.1827412805591249</v>
      </c>
      <c r="CC4" s="62">
        <f t="shared" ref="CC4:CC67" si="11">CB4+(BT4+BU4)*44/12</f>
        <v>136.71012360554519</v>
      </c>
      <c r="CD4" s="62">
        <f ca="1">AVERAGE(OFFSET($CC$3,0,0,'Données projet'!$E$12+1,1))-AVERAGE(OFFSET($H$3,0,0,'Données projet'!$E$12+1,1))</f>
        <v>210.13237351083279</v>
      </c>
      <c r="CE4" s="62">
        <f>$CE$3</f>
        <v>423.06475179432277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36.355952755299228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3.65</v>
      </c>
      <c r="CT4" s="13">
        <f>IF('Données projet'!$A$140&gt;35,CT3+CS4-DB3,IF(A4&lt;'Données projet'!$A$140,$CQ$205^A4,IF(A4='Données projet'!$A$140,'Données projet'!$B$140,CT3+CS4-DB3)))</f>
        <v>1.2392705892426346</v>
      </c>
      <c r="CU4" s="18">
        <f>CT4*VLOOKUP('Données projet'!$B$13,Paramètres!$A$1:$I$89,3,0)*VLOOKUP('Données projet'!$B$13,Paramètres!$A$1:$I$89,5,0)</f>
        <v>1.1212920291467359</v>
      </c>
      <c r="CV4" s="14">
        <f>EXP(-1.0587+0.8836*LN(CU4)+0.284)</f>
        <v>0.50989827066551541</v>
      </c>
      <c r="CW4" s="22">
        <f t="shared" ref="CW4:CW67" si="13">(CU4+CV4)*0.475*44/12</f>
        <v>2.8409897721730037</v>
      </c>
      <c r="CX4" s="62">
        <f t="shared" ref="CX4:CX67" si="14">CW4+(CO4+CP4)*44/12</f>
        <v>137.36837209715907</v>
      </c>
      <c r="CY4" s="62">
        <f ca="1">AVERAGE(OFFSET($CX$3,0,0,'Données projet'!$E$13+1,1))-AVERAGE(OFFSET($H$3,0,0,'Données projet'!$E$13+1,1))</f>
        <v>493.89660144134291</v>
      </c>
      <c r="CZ4" s="62">
        <f>$CZ$3</f>
        <v>312.97494624463229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36.355952755299228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7.7692307692307692</v>
      </c>
      <c r="DO4" s="13">
        <f>IF('Données projet'!$A$166&gt;35,DO3+DN4-DW3,IF(A4&lt;'Données projet'!$A$166,$DL$205^A4,IF(A4='Données projet'!$A$166,'Données projet'!$B$166,DO3+DN4-DW3)))</f>
        <v>1.4261938757879591</v>
      </c>
      <c r="DP4" s="18">
        <f>DO4*VLOOKUP('Données projet'!$B$14,Paramètres!$A$1:$I$89,3,0)*VLOOKUP('Données projet'!$B$14,Paramètres!$A$1:$I$89,5,0)</f>
        <v>0.85286393772119951</v>
      </c>
      <c r="DQ4" s="14">
        <f>EXP(-1.0587+0.8836*LN(DP4)+0.284)</f>
        <v>0.40038464441801103</v>
      </c>
      <c r="DR4" s="22">
        <f t="shared" ref="DR4:DR67" si="16">(DP4+DQ4)*0.475*44/12</f>
        <v>2.1827412805591249</v>
      </c>
      <c r="DS4" s="62">
        <f t="shared" ref="DS4:DS67" si="17">DR4+(DJ4+DK4)*44/12</f>
        <v>136.71012360554519</v>
      </c>
      <c r="DT4" s="62">
        <f ca="1">AVERAGE(OFFSET($DS$3,0,0,'Données projet'!$E$14+1,1))-AVERAGE(OFFSET($H$3,0,0,'Données projet'!$E$14+1,1))</f>
        <v>210.13237351083279</v>
      </c>
      <c r="DU4" s="62">
        <f>$DU$3</f>
        <v>423.06475179432277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36.355952755299228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36.355952755299228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36.355952755299228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36.355952755299228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4.5049999999999999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16.518333333333334</v>
      </c>
      <c r="H5" s="70">
        <f t="shared" si="1"/>
        <v>147.64566666666667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36.939601758173445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7.4285714285714288</v>
      </c>
      <c r="N5" s="14">
        <f>IF('Données projet'!$A$36&gt;35,N4+M5-V4,IF(A5&lt;'Données projet'!$A$36,$K$205^A5,IF(A5='Données projet'!$A$36,'Données projet'!$B$36,N4+M5-V4)))</f>
        <v>14.857142857142858</v>
      </c>
      <c r="O5" s="14">
        <f>N5*VLOOKUP('Données projet'!$B$9,Paramètres!$A$1:$I$89,3,0)*VLOOKUP('Données projet'!$B$9,Paramètres!$A$1:$I$89,5,0)</f>
        <v>6.9531428571428577</v>
      </c>
      <c r="P5" s="14">
        <f t="shared" ref="P5:P68" si="33">EXP(-1.0587+0.8836*LN(O5)+0.284)</f>
        <v>2.5568386998909642</v>
      </c>
      <c r="Q5" s="22">
        <f t="shared" si="2"/>
        <v>16.56321787850057</v>
      </c>
      <c r="R5" s="62">
        <f t="shared" si="0"/>
        <v>154.45286876958099</v>
      </c>
      <c r="S5" s="62">
        <f ca="1">AVERAGE(OFFSET($R$3,0,0,'Données projet'!$E$9+1,1))-AVERAGE(OFFSET($H$3,0,0,'Données projet'!$E$9+1,1))</f>
        <v>374.81775021423215</v>
      </c>
      <c r="T5" s="62">
        <f t="shared" ref="T5:T68" si="34">$T$3</f>
        <v>301.81248585467142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36.939601758173445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1.4260627073618306</v>
      </c>
      <c r="AK5" s="14">
        <f t="shared" ref="AK5:AK68" si="35">EXP(-1.0587+0.8836*LN(AJ5)+0.284)</f>
        <v>0.63059271915132864</v>
      </c>
      <c r="AL5" s="22">
        <f t="shared" si="4"/>
        <v>3.5820082011770853</v>
      </c>
      <c r="AM5" s="62">
        <f t="shared" si="5"/>
        <v>141.47165909225748</v>
      </c>
      <c r="AN5" s="62">
        <f ca="1">AVERAGE(OFFSET($AM$3,0,0,'Données projet'!$E$10+1,1))-AVERAGE(OFFSET($H$3,0,0,'Données projet'!$E$10+1,1))</f>
        <v>468.39960552661171</v>
      </c>
      <c r="AO5" s="62">
        <f t="shared" ref="AO5:AO68" si="36">$AO$3</f>
        <v>291.1952427029787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36.939601758173445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6.6</v>
      </c>
      <c r="BD5" s="13">
        <f>IF('Données projet'!$A$88&gt;35,BD4+BC5-BL4,IF(A5&lt;'Données projet'!$A$88,$BA$205^A5,IF(A5='Données projet'!$A$88,'Données projet'!$B$88,BD4+BC5-BL4)))</f>
        <v>1.629511362483081</v>
      </c>
      <c r="BE5" s="14">
        <f>BD5*VLOOKUP('Données projet'!$B$11,Paramètres!$A$1:$I$89,3,0)*VLOOKUP('Données projet'!$B$11,Paramètres!$A$1:$I$89,5,0)</f>
        <v>1.4235411262652198</v>
      </c>
      <c r="BF5" s="14">
        <f t="shared" ref="BF5:BF68" si="37">EXP(-1.0587+0.8836*LN(BE5)+0.284)</f>
        <v>0.62960738463416654</v>
      </c>
      <c r="BG5" s="22">
        <f t="shared" si="7"/>
        <v>3.5759003231497637</v>
      </c>
      <c r="BH5" s="62">
        <f t="shared" si="8"/>
        <v>141.46555121423017</v>
      </c>
      <c r="BI5" s="62">
        <f ca="1">AVERAGE(OFFSET($BH$3,0,0,'Données projet'!$E$11+1,1))-AVERAGE(OFFSET($H$3,0,0,'Données projet'!$E$11+1,1))</f>
        <v>373.50005214669716</v>
      </c>
      <c r="BJ5" s="62">
        <f t="shared" ref="BJ5:BJ68" si="38">$BJ$3</f>
        <v>383.60460086643036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36.939601758173445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7.7692307692307692</v>
      </c>
      <c r="BY5" s="13">
        <f>IF('Données projet'!$A$114&gt;35,BY4+BX5-CG4,IF(A5&lt;'Données projet'!$A$114,$BV$205^A5,IF(A5='Données projet'!$A$114,'Données projet'!$B$114,BY4+BX5-CG4)))</f>
        <v>2.0340289713350805</v>
      </c>
      <c r="BZ5" s="14">
        <f>BY5*VLOOKUP('Données projet'!$B$12,Paramètres!$A$1:$I$89,3,0)*VLOOKUP('Données projet'!$B$12,Paramètres!$A$1:$I$89,5,0)</f>
        <v>1.2163493248583781</v>
      </c>
      <c r="CA5" s="14">
        <f t="shared" ref="CA5:CA68" si="39">EXP(-1.0587+0.8836*LN(BZ5)+0.284)</f>
        <v>0.54791046443869817</v>
      </c>
      <c r="CB5" s="22">
        <f t="shared" si="10"/>
        <v>3.072752466359074</v>
      </c>
      <c r="CC5" s="62">
        <f t="shared" si="11"/>
        <v>140.96240335743948</v>
      </c>
      <c r="CD5" s="62">
        <f ca="1">AVERAGE(OFFSET($CC$3,0,0,'Données projet'!$E$12+1,1))-AVERAGE(OFFSET($H$3,0,0,'Données projet'!$E$12+1,1))</f>
        <v>210.13237351083279</v>
      </c>
      <c r="CE5" s="62">
        <f t="shared" ref="CE5:CE68" si="40">$CE$3</f>
        <v>423.06475179432277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36.939601758173445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3.65</v>
      </c>
      <c r="CT5" s="13">
        <f>IF('Données projet'!$A$140&gt;35,CT4+CS5-DB4,IF(A5&lt;'Données projet'!$A$140,$CQ$205^A5,IF(A5='Données projet'!$A$140,'Données projet'!$B$140,CT4+CS5-DB4)))</f>
        <v>1.5357915933617867</v>
      </c>
      <c r="CU5" s="18">
        <f>CT5*VLOOKUP('Données projet'!$B$13,Paramètres!$A$1:$I$89,3,0)*VLOOKUP('Données projet'!$B$13,Paramètres!$A$1:$I$89,5,0)</f>
        <v>1.3895842336737447</v>
      </c>
      <c r="CV5" s="14">
        <f t="shared" ref="CV5:CV68" si="41">EXP(-1.0587+0.8836*LN(CU5)+0.284)</f>
        <v>0.61631841327304715</v>
      </c>
      <c r="CW5" s="22">
        <f t="shared" si="13"/>
        <v>3.4936137767656628</v>
      </c>
      <c r="CX5" s="62">
        <f t="shared" si="14"/>
        <v>141.38326466784608</v>
      </c>
      <c r="CY5" s="62">
        <f ca="1">AVERAGE(OFFSET($CX$3,0,0,'Données projet'!$E$13+1,1))-AVERAGE(OFFSET($H$3,0,0,'Données projet'!$E$13+1,1))</f>
        <v>493.89660144134291</v>
      </c>
      <c r="CZ5" s="62">
        <f t="shared" ref="CZ5:CZ68" si="42">$CZ$3</f>
        <v>312.97494624463229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36.939601758173445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7.7692307692307692</v>
      </c>
      <c r="DO5" s="13">
        <f>IF('Données projet'!$A$166&gt;35,DO4+DN5-DW4,IF(A5&lt;'Données projet'!$A$166,$DL$205^A5,IF(A5='Données projet'!$A$166,'Données projet'!$B$166,DO4+DN5-DW4)))</f>
        <v>2.0340289713350805</v>
      </c>
      <c r="DP5" s="18">
        <f>DO5*VLOOKUP('Données projet'!$B$14,Paramètres!$A$1:$I$89,3,0)*VLOOKUP('Données projet'!$B$14,Paramètres!$A$1:$I$89,5,0)</f>
        <v>1.2163493248583781</v>
      </c>
      <c r="DQ5" s="14">
        <f t="shared" ref="DQ5:DQ68" si="43">EXP(-1.0587+0.8836*LN(DP5)+0.284)</f>
        <v>0.54791046443869817</v>
      </c>
      <c r="DR5" s="22">
        <f t="shared" si="16"/>
        <v>3.072752466359074</v>
      </c>
      <c r="DS5" s="62">
        <f t="shared" si="17"/>
        <v>140.96240335743948</v>
      </c>
      <c r="DT5" s="62">
        <f ca="1">AVERAGE(OFFSET($DS$3,0,0,'Données projet'!$E$14+1,1))-AVERAGE(OFFSET($H$3,0,0,'Données projet'!$E$14+1,1))</f>
        <v>210.13237351083279</v>
      </c>
      <c r="DU5" s="62">
        <f t="shared" ref="DU5:DU68" si="44">$DU$3</f>
        <v>423.06475179432277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36.939601758173445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36.939601758173445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36.939601758173445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36.939601758173445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4.5049999999999999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16.518333333333334</v>
      </c>
      <c r="H6" s="70">
        <f t="shared" si="1"/>
        <v>147.64566666666667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37.513125755691483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7.4285714285714288</v>
      </c>
      <c r="N6" s="14">
        <f>IF('Données projet'!$A$36&gt;35,N5+M6-V5,IF(A6&lt;'Données projet'!$A$36,$K$205^A6,IF(A6='Données projet'!$A$36,'Données projet'!$B$36,N5+M6-V5)))</f>
        <v>22.285714285714285</v>
      </c>
      <c r="O6" s="14">
        <f>N6*VLOOKUP('Données projet'!$B$9,Paramètres!$A$1:$I$89,3,0)*VLOOKUP('Données projet'!$B$9,Paramètres!$A$1:$I$89,5,0)</f>
        <v>10.429714285714285</v>
      </c>
      <c r="P6" s="14">
        <f t="shared" si="33"/>
        <v>3.6584537375454449</v>
      </c>
      <c r="Q6" s="22">
        <f t="shared" si="2"/>
        <v>24.536892640510697</v>
      </c>
      <c r="R6" s="62">
        <f t="shared" si="0"/>
        <v>165.75168707804613</v>
      </c>
      <c r="S6" s="62">
        <f ca="1">AVERAGE(OFFSET($R$3,0,0,'Données projet'!$E$9+1,1))-AVERAGE(OFFSET($H$3,0,0,'Données projet'!$E$9+1,1))</f>
        <v>374.81775021423215</v>
      </c>
      <c r="T6" s="62">
        <f t="shared" si="34"/>
        <v>301.81248585467142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37.513125755691483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1.6911765842806317</v>
      </c>
      <c r="AK6" s="14">
        <f t="shared" si="35"/>
        <v>0.73312803463364506</v>
      </c>
      <c r="AL6" s="22">
        <f t="shared" si="4"/>
        <v>4.2223305446090311</v>
      </c>
      <c r="AM6" s="62">
        <f t="shared" si="5"/>
        <v>145.43712498214447</v>
      </c>
      <c r="AN6" s="62">
        <f ca="1">AVERAGE(OFFSET($AM$3,0,0,'Données projet'!$E$10+1,1))-AVERAGE(OFFSET($H$3,0,0,'Données projet'!$E$10+1,1))</f>
        <v>468.39960552661171</v>
      </c>
      <c r="AO6" s="62">
        <f t="shared" si="36"/>
        <v>291.1952427029787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37.513125755691483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6.6</v>
      </c>
      <c r="BD6" s="13">
        <f>IF('Données projet'!$A$88&gt;35,BD5+BC6-BL5,IF(A6&lt;'Données projet'!$A$88,$BA$205^A6,IF(A6='Données projet'!$A$88,'Données projet'!$B$88,BD5+BC6-BL5)))</f>
        <v>2.0801089837784965</v>
      </c>
      <c r="BE6" s="14">
        <f>BD6*VLOOKUP('Données projet'!$B$11,Paramètres!$A$1:$I$89,3,0)*VLOOKUP('Données projet'!$B$11,Paramètres!$A$1:$I$89,5,0)</f>
        <v>1.8171832082288948</v>
      </c>
      <c r="BF6" s="14">
        <f t="shared" si="37"/>
        <v>0.7811901694881791</v>
      </c>
      <c r="BG6" s="22">
        <f t="shared" si="7"/>
        <v>4.5255002995239044</v>
      </c>
      <c r="BH6" s="62">
        <f t="shared" si="8"/>
        <v>145.74029473705934</v>
      </c>
      <c r="BI6" s="62">
        <f ca="1">AVERAGE(OFFSET($BH$3,0,0,'Données projet'!$E$11+1,1))-AVERAGE(OFFSET($H$3,0,0,'Données projet'!$E$11+1,1))</f>
        <v>373.50005214669716</v>
      </c>
      <c r="BJ6" s="62">
        <f t="shared" si="38"/>
        <v>383.60460086643036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37.513125755691483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7.7692307692307692</v>
      </c>
      <c r="BY6" s="13">
        <f>IF('Données projet'!$A$114&gt;35,BY5+BX6-CG5,IF(A6&lt;'Données projet'!$A$114,$BV$205^A6,IF(A6='Données projet'!$A$114,'Données projet'!$B$114,BY5+BX6-CG5)))</f>
        <v>2.9009196620933739</v>
      </c>
      <c r="BZ6" s="14">
        <f>BY6*VLOOKUP('Données projet'!$B$12,Paramètres!$A$1:$I$89,3,0)*VLOOKUP('Données projet'!$B$12,Paramètres!$A$1:$I$89,5,0)</f>
        <v>1.7347499579318377</v>
      </c>
      <c r="CA6" s="14">
        <f t="shared" si="39"/>
        <v>0.74979368271678282</v>
      </c>
      <c r="CB6" s="22">
        <f t="shared" si="10"/>
        <v>4.3272468407963478</v>
      </c>
      <c r="CC6" s="62">
        <f t="shared" si="11"/>
        <v>145.54204127833177</v>
      </c>
      <c r="CD6" s="62">
        <f ca="1">AVERAGE(OFFSET($CC$3,0,0,'Données projet'!$E$12+1,1))-AVERAGE(OFFSET($H$3,0,0,'Données projet'!$E$12+1,1))</f>
        <v>210.13237351083279</v>
      </c>
      <c r="CE6" s="62">
        <f t="shared" si="40"/>
        <v>423.06475179432277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37.513125755691483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3.65</v>
      </c>
      <c r="CT6" s="13">
        <f>IF('Données projet'!$A$140&gt;35,CT5+CS6-DB5,IF(A6&lt;'Données projet'!$A$140,$CQ$205^A6,IF(A6='Données projet'!$A$140,'Données projet'!$B$140,CT5+CS6-DB5)))</f>
        <v>1.9032613528593461</v>
      </c>
      <c r="CU6" s="18">
        <f>CT6*VLOOKUP('Données projet'!$B$13,Paramètres!$A$1:$I$89,3,0)*VLOOKUP('Données projet'!$B$13,Paramètres!$A$1:$I$89,5,0)</f>
        <v>1.7220708720671365</v>
      </c>
      <c r="CV6" s="14">
        <f t="shared" si="41"/>
        <v>0.74494935243383209</v>
      </c>
      <c r="CW6" s="22">
        <f t="shared" si="13"/>
        <v>4.2967268910058536</v>
      </c>
      <c r="CX6" s="62">
        <f t="shared" si="14"/>
        <v>145.51152132854128</v>
      </c>
      <c r="CY6" s="62">
        <f ca="1">AVERAGE(OFFSET($CX$3,0,0,'Données projet'!$E$13+1,1))-AVERAGE(OFFSET($H$3,0,0,'Données projet'!$E$13+1,1))</f>
        <v>493.89660144134291</v>
      </c>
      <c r="CZ6" s="62">
        <f t="shared" si="42"/>
        <v>312.97494624463229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37.513125755691483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7.7692307692307692</v>
      </c>
      <c r="DO6" s="13">
        <f>IF('Données projet'!$A$166&gt;35,DO5+DN6-DW5,IF(A6&lt;'Données projet'!$A$166,$DL$205^A6,IF(A6='Données projet'!$A$166,'Données projet'!$B$166,DO5+DN6-DW5)))</f>
        <v>2.9009196620933739</v>
      </c>
      <c r="DP6" s="18">
        <f>DO6*VLOOKUP('Données projet'!$B$14,Paramètres!$A$1:$I$89,3,0)*VLOOKUP('Données projet'!$B$14,Paramètres!$A$1:$I$89,5,0)</f>
        <v>1.7347499579318377</v>
      </c>
      <c r="DQ6" s="14">
        <f t="shared" si="43"/>
        <v>0.74979368271678282</v>
      </c>
      <c r="DR6" s="22">
        <f t="shared" si="16"/>
        <v>4.3272468407963478</v>
      </c>
      <c r="DS6" s="62">
        <f t="shared" si="17"/>
        <v>145.54204127833177</v>
      </c>
      <c r="DT6" s="62">
        <f ca="1">AVERAGE(OFFSET($DS$3,0,0,'Données projet'!$E$14+1,1))-AVERAGE(OFFSET($H$3,0,0,'Données projet'!$E$14+1,1))</f>
        <v>210.13237351083279</v>
      </c>
      <c r="DU6" s="62">
        <f t="shared" si="44"/>
        <v>423.06475179432277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37.513125755691483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37.513125755691483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37.513125755691483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37.513125755691483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4.5049999999999999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16.518333333333334</v>
      </c>
      <c r="H7" s="70">
        <f t="shared" si="1"/>
        <v>147.64566666666667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38.076700394060147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7.4285714285714288</v>
      </c>
      <c r="N7" s="14">
        <f>IF('Données projet'!$A$36&gt;35,N6+M7-V6,IF(A7&lt;'Données projet'!$A$36,$K$205^A7,IF(A7='Données projet'!$A$36,'Données projet'!$B$36,N6+M7-V6)))</f>
        <v>29.714285714285715</v>
      </c>
      <c r="O7" s="14">
        <f>N7*VLOOKUP('Données projet'!$B$9,Paramètres!$A$1:$I$89,3,0)*VLOOKUP('Données projet'!$B$9,Paramètres!$A$1:$I$89,5,0)</f>
        <v>13.906285714285715</v>
      </c>
      <c r="P7" s="14">
        <f t="shared" si="33"/>
        <v>4.7172993360762936</v>
      </c>
      <c r="Q7" s="22">
        <f t="shared" si="2"/>
        <v>32.436077296047166</v>
      </c>
      <c r="R7" s="62">
        <f t="shared" si="0"/>
        <v>176.93953429648991</v>
      </c>
      <c r="S7" s="62">
        <f ca="1">AVERAGE(OFFSET($R$3,0,0,'Données projet'!$E$9+1,1))-AVERAGE(OFFSET($H$3,0,0,'Données projet'!$E$9+1,1))</f>
        <v>374.81775021423215</v>
      </c>
      <c r="T7" s="62">
        <f t="shared" si="34"/>
        <v>301.81248585467142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38.076700394060147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2.005576770540586</v>
      </c>
      <c r="AK7" s="14">
        <f t="shared" si="35"/>
        <v>0.85233574515282073</v>
      </c>
      <c r="AL7" s="22">
        <f t="shared" si="4"/>
        <v>4.9775309648326838</v>
      </c>
      <c r="AM7" s="62">
        <f t="shared" si="5"/>
        <v>149.48098796527543</v>
      </c>
      <c r="AN7" s="62">
        <f ca="1">AVERAGE(OFFSET($AM$3,0,0,'Données projet'!$E$10+1,1))-AVERAGE(OFFSET($H$3,0,0,'Données projet'!$E$10+1,1))</f>
        <v>468.39960552661171</v>
      </c>
      <c r="AO7" s="62">
        <f t="shared" si="36"/>
        <v>291.1952427029787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38.076700394060147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6.6</v>
      </c>
      <c r="BD7" s="13">
        <f>IF('Données projet'!$A$88&gt;35,BD6+BC7-BL6,IF(A7&lt;'Données projet'!$A$88,$BA$205^A7,IF(A7='Données projet'!$A$88,'Données projet'!$B$88,BD6+BC7-BL6)))</f>
        <v>2.655307280461467</v>
      </c>
      <c r="BE7" s="14">
        <f>BD7*VLOOKUP('Données projet'!$B$11,Paramètres!$A$1:$I$89,3,0)*VLOOKUP('Données projet'!$B$11,Paramètres!$A$1:$I$89,5,0)</f>
        <v>2.3196764402111376</v>
      </c>
      <c r="BF7" s="14">
        <f t="shared" si="37"/>
        <v>0.96926766711854973</v>
      </c>
      <c r="BG7" s="22">
        <f t="shared" si="7"/>
        <v>5.7282443202658717</v>
      </c>
      <c r="BH7" s="62">
        <f t="shared" si="8"/>
        <v>150.23170132070862</v>
      </c>
      <c r="BI7" s="62">
        <f ca="1">AVERAGE(OFFSET($BH$3,0,0,'Données projet'!$E$11+1,1))-AVERAGE(OFFSET($H$3,0,0,'Données projet'!$E$11+1,1))</f>
        <v>373.50005214669716</v>
      </c>
      <c r="BJ7" s="62">
        <f t="shared" si="38"/>
        <v>383.60460086643036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38.076700394060147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7.7692307692307692</v>
      </c>
      <c r="BY7" s="13">
        <f>IF('Données projet'!$A$114&gt;35,BY6+BX7-CG6,IF(A7&lt;'Données projet'!$A$114,$BV$205^A7,IF(A7='Données projet'!$A$114,'Données projet'!$B$114,BY6+BX7-CG6)))</f>
        <v>4.1372738562304461</v>
      </c>
      <c r="BZ7" s="14">
        <f>BY7*VLOOKUP('Données projet'!$B$12,Paramètres!$A$1:$I$89,3,0)*VLOOKUP('Données projet'!$B$12,Paramètres!$A$1:$I$89,5,0)</f>
        <v>2.474089766025807</v>
      </c>
      <c r="CA7" s="14">
        <f t="shared" si="39"/>
        <v>1.0260628389675426</v>
      </c>
      <c r="CB7" s="22">
        <f t="shared" si="10"/>
        <v>6.0960991203634167</v>
      </c>
      <c r="CC7" s="62">
        <f t="shared" si="11"/>
        <v>150.59955612080617</v>
      </c>
      <c r="CD7" s="62">
        <f ca="1">AVERAGE(OFFSET($CC$3,0,0,'Données projet'!$E$12+1,1))-AVERAGE(OFFSET($H$3,0,0,'Données projet'!$E$12+1,1))</f>
        <v>210.13237351083279</v>
      </c>
      <c r="CE7" s="62">
        <f t="shared" si="40"/>
        <v>423.06475179432277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38.076700394060147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3.65</v>
      </c>
      <c r="CT7" s="13">
        <f>IF('Données projet'!$A$140&gt;35,CT6+CS7-DB6,IF(A7&lt;'Données projet'!$A$140,$CQ$205^A7,IF(A7='Données projet'!$A$140,'Données projet'!$B$140,CT6+CS7-DB6)))</f>
        <v>2.3586558182407358</v>
      </c>
      <c r="CU7" s="18">
        <f>CT7*VLOOKUP('Données projet'!$B$13,Paramètres!$A$1:$I$89,3,0)*VLOOKUP('Données projet'!$B$13,Paramètres!$A$1:$I$89,5,0)</f>
        <v>2.1341117843442179</v>
      </c>
      <c r="CV7" s="14">
        <f t="shared" si="41"/>
        <v>0.90042667189585779</v>
      </c>
      <c r="CW7" s="22">
        <f t="shared" si="13"/>
        <v>5.2851544779514645</v>
      </c>
      <c r="CX7" s="62">
        <f t="shared" si="14"/>
        <v>149.78861147839422</v>
      </c>
      <c r="CY7" s="62">
        <f ca="1">AVERAGE(OFFSET($CX$3,0,0,'Données projet'!$E$13+1,1))-AVERAGE(OFFSET($H$3,0,0,'Données projet'!$E$13+1,1))</f>
        <v>493.89660144134291</v>
      </c>
      <c r="CZ7" s="62">
        <f t="shared" si="42"/>
        <v>312.97494624463229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38.076700394060147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7.7692307692307692</v>
      </c>
      <c r="DO7" s="13">
        <f>IF('Données projet'!$A$166&gt;35,DO6+DN7-DW6,IF(A7&lt;'Données projet'!$A$166,$DL$205^A7,IF(A7='Données projet'!$A$166,'Données projet'!$B$166,DO6+DN7-DW6)))</f>
        <v>4.1372738562304461</v>
      </c>
      <c r="DP7" s="18">
        <f>DO7*VLOOKUP('Données projet'!$B$14,Paramètres!$A$1:$I$89,3,0)*VLOOKUP('Données projet'!$B$14,Paramètres!$A$1:$I$89,5,0)</f>
        <v>2.474089766025807</v>
      </c>
      <c r="DQ7" s="14">
        <f t="shared" si="43"/>
        <v>1.0260628389675426</v>
      </c>
      <c r="DR7" s="22">
        <f t="shared" si="16"/>
        <v>6.0960991203634167</v>
      </c>
      <c r="DS7" s="62">
        <f t="shared" si="17"/>
        <v>150.59955612080617</v>
      </c>
      <c r="DT7" s="62">
        <f ca="1">AVERAGE(OFFSET($DS$3,0,0,'Données projet'!$E$14+1,1))-AVERAGE(OFFSET($H$3,0,0,'Données projet'!$E$14+1,1))</f>
        <v>210.13237351083279</v>
      </c>
      <c r="DU7" s="62">
        <f t="shared" si="44"/>
        <v>423.06475179432277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38.076700394060147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38.076700394060147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38.076700394060147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38.076700394060147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4.5049999999999999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16.518333333333334</v>
      </c>
      <c r="H8" s="70">
        <f t="shared" si="1"/>
        <v>147.64566666666667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38.630498272417256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7.4285714285714288</v>
      </c>
      <c r="N8" s="14">
        <f>IF('Données projet'!$A$36&gt;35,N7+M8-V7,IF(A8&lt;'Données projet'!$A$36,$K$205^A8,IF(A8='Données projet'!$A$36,'Données projet'!$B$36,N7+M8-V7)))</f>
        <v>37.142857142857146</v>
      </c>
      <c r="O8" s="14">
        <f>N8*VLOOKUP('Données projet'!$B$9,Paramètres!$A$1:$I$89,3,0)*VLOOKUP('Données projet'!$B$9,Paramètres!$A$1:$I$89,5,0)</f>
        <v>17.382857142857144</v>
      </c>
      <c r="P8" s="14">
        <f t="shared" si="33"/>
        <v>5.7454377392766407</v>
      </c>
      <c r="Q8" s="22">
        <f t="shared" si="2"/>
        <v>40.281780253049675</v>
      </c>
      <c r="R8" s="62">
        <f t="shared" si="0"/>
        <v>188.0380516963574</v>
      </c>
      <c r="S8" s="62">
        <f ca="1">AVERAGE(OFFSET($R$3,0,0,'Données projet'!$E$9+1,1))-AVERAGE(OFFSET($H$3,0,0,'Données projet'!$E$9+1,1))</f>
        <v>374.81775021423215</v>
      </c>
      <c r="T8" s="62">
        <f t="shared" si="34"/>
        <v>301.81248585467142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38.630498272417256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2.3784258958640736</v>
      </c>
      <c r="AK8" s="14">
        <f t="shared" si="35"/>
        <v>0.99092680697750823</v>
      </c>
      <c r="AL8" s="22">
        <f t="shared" si="4"/>
        <v>5.868289290782422</v>
      </c>
      <c r="AM8" s="62">
        <f t="shared" si="5"/>
        <v>153.62456073409015</v>
      </c>
      <c r="AN8" s="62">
        <f ca="1">AVERAGE(OFFSET($AM$3,0,0,'Données projet'!$E$10+1,1))-AVERAGE(OFFSET($H$3,0,0,'Données projet'!$E$10+1,1))</f>
        <v>468.39960552661171</v>
      </c>
      <c r="AO8" s="62">
        <f t="shared" si="36"/>
        <v>291.1952427029787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38.630498272417256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6.6</v>
      </c>
      <c r="BD8" s="13">
        <f>IF('Données projet'!$A$88&gt;35,BD7+BC8-BL7,IF(A8&lt;'Données projet'!$A$88,$BA$205^A8,IF(A8='Données projet'!$A$88,'Données projet'!$B$88,BD7+BC8-BL7)))</f>
        <v>3.3895612242701949</v>
      </c>
      <c r="BE8" s="14">
        <f>BD8*VLOOKUP('Données projet'!$B$11,Paramètres!$A$1:$I$89,3,0)*VLOOKUP('Données projet'!$B$11,Paramètres!$A$1:$I$89,5,0)</f>
        <v>2.9611206855224426</v>
      </c>
      <c r="BF8" s="14">
        <f t="shared" si="37"/>
        <v>1.2026262582604759</v>
      </c>
      <c r="BG8" s="22">
        <f t="shared" si="7"/>
        <v>7.2518592604219156</v>
      </c>
      <c r="BH8" s="62">
        <f t="shared" si="8"/>
        <v>155.00813070372965</v>
      </c>
      <c r="BI8" s="62">
        <f ca="1">AVERAGE(OFFSET($BH$3,0,0,'Données projet'!$E$11+1,1))-AVERAGE(OFFSET($H$3,0,0,'Données projet'!$E$11+1,1))</f>
        <v>373.50005214669716</v>
      </c>
      <c r="BJ8" s="62">
        <f t="shared" si="38"/>
        <v>383.60460086643036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38.630498272417256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7.7692307692307692</v>
      </c>
      <c r="BY8" s="13">
        <f>IF('Données projet'!$A$114&gt;35,BY7+BX8-CG7,IF(A8&lt;'Données projet'!$A$114,$BV$205^A8,IF(A8='Données projet'!$A$114,'Données projet'!$B$114,BY7+BX8-CG7)))</f>
        <v>5.9005546362134957</v>
      </c>
      <c r="BZ8" s="14">
        <f>BY8*VLOOKUP('Données projet'!$B$12,Paramètres!$A$1:$I$89,3,0)*VLOOKUP('Données projet'!$B$12,Paramètres!$A$1:$I$89,5,0)</f>
        <v>3.5285316724556708</v>
      </c>
      <c r="CA8" s="14">
        <f t="shared" si="39"/>
        <v>1.404126193348852</v>
      </c>
      <c r="CB8" s="22">
        <f t="shared" si="10"/>
        <v>8.5910457829428761</v>
      </c>
      <c r="CC8" s="62">
        <f t="shared" si="11"/>
        <v>156.3473172262506</v>
      </c>
      <c r="CD8" s="62">
        <f ca="1">AVERAGE(OFFSET($CC$3,0,0,'Données projet'!$E$12+1,1))-AVERAGE(OFFSET($H$3,0,0,'Données projet'!$E$12+1,1))</f>
        <v>210.13237351083279</v>
      </c>
      <c r="CE8" s="62">
        <f t="shared" si="40"/>
        <v>423.06475179432277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38.630498272417256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3.65</v>
      </c>
      <c r="CT8" s="13">
        <f>IF('Données projet'!$A$140&gt;35,CT7+CS8-DB7,IF(A8&lt;'Données projet'!$A$140,$CQ$205^A8,IF(A8='Données projet'!$A$140,'Données projet'!$B$140,CT7+CS8-DB7)))</f>
        <v>2.9230127856917649</v>
      </c>
      <c r="CU8" s="18">
        <f>CT8*VLOOKUP('Données projet'!$B$13,Paramètres!$A$1:$I$89,3,0)*VLOOKUP('Données projet'!$B$13,Paramètres!$A$1:$I$89,5,0)</f>
        <v>2.6447419684939089</v>
      </c>
      <c r="CV8" s="14">
        <f t="shared" si="41"/>
        <v>1.0883534414958294</v>
      </c>
      <c r="CW8" s="22">
        <f t="shared" si="13"/>
        <v>6.5018078390654601</v>
      </c>
      <c r="CX8" s="62">
        <f t="shared" si="14"/>
        <v>154.25807928237319</v>
      </c>
      <c r="CY8" s="62">
        <f ca="1">AVERAGE(OFFSET($CX$3,0,0,'Données projet'!$E$13+1,1))-AVERAGE(OFFSET($H$3,0,0,'Données projet'!$E$13+1,1))</f>
        <v>493.89660144134291</v>
      </c>
      <c r="CZ8" s="62">
        <f t="shared" si="42"/>
        <v>312.97494624463229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38.630498272417256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7.7692307692307692</v>
      </c>
      <c r="DO8" s="13">
        <f>IF('Données projet'!$A$166&gt;35,DO7+DN8-DW7,IF(A8&lt;'Données projet'!$A$166,$DL$205^A8,IF(A8='Données projet'!$A$166,'Données projet'!$B$166,DO7+DN8-DW7)))</f>
        <v>5.9005546362134957</v>
      </c>
      <c r="DP8" s="18">
        <f>DO8*VLOOKUP('Données projet'!$B$14,Paramètres!$A$1:$I$89,3,0)*VLOOKUP('Données projet'!$B$14,Paramètres!$A$1:$I$89,5,0)</f>
        <v>3.5285316724556708</v>
      </c>
      <c r="DQ8" s="14">
        <f t="shared" si="43"/>
        <v>1.404126193348852</v>
      </c>
      <c r="DR8" s="22">
        <f t="shared" si="16"/>
        <v>8.5910457829428761</v>
      </c>
      <c r="DS8" s="62">
        <f t="shared" si="17"/>
        <v>156.3473172262506</v>
      </c>
      <c r="DT8" s="62">
        <f ca="1">AVERAGE(OFFSET($DS$3,0,0,'Données projet'!$E$14+1,1))-AVERAGE(OFFSET($H$3,0,0,'Données projet'!$E$14+1,1))</f>
        <v>210.13237351083279</v>
      </c>
      <c r="DU8" s="62">
        <f t="shared" si="44"/>
        <v>423.06475179432277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38.630498272417256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38.630498272417256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38.630498272417256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38.630498272417256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4.5049999999999999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16.518333333333334</v>
      </c>
      <c r="H9" s="70">
        <f t="shared" si="1"/>
        <v>147.64566666666667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39.17468899569144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7.4285714285714288</v>
      </c>
      <c r="N9" s="14">
        <f>IF('Données projet'!$A$36&gt;35,N8+M9-V8,IF(A9&lt;'Données projet'!$A$36,$K$205^A9,IF(A9='Données projet'!$A$36,'Données projet'!$B$36,N8+M9-V8)))</f>
        <v>44.571428571428577</v>
      </c>
      <c r="O9" s="14">
        <f>N9*VLOOKUP('Données projet'!$B$9,Paramètres!$A$1:$I$89,3,0)*VLOOKUP('Données projet'!$B$9,Paramètres!$A$1:$I$89,5,0)</f>
        <v>20.859428571428573</v>
      </c>
      <c r="P9" s="14">
        <f t="shared" si="33"/>
        <v>6.7497497546188301</v>
      </c>
      <c r="Q9" s="22">
        <f t="shared" si="2"/>
        <v>48.085985584532558</v>
      </c>
      <c r="R9" s="62">
        <f t="shared" si="0"/>
        <v>199.05984523540116</v>
      </c>
      <c r="S9" s="62">
        <f ca="1">AVERAGE(OFFSET($R$3,0,0,'Données projet'!$E$9+1,1))-AVERAGE(OFFSET($H$3,0,0,'Données projet'!$E$9+1,1))</f>
        <v>374.81775021423215</v>
      </c>
      <c r="T9" s="62">
        <f t="shared" si="34"/>
        <v>301.81248585467142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39.17468899569144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2.8205899795060203</v>
      </c>
      <c r="AK9" s="14">
        <f t="shared" si="35"/>
        <v>1.1520529819039591</v>
      </c>
      <c r="AL9" s="22">
        <f t="shared" si="4"/>
        <v>6.919019824455714</v>
      </c>
      <c r="AM9" s="62">
        <f t="shared" si="5"/>
        <v>157.89287947532432</v>
      </c>
      <c r="AN9" s="62">
        <f ca="1">AVERAGE(OFFSET($AM$3,0,0,'Données projet'!$E$10+1,1))-AVERAGE(OFFSET($H$3,0,0,'Données projet'!$E$10+1,1))</f>
        <v>468.39960552661171</v>
      </c>
      <c r="AO9" s="62">
        <f t="shared" si="36"/>
        <v>291.1952427029787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39.17468899569144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6.6</v>
      </c>
      <c r="BD9" s="13">
        <f>IF('Données projet'!$A$88&gt;35,BD8+BC9-BL8,IF(A9&lt;'Données projet'!$A$88,$BA$205^A9,IF(A9='Données projet'!$A$88,'Données projet'!$B$88,BD8+BC9-BL8)))</f>
        <v>4.32685338439601</v>
      </c>
      <c r="BE9" s="14">
        <f>BD9*VLOOKUP('Données projet'!$B$11,Paramètres!$A$1:$I$89,3,0)*VLOOKUP('Données projet'!$B$11,Paramètres!$A$1:$I$89,5,0)</f>
        <v>3.7799391166083551</v>
      </c>
      <c r="BF9" s="14">
        <f t="shared" si="37"/>
        <v>1.4921677118944865</v>
      </c>
      <c r="BG9" s="22">
        <f t="shared" si="7"/>
        <v>9.1822527263091143</v>
      </c>
      <c r="BH9" s="62">
        <f t="shared" si="8"/>
        <v>160.15611237717772</v>
      </c>
      <c r="BI9" s="62">
        <f ca="1">AVERAGE(OFFSET($BH$3,0,0,'Données projet'!$E$11+1,1))-AVERAGE(OFFSET($H$3,0,0,'Données projet'!$E$11+1,1))</f>
        <v>373.50005214669716</v>
      </c>
      <c r="BJ9" s="62">
        <f t="shared" si="38"/>
        <v>383.60460086643036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39.17468899569144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7.7692307692307692</v>
      </c>
      <c r="BY9" s="13">
        <f>IF('Données projet'!$A$114&gt;35,BY8+BX9-CG8,IF(A9&lt;'Données projet'!$A$114,$BV$205^A9,IF(A9='Données projet'!$A$114,'Données projet'!$B$114,BY8+BX9-CG8)))</f>
        <v>8.4153348859199362</v>
      </c>
      <c r="BZ9" s="14">
        <f>BY9*VLOOKUP('Données projet'!$B$12,Paramètres!$A$1:$I$89,3,0)*VLOOKUP('Données projet'!$B$12,Paramètres!$A$1:$I$89,5,0)</f>
        <v>5.0323702617801223</v>
      </c>
      <c r="CA9" s="14">
        <f t="shared" si="39"/>
        <v>1.9214908599868947</v>
      </c>
      <c r="CB9" s="22">
        <f t="shared" si="10"/>
        <v>12.111308120410888</v>
      </c>
      <c r="CC9" s="62">
        <f t="shared" si="11"/>
        <v>163.08516777127949</v>
      </c>
      <c r="CD9" s="62">
        <f ca="1">AVERAGE(OFFSET($CC$3,0,0,'Données projet'!$E$12+1,1))-AVERAGE(OFFSET($H$3,0,0,'Données projet'!$E$12+1,1))</f>
        <v>210.13237351083279</v>
      </c>
      <c r="CE9" s="62">
        <f t="shared" si="40"/>
        <v>423.06475179432277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39.17468899569144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3.65</v>
      </c>
      <c r="CT9" s="13">
        <f>IF('Données projet'!$A$140&gt;35,CT8+CS9-DB8,IF(A9&lt;'Données projet'!$A$140,$CQ$205^A9,IF(A9='Données projet'!$A$140,'Données projet'!$B$140,CT8+CS9-DB8)))</f>
        <v>3.6224037772879885</v>
      </c>
      <c r="CU9" s="18">
        <f>CT9*VLOOKUP('Données projet'!$B$13,Paramètres!$A$1:$I$89,3,0)*VLOOKUP('Données projet'!$B$13,Paramètres!$A$1:$I$89,5,0)</f>
        <v>3.2775509376901719</v>
      </c>
      <c r="CV9" s="14">
        <f t="shared" si="41"/>
        <v>1.315502139804245</v>
      </c>
      <c r="CW9" s="22">
        <f t="shared" si="13"/>
        <v>7.9995674433027766</v>
      </c>
      <c r="CX9" s="62">
        <f t="shared" si="14"/>
        <v>158.97342709417137</v>
      </c>
      <c r="CY9" s="62">
        <f ca="1">AVERAGE(OFFSET($CX$3,0,0,'Données projet'!$E$13+1,1))-AVERAGE(OFFSET($H$3,0,0,'Données projet'!$E$13+1,1))</f>
        <v>493.89660144134291</v>
      </c>
      <c r="CZ9" s="62">
        <f t="shared" si="42"/>
        <v>312.97494624463229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39.17468899569144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7.7692307692307692</v>
      </c>
      <c r="DO9" s="13">
        <f>IF('Données projet'!$A$166&gt;35,DO8+DN9-DW8,IF(A9&lt;'Données projet'!$A$166,$DL$205^A9,IF(A9='Données projet'!$A$166,'Données projet'!$B$166,DO8+DN9-DW8)))</f>
        <v>8.4153348859199362</v>
      </c>
      <c r="DP9" s="18">
        <f>DO9*VLOOKUP('Données projet'!$B$14,Paramètres!$A$1:$I$89,3,0)*VLOOKUP('Données projet'!$B$14,Paramètres!$A$1:$I$89,5,0)</f>
        <v>5.0323702617801223</v>
      </c>
      <c r="DQ9" s="14">
        <f t="shared" si="43"/>
        <v>1.9214908599868947</v>
      </c>
      <c r="DR9" s="22">
        <f t="shared" si="16"/>
        <v>12.111308120410888</v>
      </c>
      <c r="DS9" s="62">
        <f t="shared" si="17"/>
        <v>163.08516777127949</v>
      </c>
      <c r="DT9" s="62">
        <f ca="1">AVERAGE(OFFSET($DS$3,0,0,'Données projet'!$E$14+1,1))-AVERAGE(OFFSET($H$3,0,0,'Données projet'!$E$14+1,1))</f>
        <v>210.13237351083279</v>
      </c>
      <c r="DU9" s="62">
        <f t="shared" si="44"/>
        <v>423.06475179432277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39.17468899569144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39.17468899569144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39.17468899569144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39.17468899569144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4.5049999999999999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16.518333333333334</v>
      </c>
      <c r="H10" s="70">
        <f t="shared" si="1"/>
        <v>147.64566666666667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39.709439226545008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7.4285714285714288</v>
      </c>
      <c r="N10" s="14">
        <f>IF('Données projet'!$A$36&gt;35,N9+M10-V9,IF(A10&lt;'Données projet'!$A$36,$K$205^A10,IF(A10='Données projet'!$A$36,'Données projet'!$B$36,N9+M10-V9)))</f>
        <v>52.000000000000007</v>
      </c>
      <c r="O10" s="14">
        <f>N10*VLOOKUP('Données projet'!$B$9,Paramètres!$A$1:$I$89,3,0)*VLOOKUP('Données projet'!$B$9,Paramètres!$A$1:$I$89,5,0)</f>
        <v>24.336000000000006</v>
      </c>
      <c r="P10" s="14">
        <f t="shared" si="33"/>
        <v>7.7346711726299802</v>
      </c>
      <c r="Q10" s="22">
        <f t="shared" si="2"/>
        <v>55.856418958997217</v>
      </c>
      <c r="R10" s="62">
        <f t="shared" si="0"/>
        <v>210.01325167855114</v>
      </c>
      <c r="S10" s="62">
        <f ca="1">AVERAGE(OFFSET($R$3,0,0,'Données projet'!$E$9+1,1))-AVERAGE(OFFSET($H$3,0,0,'Données projet'!$E$9+1,1))</f>
        <v>374.81775021423215</v>
      </c>
      <c r="T10" s="62">
        <f t="shared" si="34"/>
        <v>301.81248585467142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39.709439226545008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3.3449551009027689</v>
      </c>
      <c r="AK10" s="14">
        <f t="shared" si="35"/>
        <v>1.3393785128914457</v>
      </c>
      <c r="AL10" s="22">
        <f t="shared" si="4"/>
        <v>8.1585477106915896</v>
      </c>
      <c r="AM10" s="62">
        <f t="shared" si="5"/>
        <v>162.31538043024551</v>
      </c>
      <c r="AN10" s="62">
        <f ca="1">AVERAGE(OFFSET($AM$3,0,0,'Données projet'!$E$10+1,1))-AVERAGE(OFFSET($H$3,0,0,'Données projet'!$E$10+1,1))</f>
        <v>468.39960552661171</v>
      </c>
      <c r="AO10" s="62">
        <f t="shared" si="36"/>
        <v>291.1952427029787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39.709439226545008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6.6</v>
      </c>
      <c r="BD10" s="13">
        <f>IF('Données projet'!$A$88&gt;35,BD9+BC10-BL9,IF(A10&lt;'Données projet'!$A$88,$BA$205^A10,IF(A10='Données projet'!$A$88,'Données projet'!$B$88,BD9+BC10-BL9)))</f>
        <v>5.5233285287803451</v>
      </c>
      <c r="BE10" s="14">
        <f>BD10*VLOOKUP('Données projet'!$B$11,Paramètres!$A$1:$I$89,3,0)*VLOOKUP('Données projet'!$B$11,Paramètres!$A$1:$I$89,5,0)</f>
        <v>4.8251798027425101</v>
      </c>
      <c r="BF10" s="14">
        <f t="shared" si="37"/>
        <v>1.8514184811173284</v>
      </c>
      <c r="BG10" s="22">
        <f t="shared" si="7"/>
        <v>11.628408677722552</v>
      </c>
      <c r="BH10" s="62">
        <f t="shared" si="8"/>
        <v>165.78524139727648</v>
      </c>
      <c r="BI10" s="62">
        <f ca="1">AVERAGE(OFFSET($BH$3,0,0,'Données projet'!$E$11+1,1))-AVERAGE(OFFSET($H$3,0,0,'Données projet'!$E$11+1,1))</f>
        <v>373.50005214669716</v>
      </c>
      <c r="BJ10" s="62">
        <f t="shared" si="38"/>
        <v>383.60460086643036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39.709439226545008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7.7692307692307692</v>
      </c>
      <c r="BY10" s="13">
        <f>IF('Données projet'!$A$114&gt;35,BY9+BX10-CG9,IF(A10&lt;'Données projet'!$A$114,$BV$205^A10,IF(A10='Données projet'!$A$114,'Données projet'!$B$114,BY9+BX10-CG9)))</f>
        <v>12.001899077003776</v>
      </c>
      <c r="BZ10" s="14">
        <f>BY10*VLOOKUP('Données projet'!$B$12,Paramètres!$A$1:$I$89,3,0)*VLOOKUP('Données projet'!$B$12,Paramètres!$A$1:$I$89,5,0)</f>
        <v>7.1771356480482584</v>
      </c>
      <c r="CA10" s="14">
        <f t="shared" si="39"/>
        <v>2.6294838330787229</v>
      </c>
      <c r="CB10" s="22">
        <f t="shared" si="10"/>
        <v>17.079862262962827</v>
      </c>
      <c r="CC10" s="62">
        <f t="shared" si="11"/>
        <v>171.23669498251675</v>
      </c>
      <c r="CD10" s="62">
        <f ca="1">AVERAGE(OFFSET($CC$3,0,0,'Données projet'!$E$12+1,1))-AVERAGE(OFFSET($H$3,0,0,'Données projet'!$E$12+1,1))</f>
        <v>210.13237351083279</v>
      </c>
      <c r="CE10" s="62">
        <f t="shared" si="40"/>
        <v>423.06475179432277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39.709439226545008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3.65</v>
      </c>
      <c r="CT10" s="13">
        <f>IF('Données projet'!$A$140&gt;35,CT9+CS10-DB9,IF(A10&lt;'Données projet'!$A$140,$CQ$205^A10,IF(A10='Données projet'!$A$140,'Données projet'!$B$140,CT9+CS10-DB9)))</f>
        <v>4.4891384635544309</v>
      </c>
      <c r="CU10" s="18">
        <f>CT10*VLOOKUP('Données projet'!$B$13,Paramètres!$A$1:$I$89,3,0)*VLOOKUP('Données projet'!$B$13,Paramètres!$A$1:$I$89,5,0)</f>
        <v>4.0617724818240486</v>
      </c>
      <c r="CV10" s="14">
        <f t="shared" si="41"/>
        <v>1.590058719758437</v>
      </c>
      <c r="CW10" s="22">
        <f t="shared" si="13"/>
        <v>9.8436060094228282</v>
      </c>
      <c r="CX10" s="62">
        <f t="shared" si="14"/>
        <v>164.00043872897675</v>
      </c>
      <c r="CY10" s="62">
        <f ca="1">AVERAGE(OFFSET($CX$3,0,0,'Données projet'!$E$13+1,1))-AVERAGE(OFFSET($H$3,0,0,'Données projet'!$E$13+1,1))</f>
        <v>493.89660144134291</v>
      </c>
      <c r="CZ10" s="62">
        <f t="shared" si="42"/>
        <v>312.97494624463229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39.709439226545008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7.7692307692307692</v>
      </c>
      <c r="DO10" s="13">
        <f>IF('Données projet'!$A$166&gt;35,DO9+DN10-DW9,IF(A10&lt;'Données projet'!$A$166,$DL$205^A10,IF(A10='Données projet'!$A$166,'Données projet'!$B$166,DO9+DN10-DW9)))</f>
        <v>12.001899077003776</v>
      </c>
      <c r="DP10" s="18">
        <f>DO10*VLOOKUP('Données projet'!$B$14,Paramètres!$A$1:$I$89,3,0)*VLOOKUP('Données projet'!$B$14,Paramètres!$A$1:$I$89,5,0)</f>
        <v>7.1771356480482584</v>
      </c>
      <c r="DQ10" s="14">
        <f t="shared" si="43"/>
        <v>2.6294838330787229</v>
      </c>
      <c r="DR10" s="22">
        <f t="shared" si="16"/>
        <v>17.079862262962827</v>
      </c>
      <c r="DS10" s="62">
        <f t="shared" si="17"/>
        <v>171.23669498251675</v>
      </c>
      <c r="DT10" s="62">
        <f ca="1">AVERAGE(OFFSET($DS$3,0,0,'Données projet'!$E$14+1,1))-AVERAGE(OFFSET($H$3,0,0,'Données projet'!$E$14+1,1))</f>
        <v>210.13237351083279</v>
      </c>
      <c r="DU10" s="62">
        <f t="shared" si="44"/>
        <v>423.06475179432277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39.709439226545008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39.709439226545008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39.709439226545008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39.709439226545008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4.5049999999999999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16.518333333333334</v>
      </c>
      <c r="H11" s="70">
        <f t="shared" si="1"/>
        <v>147.64566666666667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40.23491273641568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7.4285714285714288</v>
      </c>
      <c r="N11" s="14">
        <f>IF('Données projet'!$A$36&gt;35,N10+M11-V10,IF(A11&lt;'Données projet'!$A$36,$K$205^A11,IF(A11='Données projet'!$A$36,'Données projet'!$B$36,N10+M11-V10)))</f>
        <v>59.428571428571438</v>
      </c>
      <c r="O11" s="14">
        <f>N11*VLOOKUP('Données projet'!$B$9,Paramètres!$A$1:$I$89,3,0)*VLOOKUP('Données projet'!$B$9,Paramètres!$A$1:$I$89,5,0)</f>
        <v>27.812571428571431</v>
      </c>
      <c r="P11" s="14">
        <f t="shared" si="33"/>
        <v>8.7032916965371374</v>
      </c>
      <c r="Q11" s="22">
        <f t="shared" si="2"/>
        <v>63.598461609564083</v>
      </c>
      <c r="R11" s="62">
        <f t="shared" si="0"/>
        <v>220.90425275419935</v>
      </c>
      <c r="S11" s="62">
        <f ca="1">AVERAGE(OFFSET($R$3,0,0,'Données projet'!$E$9+1,1))-AVERAGE(OFFSET($H$3,0,0,'Données projet'!$E$9+1,1))</f>
        <v>374.81775021423215</v>
      </c>
      <c r="T11" s="62">
        <f t="shared" si="34"/>
        <v>301.81248585467142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40.23491273641568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3.9668029413530626</v>
      </c>
      <c r="AK11" s="14">
        <f t="shared" si="35"/>
        <v>1.5571634542627768</v>
      </c>
      <c r="AL11" s="22">
        <f t="shared" si="4"/>
        <v>9.6209081390309201</v>
      </c>
      <c r="AM11" s="62">
        <f t="shared" si="5"/>
        <v>166.92669928366618</v>
      </c>
      <c r="AN11" s="62">
        <f ca="1">AVERAGE(OFFSET($AM$3,0,0,'Données projet'!$E$10+1,1))-AVERAGE(OFFSET($H$3,0,0,'Données projet'!$E$10+1,1))</f>
        <v>468.39960552661171</v>
      </c>
      <c r="AO11" s="62">
        <f t="shared" si="36"/>
        <v>291.1952427029787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40.23491273641568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6.6</v>
      </c>
      <c r="BD11" s="13">
        <f>IF('Données projet'!$A$88&gt;35,BD10+BC11-BL10,IF(A11&lt;'Données projet'!$A$88,$BA$205^A11,IF(A11='Données projet'!$A$88,'Données projet'!$B$88,BD10+BC11-BL10)))</f>
        <v>7.0506567536716718</v>
      </c>
      <c r="BE11" s="14">
        <f>BD11*VLOOKUP('Données projet'!$B$11,Paramètres!$A$1:$I$89,3,0)*VLOOKUP('Données projet'!$B$11,Paramètres!$A$1:$I$89,5,0)</f>
        <v>6.1594537400075735</v>
      </c>
      <c r="BF11" s="14">
        <f t="shared" si="37"/>
        <v>2.2971616158822084</v>
      </c>
      <c r="BG11" s="22">
        <f t="shared" si="7"/>
        <v>14.728605078174702</v>
      </c>
      <c r="BH11" s="62">
        <f t="shared" si="8"/>
        <v>172.03439622280996</v>
      </c>
      <c r="BI11" s="62">
        <f ca="1">AVERAGE(OFFSET($BH$3,0,0,'Données projet'!$E$11+1,1))-AVERAGE(OFFSET($H$3,0,0,'Données projet'!$E$11+1,1))</f>
        <v>373.50005214669716</v>
      </c>
      <c r="BJ11" s="62">
        <f t="shared" si="38"/>
        <v>383.60460086643036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40.23491273641568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7.7692307692307692</v>
      </c>
      <c r="BY11" s="13">
        <f>IF('Données projet'!$A$114&gt;35,BY10+BX11-CG10,IF(A11&lt;'Données projet'!$A$114,$BV$205^A11,IF(A11='Données projet'!$A$114,'Données projet'!$B$114,BY10+BX11-CG10)))</f>
        <v>17.117034961447946</v>
      </c>
      <c r="BZ11" s="14">
        <f>BY11*VLOOKUP('Données projet'!$B$12,Paramètres!$A$1:$I$89,3,0)*VLOOKUP('Données projet'!$B$12,Paramètres!$A$1:$I$89,5,0)</f>
        <v>10.235986906945872</v>
      </c>
      <c r="CA11" s="14">
        <f t="shared" si="39"/>
        <v>3.5983440631455994</v>
      </c>
      <c r="CB11" s="22">
        <f t="shared" si="10"/>
        <v>24.094793106242644</v>
      </c>
      <c r="CC11" s="62">
        <f t="shared" si="11"/>
        <v>181.4005842508779</v>
      </c>
      <c r="CD11" s="62">
        <f ca="1">AVERAGE(OFFSET($CC$3,0,0,'Données projet'!$E$12+1,1))-AVERAGE(OFFSET($H$3,0,0,'Données projet'!$E$12+1,1))</f>
        <v>210.13237351083279</v>
      </c>
      <c r="CE11" s="62">
        <f t="shared" si="40"/>
        <v>423.06475179432277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40.23491273641568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3.65</v>
      </c>
      <c r="CT11" s="13">
        <f>IF('Données projet'!$A$140&gt;35,CT10+CS11-DB10,IF(A11&lt;'Données projet'!$A$140,$CQ$205^A11,IF(A11='Données projet'!$A$140,'Données projet'!$B$140,CT10+CS11-DB10)))</f>
        <v>5.563257268920875</v>
      </c>
      <c r="CU11" s="18">
        <f>CT11*VLOOKUP('Données projet'!$B$13,Paramètres!$A$1:$I$89,3,0)*VLOOKUP('Données projet'!$B$13,Paramètres!$A$1:$I$89,5,0)</f>
        <v>5.0336351769196082</v>
      </c>
      <c r="CV11" s="14">
        <f t="shared" si="41"/>
        <v>1.9219176128866391</v>
      </c>
      <c r="CW11" s="22">
        <f t="shared" si="13"/>
        <v>12.11425444224588</v>
      </c>
      <c r="CX11" s="62">
        <f t="shared" si="14"/>
        <v>169.42004558688114</v>
      </c>
      <c r="CY11" s="62">
        <f ca="1">AVERAGE(OFFSET($CX$3,0,0,'Données projet'!$E$13+1,1))-AVERAGE(OFFSET($H$3,0,0,'Données projet'!$E$13+1,1))</f>
        <v>493.89660144134291</v>
      </c>
      <c r="CZ11" s="62">
        <f t="shared" si="42"/>
        <v>312.97494624463229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40.23491273641568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7.7692307692307692</v>
      </c>
      <c r="DO11" s="13">
        <f>IF('Données projet'!$A$166&gt;35,DO10+DN11-DW10,IF(A11&lt;'Données projet'!$A$166,$DL$205^A11,IF(A11='Données projet'!$A$166,'Données projet'!$B$166,DO10+DN11-DW10)))</f>
        <v>17.117034961447946</v>
      </c>
      <c r="DP11" s="18">
        <f>DO11*VLOOKUP('Données projet'!$B$14,Paramètres!$A$1:$I$89,3,0)*VLOOKUP('Données projet'!$B$14,Paramètres!$A$1:$I$89,5,0)</f>
        <v>10.235986906945872</v>
      </c>
      <c r="DQ11" s="14">
        <f t="shared" si="43"/>
        <v>3.5983440631455994</v>
      </c>
      <c r="DR11" s="22">
        <f t="shared" si="16"/>
        <v>24.094793106242644</v>
      </c>
      <c r="DS11" s="62">
        <f t="shared" si="17"/>
        <v>181.4005842508779</v>
      </c>
      <c r="DT11" s="62">
        <f ca="1">AVERAGE(OFFSET($DS$3,0,0,'Données projet'!$E$14+1,1))-AVERAGE(OFFSET($H$3,0,0,'Données projet'!$E$14+1,1))</f>
        <v>210.13237351083279</v>
      </c>
      <c r="DU11" s="62">
        <f t="shared" si="44"/>
        <v>423.06475179432277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40.23491273641568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40.23491273641568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40.23491273641568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40.23491273641568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4.5049999999999999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16.518333333333334</v>
      </c>
      <c r="H12" s="70">
        <f t="shared" si="1"/>
        <v>147.64566666666667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40.751270455672874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7.4285714285714288</v>
      </c>
      <c r="N12" s="14">
        <f>IF('Données projet'!$A$36&gt;35,N11+M12-V11,IF(A12&lt;'Données projet'!$A$36,$K$205^A12,IF(A12='Données projet'!$A$36,'Données projet'!$B$36,N11+M12-V11)))</f>
        <v>66.857142857142861</v>
      </c>
      <c r="O12" s="14">
        <f>N12*VLOOKUP('Données projet'!$B$9,Paramètres!$A$1:$I$89,3,0)*VLOOKUP('Données projet'!$B$9,Paramètres!$A$1:$I$89,5,0)</f>
        <v>31.289142857142856</v>
      </c>
      <c r="P12" s="14">
        <f t="shared" si="33"/>
        <v>9.6578822975163625</v>
      </c>
      <c r="Q12" s="22">
        <f t="shared" si="2"/>
        <v>71.316068811031457</v>
      </c>
      <c r="R12" s="62">
        <f t="shared" si="0"/>
        <v>231.73739381516532</v>
      </c>
      <c r="S12" s="62">
        <f ca="1">AVERAGE(OFFSET($R$3,0,0,'Données projet'!$E$9+1,1))-AVERAGE(OFFSET($H$3,0,0,'Données projet'!$E$9+1,1))</f>
        <v>374.81775021423215</v>
      </c>
      <c r="T12" s="62">
        <f t="shared" si="34"/>
        <v>301.81248585467142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40.751270455672874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4.7042561412200872</v>
      </c>
      <c r="AK12" s="14">
        <f t="shared" si="35"/>
        <v>1.8103605515195429</v>
      </c>
      <c r="AL12" s="22">
        <f t="shared" si="4"/>
        <v>11.346290739854856</v>
      </c>
      <c r="AM12" s="62">
        <f t="shared" si="5"/>
        <v>171.76761574398873</v>
      </c>
      <c r="AN12" s="62">
        <f ca="1">AVERAGE(OFFSET($AM$3,0,0,'Données projet'!$E$10+1,1))-AVERAGE(OFFSET($H$3,0,0,'Données projet'!$E$10+1,1))</f>
        <v>468.39960552661171</v>
      </c>
      <c r="AO12" s="62">
        <f t="shared" si="36"/>
        <v>291.1952427029787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40.751270455672874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6.6</v>
      </c>
      <c r="BD12" s="13">
        <f>IF('Données projet'!$A$88&gt;35,BD11+BC12-BL11,IF(A12&lt;'Données projet'!$A$88,$BA$205^A12,IF(A12='Données projet'!$A$88,'Données projet'!$B$88,BD11+BC12-BL11)))</f>
        <v>9.0003265963745314</v>
      </c>
      <c r="BE12" s="14">
        <f>BD12*VLOOKUP('Données projet'!$B$11,Paramètres!$A$1:$I$89,3,0)*VLOOKUP('Données projet'!$B$11,Paramètres!$A$1:$I$89,5,0)</f>
        <v>7.8626853145927917</v>
      </c>
      <c r="BF12" s="14">
        <f t="shared" si="37"/>
        <v>2.8502208135558442</v>
      </c>
      <c r="BG12" s="22">
        <f t="shared" si="7"/>
        <v>18.658311506525539</v>
      </c>
      <c r="BH12" s="62">
        <f t="shared" si="8"/>
        <v>179.07963651065941</v>
      </c>
      <c r="BI12" s="62">
        <f ca="1">AVERAGE(OFFSET($BH$3,0,0,'Données projet'!$E$11+1,1))-AVERAGE(OFFSET($H$3,0,0,'Données projet'!$E$11+1,1))</f>
        <v>373.50005214669716</v>
      </c>
      <c r="BJ12" s="62">
        <f t="shared" si="38"/>
        <v>383.60460086643036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40.751270455672874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7.7692307692307692</v>
      </c>
      <c r="BY12" s="13">
        <f>IF('Données projet'!$A$114&gt;35,BY11+BX12-CG11,IF(A12&lt;'Données projet'!$A$114,$BV$205^A12,IF(A12='Données projet'!$A$114,'Données projet'!$B$114,BY11+BX12-CG11)))</f>
        <v>24.412210433665443</v>
      </c>
      <c r="BZ12" s="14">
        <f>BY12*VLOOKUP('Données projet'!$B$12,Paramètres!$A$1:$I$89,3,0)*VLOOKUP('Données projet'!$B$12,Paramètres!$A$1:$I$89,5,0)</f>
        <v>14.598501839331936</v>
      </c>
      <c r="CA12" s="14">
        <f t="shared" si="39"/>
        <v>4.9241907608973428</v>
      </c>
      <c r="CB12" s="22">
        <f t="shared" si="10"/>
        <v>34.002022945399325</v>
      </c>
      <c r="CC12" s="62">
        <f t="shared" si="11"/>
        <v>194.42334794953319</v>
      </c>
      <c r="CD12" s="62">
        <f ca="1">AVERAGE(OFFSET($CC$3,0,0,'Données projet'!$E$12+1,1))-AVERAGE(OFFSET($H$3,0,0,'Données projet'!$E$12+1,1))</f>
        <v>210.13237351083279</v>
      </c>
      <c r="CE12" s="62">
        <f t="shared" si="40"/>
        <v>423.06475179432277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40.751270455672874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3.65</v>
      </c>
      <c r="CT12" s="13">
        <f>IF('Données projet'!$A$140&gt;35,CT11+CS12-DB11,IF(A12&lt;'Données projet'!$A$140,$CQ$205^A12,IF(A12='Données projet'!$A$140,'Données projet'!$B$140,CT11+CS12-DB11)))</f>
        <v>6.8943811137639424</v>
      </c>
      <c r="CU12" s="18">
        <f>CT12*VLOOKUP('Données projet'!$B$13,Paramètres!$A$1:$I$89,3,0)*VLOOKUP('Données projet'!$B$13,Paramètres!$A$1:$I$89,5,0)</f>
        <v>6.2380360317336141</v>
      </c>
      <c r="CV12" s="14">
        <f t="shared" si="41"/>
        <v>2.3230383034439352</v>
      </c>
      <c r="CW12" s="22">
        <f t="shared" si="13"/>
        <v>14.910537800434229</v>
      </c>
      <c r="CX12" s="62">
        <f t="shared" si="14"/>
        <v>175.33186280456812</v>
      </c>
      <c r="CY12" s="62">
        <f ca="1">AVERAGE(OFFSET($CX$3,0,0,'Données projet'!$E$13+1,1))-AVERAGE(OFFSET($H$3,0,0,'Données projet'!$E$13+1,1))</f>
        <v>493.89660144134291</v>
      </c>
      <c r="CZ12" s="62">
        <f t="shared" si="42"/>
        <v>312.97494624463229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40.751270455672874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7.7692307692307692</v>
      </c>
      <c r="DO12" s="13">
        <f>IF('Données projet'!$A$166&gt;35,DO11+DN12-DW11,IF(A12&lt;'Données projet'!$A$166,$DL$205^A12,IF(A12='Données projet'!$A$166,'Données projet'!$B$166,DO11+DN12-DW11)))</f>
        <v>24.412210433665443</v>
      </c>
      <c r="DP12" s="18">
        <f>DO12*VLOOKUP('Données projet'!$B$14,Paramètres!$A$1:$I$89,3,0)*VLOOKUP('Données projet'!$B$14,Paramètres!$A$1:$I$89,5,0)</f>
        <v>14.598501839331936</v>
      </c>
      <c r="DQ12" s="14">
        <f t="shared" si="43"/>
        <v>4.9241907608973428</v>
      </c>
      <c r="DR12" s="22">
        <f t="shared" si="16"/>
        <v>34.002022945399325</v>
      </c>
      <c r="DS12" s="62">
        <f t="shared" si="17"/>
        <v>194.42334794953319</v>
      </c>
      <c r="DT12" s="62">
        <f ca="1">AVERAGE(OFFSET($DS$3,0,0,'Données projet'!$E$14+1,1))-AVERAGE(OFFSET($H$3,0,0,'Données projet'!$E$14+1,1))</f>
        <v>210.13237351083279</v>
      </c>
      <c r="DU12" s="62">
        <f t="shared" si="44"/>
        <v>423.06475179432277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40.751270455672874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40.751270455672874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40.751270455672874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40.751270455672874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4.5049999999999999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16.518333333333334</v>
      </c>
      <c r="H13" s="70">
        <f t="shared" si="1"/>
        <v>147.64566666666667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41.258670522903877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7.4285714285714288</v>
      </c>
      <c r="N13" s="14">
        <f>IF('Données projet'!$A$36&gt;35,N12+M13-V12,IF(A13&lt;'Données projet'!$A$36,$K$205^A13,IF(A13='Données projet'!$A$36,'Données projet'!$B$36,N12+M13-V12)))</f>
        <v>74.285714285714292</v>
      </c>
      <c r="O13" s="14">
        <f>N13*VLOOKUP('Données projet'!$B$9,Paramètres!$A$1:$I$89,3,0)*VLOOKUP('Données projet'!$B$9,Paramètres!$A$1:$I$89,5,0)</f>
        <v>34.765714285714289</v>
      </c>
      <c r="P13" s="14">
        <f t="shared" si="33"/>
        <v>10.600179680522348</v>
      </c>
      <c r="Q13" s="22">
        <f t="shared" si="2"/>
        <v>79.012265324528812</v>
      </c>
      <c r="R13" s="62">
        <f t="shared" si="0"/>
        <v>242.51627946406526</v>
      </c>
      <c r="S13" s="62">
        <f ca="1">AVERAGE(OFFSET($R$3,0,0,'Données projet'!$E$9+1,1))-AVERAGE(OFFSET($H$3,0,0,'Données projet'!$E$9+1,1))</f>
        <v>374.81775021423215</v>
      </c>
      <c r="T13" s="62">
        <f t="shared" si="34"/>
        <v>301.81248585467142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41.258670522903877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5.5788064517917366</v>
      </c>
      <c r="AK13" s="14">
        <f t="shared" si="35"/>
        <v>2.1047278739596393</v>
      </c>
      <c r="AL13" s="22">
        <f t="shared" si="4"/>
        <v>13.382155617350314</v>
      </c>
      <c r="AM13" s="62">
        <f t="shared" si="5"/>
        <v>176.88616975688677</v>
      </c>
      <c r="AN13" s="62">
        <f ca="1">AVERAGE(OFFSET($AM$3,0,0,'Données projet'!$E$10+1,1))-AVERAGE(OFFSET($H$3,0,0,'Données projet'!$E$10+1,1))</f>
        <v>468.39960552661171</v>
      </c>
      <c r="AO13" s="62">
        <f t="shared" si="36"/>
        <v>291.1952427029787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41.258670522903877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6.6</v>
      </c>
      <c r="BD13" s="13">
        <f>IF('Données projet'!$A$88&gt;35,BD12+BC13-BL12,IF(A13&lt;'Données projet'!$A$88,$BA$205^A13,IF(A13='Données projet'!$A$88,'Données projet'!$B$88,BD12+BC13-BL12)))</f>
        <v>11.489125293076063</v>
      </c>
      <c r="BE13" s="14">
        <f>BD13*VLOOKUP('Données projet'!$B$11,Paramètres!$A$1:$I$89,3,0)*VLOOKUP('Données projet'!$B$11,Paramètres!$A$1:$I$89,5,0)</f>
        <v>10.036899856031249</v>
      </c>
      <c r="BF13" s="14">
        <f t="shared" si="37"/>
        <v>3.5364332356333024</v>
      </c>
      <c r="BG13" s="22">
        <f t="shared" si="7"/>
        <v>23.640221801315761</v>
      </c>
      <c r="BH13" s="62">
        <f t="shared" si="8"/>
        <v>187.14423594085221</v>
      </c>
      <c r="BI13" s="62">
        <f ca="1">AVERAGE(OFFSET($BH$3,0,0,'Données projet'!$E$11+1,1))-AVERAGE(OFFSET($H$3,0,0,'Données projet'!$E$11+1,1))</f>
        <v>373.50005214669716</v>
      </c>
      <c r="BJ13" s="62">
        <f t="shared" si="38"/>
        <v>383.60460086643036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41.258670522903877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7.7692307692307692</v>
      </c>
      <c r="BY13" s="13">
        <f>IF('Données projet'!$A$114&gt;35,BY12+BX13-CG12,IF(A13&lt;'Données projet'!$A$114,$BV$205^A13,IF(A13='Données projet'!$A$114,'Données projet'!$B$114,BY12+BX13-CG12)))</f>
        <v>34.816545014940573</v>
      </c>
      <c r="BZ13" s="14">
        <f>BY13*VLOOKUP('Données projet'!$B$12,Paramètres!$A$1:$I$89,3,0)*VLOOKUP('Données projet'!$B$12,Paramètres!$A$1:$I$89,5,0)</f>
        <v>20.820293918934464</v>
      </c>
      <c r="CA13" s="14">
        <f t="shared" si="39"/>
        <v>6.7385592439734481</v>
      </c>
      <c r="CB13" s="22">
        <f t="shared" si="10"/>
        <v>47.998335925397946</v>
      </c>
      <c r="CC13" s="62">
        <f t="shared" si="11"/>
        <v>211.5023500649344</v>
      </c>
      <c r="CD13" s="62">
        <f ca="1">AVERAGE(OFFSET($CC$3,0,0,'Données projet'!$E$12+1,1))-AVERAGE(OFFSET($H$3,0,0,'Données projet'!$E$12+1,1))</f>
        <v>210.13237351083279</v>
      </c>
      <c r="CE13" s="62">
        <f t="shared" si="40"/>
        <v>423.06475179432277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41.258670522903877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3.65</v>
      </c>
      <c r="CT13" s="13">
        <f>IF('Données projet'!$A$140&gt;35,CT12+CS13-DB12,IF(A13&lt;'Données projet'!$A$140,$CQ$205^A13,IF(A13='Données projet'!$A$140,'Données projet'!$B$140,CT12+CS13-DB12)))</f>
        <v>8.5440037453175322</v>
      </c>
      <c r="CU13" s="18">
        <f>CT13*VLOOKUP('Données projet'!$B$13,Paramètres!$A$1:$I$89,3,0)*VLOOKUP('Données projet'!$B$13,Paramètres!$A$1:$I$89,5,0)</f>
        <v>7.7306145887633031</v>
      </c>
      <c r="CV13" s="14">
        <f t="shared" si="41"/>
        <v>2.8078763226288115</v>
      </c>
      <c r="CW13" s="22">
        <f t="shared" si="13"/>
        <v>18.354538337341264</v>
      </c>
      <c r="CX13" s="62">
        <f t="shared" si="14"/>
        <v>181.85855247687772</v>
      </c>
      <c r="CY13" s="62">
        <f ca="1">AVERAGE(OFFSET($CX$3,0,0,'Données projet'!$E$13+1,1))-AVERAGE(OFFSET($H$3,0,0,'Données projet'!$E$13+1,1))</f>
        <v>493.89660144134291</v>
      </c>
      <c r="CZ13" s="62">
        <f t="shared" si="42"/>
        <v>312.97494624463229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41.258670522903877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7.7692307692307692</v>
      </c>
      <c r="DO13" s="13">
        <f>IF('Données projet'!$A$166&gt;35,DO12+DN13-DW12,IF(A13&lt;'Données projet'!$A$166,$DL$205^A13,IF(A13='Données projet'!$A$166,'Données projet'!$B$166,DO12+DN13-DW12)))</f>
        <v>34.816545014940573</v>
      </c>
      <c r="DP13" s="18">
        <f>DO13*VLOOKUP('Données projet'!$B$14,Paramètres!$A$1:$I$89,3,0)*VLOOKUP('Données projet'!$B$14,Paramètres!$A$1:$I$89,5,0)</f>
        <v>20.820293918934464</v>
      </c>
      <c r="DQ13" s="14">
        <f t="shared" si="43"/>
        <v>6.7385592439734481</v>
      </c>
      <c r="DR13" s="22">
        <f t="shared" si="16"/>
        <v>47.998335925397946</v>
      </c>
      <c r="DS13" s="62">
        <f t="shared" si="17"/>
        <v>211.5023500649344</v>
      </c>
      <c r="DT13" s="62">
        <f ca="1">AVERAGE(OFFSET($DS$3,0,0,'Données projet'!$E$14+1,1))-AVERAGE(OFFSET($H$3,0,0,'Données projet'!$E$14+1,1))</f>
        <v>210.13237351083279</v>
      </c>
      <c r="DU13" s="62">
        <f t="shared" si="44"/>
        <v>423.06475179432277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41.258670522903877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41.258670522903877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41.258670522903877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41.258670522903877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4.5049999999999999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16.518333333333334</v>
      </c>
      <c r="H14" s="70">
        <f t="shared" si="1"/>
        <v>147.64566666666667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41.757268333345024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7.4285714285714288</v>
      </c>
      <c r="N14" s="14">
        <f>IF('Données projet'!$A$36&gt;35,N13+M14-V13,IF(A14&lt;'Données projet'!$A$36,$K$205^A14,IF(A14='Données projet'!$A$36,'Données projet'!$B$36,N13+M14-V13)))</f>
        <v>81.714285714285722</v>
      </c>
      <c r="O14" s="14">
        <f>N14*VLOOKUP('Données projet'!$B$9,Paramètres!$A$1:$I$89,3,0)*VLOOKUP('Données projet'!$B$9,Paramètres!$A$1:$I$89,5,0)</f>
        <v>38.242285714285721</v>
      </c>
      <c r="P14" s="14">
        <f t="shared" si="33"/>
        <v>11.531553109824037</v>
      </c>
      <c r="Q14" s="22">
        <f t="shared" si="2"/>
        <v>86.689435951991172</v>
      </c>
      <c r="R14" s="62">
        <f t="shared" si="0"/>
        <v>253.24386428536735</v>
      </c>
      <c r="S14" s="62">
        <f ca="1">AVERAGE(OFFSET($R$3,0,0,'Données projet'!$E$9+1,1))-AVERAGE(OFFSET($H$3,0,0,'Données projet'!$E$9+1,1))</f>
        <v>374.81775021423215</v>
      </c>
      <c r="T14" s="62">
        <f t="shared" si="34"/>
        <v>301.81248585467142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41.757268333345024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6.6159410738381021</v>
      </c>
      <c r="AK14" s="14">
        <f t="shared" si="35"/>
        <v>2.4469597615261804</v>
      </c>
      <c r="AL14" s="22">
        <f t="shared" si="4"/>
        <v>15.784552288259455</v>
      </c>
      <c r="AM14" s="62">
        <f t="shared" si="5"/>
        <v>182.33898062163564</v>
      </c>
      <c r="AN14" s="62">
        <f ca="1">AVERAGE(OFFSET($AM$3,0,0,'Données projet'!$E$10+1,1))-AVERAGE(OFFSET($H$3,0,0,'Données projet'!$E$10+1,1))</f>
        <v>468.39960552661171</v>
      </c>
      <c r="AO14" s="62">
        <f t="shared" si="36"/>
        <v>291.1952427029787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41.757268333345024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6.6</v>
      </c>
      <c r="BD14" s="13">
        <f>IF('Données projet'!$A$88&gt;35,BD13+BC14-BL13,IF(A14&lt;'Données projet'!$A$88,$BA$205^A14,IF(A14='Données projet'!$A$88,'Données projet'!$B$88,BD13+BC14-BL13)))</f>
        <v>14.666134454850974</v>
      </c>
      <c r="BE14" s="14">
        <f>BD14*VLOOKUP('Données projet'!$B$11,Paramètres!$A$1:$I$89,3,0)*VLOOKUP('Données projet'!$B$11,Paramètres!$A$1:$I$89,5,0)</f>
        <v>12.812335059757812</v>
      </c>
      <c r="BF14" s="14">
        <f t="shared" si="37"/>
        <v>4.3878565375042955</v>
      </c>
      <c r="BG14" s="22">
        <f t="shared" si="7"/>
        <v>29.957000365231504</v>
      </c>
      <c r="BH14" s="62">
        <f t="shared" si="8"/>
        <v>196.51142869860769</v>
      </c>
      <c r="BI14" s="62">
        <f ca="1">AVERAGE(OFFSET($BH$3,0,0,'Données projet'!$E$11+1,1))-AVERAGE(OFFSET($H$3,0,0,'Données projet'!$E$11+1,1))</f>
        <v>373.50005214669716</v>
      </c>
      <c r="BJ14" s="62">
        <f t="shared" si="38"/>
        <v>383.60460086643036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41.757268333345024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7.7692307692307692</v>
      </c>
      <c r="BY14" s="13">
        <f>IF('Données projet'!$A$114&gt;35,BY13+BX14-CG13,IF(A14&lt;'Données projet'!$A$114,$BV$205^A14,IF(A14='Données projet'!$A$114,'Données projet'!$B$114,BY13+BX14-CG13)))</f>
        <v>49.65514327640404</v>
      </c>
      <c r="BZ14" s="14">
        <f>BY14*VLOOKUP('Données projet'!$B$12,Paramètres!$A$1:$I$89,3,0)*VLOOKUP('Données projet'!$B$12,Paramètres!$A$1:$I$89,5,0)</f>
        <v>29.693775679289619</v>
      </c>
      <c r="CA14" s="14">
        <f t="shared" si="39"/>
        <v>9.2214503640117265</v>
      </c>
      <c r="CB14" s="22">
        <f t="shared" si="10"/>
        <v>67.777352025416505</v>
      </c>
      <c r="CC14" s="62">
        <f t="shared" si="11"/>
        <v>234.33178035879268</v>
      </c>
      <c r="CD14" s="62">
        <f ca="1">AVERAGE(OFFSET($CC$3,0,0,'Données projet'!$E$12+1,1))-AVERAGE(OFFSET($H$3,0,0,'Données projet'!$E$12+1,1))</f>
        <v>210.13237351083279</v>
      </c>
      <c r="CE14" s="62">
        <f t="shared" si="40"/>
        <v>423.06475179432277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41.757268333345024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3.65</v>
      </c>
      <c r="CT14" s="13">
        <f>IF('Données projet'!$A$140&gt;35,CT13+CS14-DB13,IF(A14&lt;'Données projet'!$A$140,$CQ$205^A14,IF(A14='Données projet'!$A$140,'Données projet'!$B$140,CT13+CS14-DB13)))</f>
        <v>10.588332555950936</v>
      </c>
      <c r="CU14" s="18">
        <f>CT14*VLOOKUP('Données projet'!$B$13,Paramètres!$A$1:$I$89,3,0)*VLOOKUP('Données projet'!$B$13,Paramètres!$A$1:$I$89,5,0)</f>
        <v>9.5803232966244067</v>
      </c>
      <c r="CV14" s="14">
        <f t="shared" si="41"/>
        <v>3.3939041949894282</v>
      </c>
      <c r="CW14" s="22">
        <f t="shared" si="13"/>
        <v>22.596779547894098</v>
      </c>
      <c r="CX14" s="62">
        <f t="shared" si="14"/>
        <v>189.1512078812703</v>
      </c>
      <c r="CY14" s="62">
        <f ca="1">AVERAGE(OFFSET($CX$3,0,0,'Données projet'!$E$13+1,1))-AVERAGE(OFFSET($H$3,0,0,'Données projet'!$E$13+1,1))</f>
        <v>493.89660144134291</v>
      </c>
      <c r="CZ14" s="62">
        <f t="shared" si="42"/>
        <v>312.97494624463229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41.757268333345024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7.7692307692307692</v>
      </c>
      <c r="DO14" s="13">
        <f>IF('Données projet'!$A$166&gt;35,DO13+DN14-DW13,IF(A14&lt;'Données projet'!$A$166,$DL$205^A14,IF(A14='Données projet'!$A$166,'Données projet'!$B$166,DO13+DN14-DW13)))</f>
        <v>49.65514327640404</v>
      </c>
      <c r="DP14" s="18">
        <f>DO14*VLOOKUP('Données projet'!$B$14,Paramètres!$A$1:$I$89,3,0)*VLOOKUP('Données projet'!$B$14,Paramètres!$A$1:$I$89,5,0)</f>
        <v>29.693775679289619</v>
      </c>
      <c r="DQ14" s="14">
        <f t="shared" si="43"/>
        <v>9.2214503640117265</v>
      </c>
      <c r="DR14" s="22">
        <f t="shared" si="16"/>
        <v>67.777352025416505</v>
      </c>
      <c r="DS14" s="62">
        <f t="shared" si="17"/>
        <v>234.33178035879268</v>
      </c>
      <c r="DT14" s="62">
        <f ca="1">AVERAGE(OFFSET($DS$3,0,0,'Données projet'!$E$14+1,1))-AVERAGE(OFFSET($H$3,0,0,'Données projet'!$E$14+1,1))</f>
        <v>210.13237351083279</v>
      </c>
      <c r="DU14" s="62">
        <f t="shared" si="44"/>
        <v>423.06475179432277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41.757268333345024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41.757268333345024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41.757268333345024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41.757268333345024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4.5049999999999999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16.518333333333334</v>
      </c>
      <c r="H15" s="70">
        <f t="shared" si="1"/>
        <v>147.64566666666667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42.247216586472739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7.4285714285714288</v>
      </c>
      <c r="N15" s="14">
        <f>IF('Données projet'!$A$36&gt;35,N14+M15-V14,IF(A15&lt;'Données projet'!$A$36,$K$205^A15,IF(A15='Données projet'!$A$36,'Données projet'!$B$36,N14+M15-V14)))</f>
        <v>89.142857142857153</v>
      </c>
      <c r="O15" s="14">
        <f>N15*VLOOKUP('Données projet'!$B$9,Paramètres!$A$1:$I$89,3,0)*VLOOKUP('Données projet'!$B$9,Paramètres!$A$1:$I$89,5,0)</f>
        <v>41.718857142857146</v>
      </c>
      <c r="P15" s="14">
        <f t="shared" si="33"/>
        <v>12.453108613187984</v>
      </c>
      <c r="Q15" s="22">
        <f t="shared" si="2"/>
        <v>94.349507025111919</v>
      </c>
      <c r="R15" s="62">
        <f t="shared" si="0"/>
        <v>263.92263450884531</v>
      </c>
      <c r="S15" s="62">
        <f ca="1">AVERAGE(OFFSET($R$3,0,0,'Données projet'!$E$9+1,1))-AVERAGE(OFFSET($H$3,0,0,'Données projet'!$E$9+1,1))</f>
        <v>374.81775021423215</v>
      </c>
      <c r="T15" s="62">
        <f t="shared" si="34"/>
        <v>301.81248585467142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42.247216586472739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7.8458854363804464</v>
      </c>
      <c r="AK15" s="14">
        <f t="shared" si="35"/>
        <v>2.844839063809101</v>
      </c>
      <c r="AL15" s="22">
        <f t="shared" si="4"/>
        <v>18.619678504496793</v>
      </c>
      <c r="AM15" s="62">
        <f t="shared" si="5"/>
        <v>188.19280598823016</v>
      </c>
      <c r="AN15" s="62">
        <f ca="1">AVERAGE(OFFSET($AM$3,0,0,'Données projet'!$E$10+1,1))-AVERAGE(OFFSET($H$3,0,0,'Données projet'!$E$10+1,1))</f>
        <v>468.39960552661171</v>
      </c>
      <c r="AO15" s="62">
        <f t="shared" si="36"/>
        <v>291.1952427029787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42.247216586472739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6.6</v>
      </c>
      <c r="BD15" s="13">
        <f>IF('Données projet'!$A$88&gt;35,BD14+BC15-BL14,IF(A15&lt;'Données projet'!$A$88,$BA$205^A15,IF(A15='Données projet'!$A$88,'Données projet'!$B$88,BD14+BC15-BL14)))</f>
        <v>18.721660210059202</v>
      </c>
      <c r="BE15" s="14">
        <f>BD15*VLOOKUP('Données projet'!$B$11,Paramètres!$A$1:$I$89,3,0)*VLOOKUP('Données projet'!$B$11,Paramètres!$A$1:$I$89,5,0)</f>
        <v>16.35524235950772</v>
      </c>
      <c r="BF15" s="14">
        <f t="shared" si="37"/>
        <v>5.4442664998513175</v>
      </c>
      <c r="BG15" s="22">
        <f t="shared" si="7"/>
        <v>37.967477930050322</v>
      </c>
      <c r="BH15" s="62">
        <f t="shared" si="8"/>
        <v>207.54060541378368</v>
      </c>
      <c r="BI15" s="62">
        <f ca="1">AVERAGE(OFFSET($BH$3,0,0,'Données projet'!$E$11+1,1))-AVERAGE(OFFSET($H$3,0,0,'Données projet'!$E$11+1,1))</f>
        <v>373.50005214669716</v>
      </c>
      <c r="BJ15" s="62">
        <f t="shared" si="38"/>
        <v>383.60460086643036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42.247216586472739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7.7692307692307692</v>
      </c>
      <c r="BY15" s="13">
        <f>IF('Données projet'!$A$114&gt;35,BY14+BX15-CG14,IF(A15&lt;'Données projet'!$A$114,$BV$205^A15,IF(A15='Données projet'!$A$114,'Données projet'!$B$114,BY14+BX15-CG14)))</f>
        <v>70.81786124218111</v>
      </c>
      <c r="BZ15" s="14">
        <f>BY15*VLOOKUP('Données projet'!$B$12,Paramètres!$A$1:$I$89,3,0)*VLOOKUP('Données projet'!$B$12,Paramètres!$A$1:$I$89,5,0)</f>
        <v>42.349081022824308</v>
      </c>
      <c r="CA15" s="14">
        <f t="shared" si="39"/>
        <v>12.61918812867636</v>
      </c>
      <c r="CB15" s="22">
        <f t="shared" si="10"/>
        <v>95.736402105530317</v>
      </c>
      <c r="CC15" s="62">
        <f t="shared" si="11"/>
        <v>265.30952958926366</v>
      </c>
      <c r="CD15" s="62">
        <f ca="1">AVERAGE(OFFSET($CC$3,0,0,'Données projet'!$E$12+1,1))-AVERAGE(OFFSET($H$3,0,0,'Données projet'!$E$12+1,1))</f>
        <v>210.13237351083279</v>
      </c>
      <c r="CE15" s="62">
        <f t="shared" si="40"/>
        <v>423.06475179432277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42.247216586472739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3.65</v>
      </c>
      <c r="CT15" s="13">
        <f>IF('Données projet'!$A$140&gt;35,CT14+CS15-DB14,IF(A15&lt;'Données projet'!$A$140,$CQ$205^A15,IF(A15='Données projet'!$A$140,'Données projet'!$B$140,CT14+CS15-DB14)))</f>
        <v>13.121809125710287</v>
      </c>
      <c r="CU15" s="18">
        <f>CT15*VLOOKUP('Données projet'!$B$13,Paramètres!$A$1:$I$89,3,0)*VLOOKUP('Données projet'!$B$13,Paramètres!$A$1:$I$89,5,0)</f>
        <v>11.872612896942668</v>
      </c>
      <c r="CV15" s="14">
        <f t="shared" si="41"/>
        <v>4.1022411108131784</v>
      </c>
      <c r="CW15" s="22">
        <f t="shared" si="13"/>
        <v>27.822870730174767</v>
      </c>
      <c r="CX15" s="62">
        <f t="shared" si="14"/>
        <v>197.39599821390814</v>
      </c>
      <c r="CY15" s="62">
        <f ca="1">AVERAGE(OFFSET($CX$3,0,0,'Données projet'!$E$13+1,1))-AVERAGE(OFFSET($H$3,0,0,'Données projet'!$E$13+1,1))</f>
        <v>493.89660144134291</v>
      </c>
      <c r="CZ15" s="62">
        <f t="shared" si="42"/>
        <v>312.97494624463229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42.247216586472739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7.7692307692307692</v>
      </c>
      <c r="DO15" s="13">
        <f>IF('Données projet'!$A$166&gt;35,DO14+DN15-DW14,IF(A15&lt;'Données projet'!$A$166,$DL$205^A15,IF(A15='Données projet'!$A$166,'Données projet'!$B$166,DO14+DN15-DW14)))</f>
        <v>70.81786124218111</v>
      </c>
      <c r="DP15" s="18">
        <f>DO15*VLOOKUP('Données projet'!$B$14,Paramètres!$A$1:$I$89,3,0)*VLOOKUP('Données projet'!$B$14,Paramètres!$A$1:$I$89,5,0)</f>
        <v>42.349081022824308</v>
      </c>
      <c r="DQ15" s="14">
        <f t="shared" si="43"/>
        <v>12.61918812867636</v>
      </c>
      <c r="DR15" s="22">
        <f t="shared" si="16"/>
        <v>95.736402105530317</v>
      </c>
      <c r="DS15" s="62">
        <f t="shared" si="17"/>
        <v>265.30952958926366</v>
      </c>
      <c r="DT15" s="62">
        <f ca="1">AVERAGE(OFFSET($DS$3,0,0,'Données projet'!$E$14+1,1))-AVERAGE(OFFSET($H$3,0,0,'Données projet'!$E$14+1,1))</f>
        <v>210.13237351083279</v>
      </c>
      <c r="DU15" s="62">
        <f t="shared" si="44"/>
        <v>423.06475179432277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42.247216586472739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42.247216586472739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42.247216586472739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42.247216586472739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4.5049999999999999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16.518333333333334</v>
      </c>
      <c r="H16" s="70">
        <f t="shared" si="1"/>
        <v>147.64566666666667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42.728665332768877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7.4285714285714288</v>
      </c>
      <c r="N16" s="14">
        <f>IF('Données projet'!$A$36&gt;35,N15+M16-V15,IF(A16&lt;'Données projet'!$A$36,$K$205^A16,IF(A16='Données projet'!$A$36,'Données projet'!$B$36,N15+M16-V15)))</f>
        <v>96.571428571428584</v>
      </c>
      <c r="O16" s="14">
        <f>N16*VLOOKUP('Données projet'!$B$9,Paramètres!$A$1:$I$89,3,0)*VLOOKUP('Données projet'!$B$9,Paramètres!$A$1:$I$89,5,0)</f>
        <v>45.195428571428579</v>
      </c>
      <c r="P16" s="14">
        <f t="shared" si="33"/>
        <v>13.36575736869135</v>
      </c>
      <c r="Q16" s="22">
        <f t="shared" si="2"/>
        <v>101.99406551237553</v>
      </c>
      <c r="R16" s="62">
        <f t="shared" si="0"/>
        <v>274.55472728808365</v>
      </c>
      <c r="S16" s="62">
        <f ca="1">AVERAGE(OFFSET($R$3,0,0,'Données projet'!$E$9+1,1))-AVERAGE(OFFSET($H$3,0,0,'Données projet'!$E$9+1,1))</f>
        <v>374.81775021423215</v>
      </c>
      <c r="T16" s="62">
        <f t="shared" si="34"/>
        <v>301.81248585467142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42.728665332768877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9.3044840626271217</v>
      </c>
      <c r="AK16" s="14">
        <f t="shared" si="35"/>
        <v>3.3074141333352105</v>
      </c>
      <c r="AL16" s="22">
        <f t="shared" si="4"/>
        <v>21.965722691301057</v>
      </c>
      <c r="AM16" s="62">
        <f t="shared" si="5"/>
        <v>194.52638446700919</v>
      </c>
      <c r="AN16" s="62">
        <f ca="1">AVERAGE(OFFSET($AM$3,0,0,'Données projet'!$E$10+1,1))-AVERAGE(OFFSET($H$3,0,0,'Données projet'!$E$10+1,1))</f>
        <v>468.39960552661171</v>
      </c>
      <c r="AO16" s="62">
        <f t="shared" si="36"/>
        <v>291.1952427029787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42.728665332768877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6.6</v>
      </c>
      <c r="BD16" s="13">
        <f>IF('Données projet'!$A$88&gt;35,BD15+BC16-BL15,IF(A16&lt;'Données projet'!$A$88,$BA$205^A16,IF(A16='Données projet'!$A$88,'Données projet'!$B$88,BD15+BC16-BL15)))</f>
        <v>23.89863273788427</v>
      </c>
      <c r="BE16" s="14">
        <f>BD16*VLOOKUP('Données projet'!$B$11,Paramètres!$A$1:$I$89,3,0)*VLOOKUP('Données projet'!$B$11,Paramètres!$A$1:$I$89,5,0)</f>
        <v>20.8778455598157</v>
      </c>
      <c r="BF16" s="14">
        <f t="shared" si="37"/>
        <v>6.7550152262411558</v>
      </c>
      <c r="BG16" s="22">
        <f t="shared" si="7"/>
        <v>48.127232535715684</v>
      </c>
      <c r="BH16" s="62">
        <f t="shared" si="8"/>
        <v>220.6878943114238</v>
      </c>
      <c r="BI16" s="62">
        <f ca="1">AVERAGE(OFFSET($BH$3,0,0,'Données projet'!$E$11+1,1))-AVERAGE(OFFSET($H$3,0,0,'Données projet'!$E$11+1,1))</f>
        <v>373.50005214669716</v>
      </c>
      <c r="BJ16" s="62">
        <f t="shared" si="38"/>
        <v>383.60460086643036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42.728665332768877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>
        <f>VLOOKUP(A16,'Données projet'!$A$113:$I$133,2,0)</f>
        <v>101</v>
      </c>
      <c r="BW16" s="13">
        <f>VLOOKUP(A16,'Données projet'!$A$113:$I$133,9,0)</f>
        <v>7.7692307692307692</v>
      </c>
      <c r="BX16" s="13">
        <f t="array" ref="BX16">INDEX(BW:BW,MIN(IF(ISNUMBER(BW16:BW212),ROW(BW16:BW212),"")))</f>
        <v>7.7692307692307692</v>
      </c>
      <c r="BY16" s="13">
        <f>IF('Données projet'!$A$114&gt;35,BY15+BX16-CG15,IF(A16&lt;'Données projet'!$A$114,$BV$205^A16,IF(A16='Données projet'!$A$114,'Données projet'!$B$114,BY15+BX16-CG15)))</f>
        <v>101</v>
      </c>
      <c r="BZ16" s="14">
        <f>BY16*VLOOKUP('Données projet'!$B$12,Paramètres!$A$1:$I$89,3,0)*VLOOKUP('Données projet'!$B$12,Paramètres!$A$1:$I$89,5,0)</f>
        <v>60.398000000000003</v>
      </c>
      <c r="CA16" s="14">
        <f t="shared" si="39"/>
        <v>17.26885714728807</v>
      </c>
      <c r="CB16" s="22">
        <f t="shared" si="10"/>
        <v>135.26977619819337</v>
      </c>
      <c r="CC16" s="62">
        <f t="shared" si="11"/>
        <v>307.8304379739015</v>
      </c>
      <c r="CD16" s="62">
        <f ca="1">AVERAGE(OFFSET($CC$3,0,0,'Données projet'!$E$12+1,1))-AVERAGE(OFFSET($H$3,0,0,'Données projet'!$E$12+1,1))</f>
        <v>210.13237351083279</v>
      </c>
      <c r="CE16" s="62">
        <f t="shared" si="40"/>
        <v>423.06475179432277</v>
      </c>
      <c r="CF16" s="16">
        <f>IF(ISNA(VLOOKUP(A16,'Données projet'!$A$113:$I$133,3,0)),0,VLOOKUP(A16,'Données projet'!$A$113:$I$133,3,0))</f>
        <v>1</v>
      </c>
      <c r="CG16" s="16">
        <f>IF(ISNA(VLOOKUP(A16,'Données projet'!$A$113:$I$133,4,0)),0,VLOOKUP(A16,'Données projet'!$A$113:$I$133,4,0))</f>
        <v>28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1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18.958097589783147</v>
      </c>
      <c r="CN16" s="24">
        <f t="shared" si="12"/>
        <v>18.958097589783147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42.728665332768877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3.65</v>
      </c>
      <c r="CT16" s="13">
        <f>IF('Données projet'!$A$140&gt;35,CT15+CS16-DB15,IF(A16&lt;'Données projet'!$A$140,$CQ$205^A16,IF(A16='Données projet'!$A$140,'Données projet'!$B$140,CT15+CS16-DB15)))</f>
        <v>16.261472127148366</v>
      </c>
      <c r="CU16" s="18">
        <f>CT16*VLOOKUP('Données projet'!$B$13,Paramètres!$A$1:$I$89,3,0)*VLOOKUP('Données projet'!$B$13,Paramètres!$A$1:$I$89,5,0)</f>
        <v>14.713379980643843</v>
      </c>
      <c r="CV16" s="14">
        <f t="shared" si="41"/>
        <v>4.9584140165447881</v>
      </c>
      <c r="CW16" s="22">
        <f t="shared" si="13"/>
        <v>34.261707878436859</v>
      </c>
      <c r="CX16" s="62">
        <f t="shared" si="14"/>
        <v>206.82236965414498</v>
      </c>
      <c r="CY16" s="62">
        <f ca="1">AVERAGE(OFFSET($CX$3,0,0,'Données projet'!$E$13+1,1))-AVERAGE(OFFSET($H$3,0,0,'Données projet'!$E$13+1,1))</f>
        <v>493.89660144134291</v>
      </c>
      <c r="CZ16" s="62">
        <f t="shared" si="42"/>
        <v>312.97494624463229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42.728665332768877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>
        <f>VLOOKUP(A16,'Données projet'!$A$165:$I$185,2,0)</f>
        <v>101</v>
      </c>
      <c r="DM16" s="13">
        <f>VLOOKUP(A16,'Données projet'!$A$165:$I$185,9,0)</f>
        <v>7.7692307692307692</v>
      </c>
      <c r="DN16" s="13">
        <f t="array" ref="DN16">INDEX(DM:DM,MIN(IF(ISNUMBER(DM16:DM212),ROW(DM16:DM212),"")))</f>
        <v>7.7692307692307692</v>
      </c>
      <c r="DO16" s="13">
        <f>IF('Données projet'!$A$166&gt;35,DO15+DN16-DW15,IF(A16&lt;'Données projet'!$A$166,$DL$205^A16,IF(A16='Données projet'!$A$166,'Données projet'!$B$166,DO15+DN16-DW15)))</f>
        <v>101</v>
      </c>
      <c r="DP16" s="18">
        <f>DO16*VLOOKUP('Données projet'!$B$14,Paramètres!$A$1:$I$89,3,0)*VLOOKUP('Données projet'!$B$14,Paramètres!$A$1:$I$89,5,0)</f>
        <v>60.398000000000003</v>
      </c>
      <c r="DQ16" s="14">
        <f t="shared" si="43"/>
        <v>17.26885714728807</v>
      </c>
      <c r="DR16" s="22">
        <f t="shared" si="16"/>
        <v>135.26977619819337</v>
      </c>
      <c r="DS16" s="62">
        <f t="shared" si="17"/>
        <v>307.8304379739015</v>
      </c>
      <c r="DT16" s="62">
        <f ca="1">AVERAGE(OFFSET($DS$3,0,0,'Données projet'!$E$14+1,1))-AVERAGE(OFFSET($H$3,0,0,'Données projet'!$E$14+1,1))</f>
        <v>210.13237351083279</v>
      </c>
      <c r="DU16" s="62">
        <f t="shared" si="44"/>
        <v>423.06475179432277</v>
      </c>
      <c r="DV16" s="16">
        <f>IF(ISNA(VLOOKUP(A16,'Données projet'!$A$165:$I$185,3,0)),0,VLOOKUP(A16,'Données projet'!$A$165:$I$185,3,0))</f>
        <v>1</v>
      </c>
      <c r="DW16" s="16">
        <f>IF(ISNA(VLOOKUP(A16,'Données projet'!$A$165:$I$185,4,0)),0,VLOOKUP(A16,'Données projet'!$A$165:$I$185,4,0))</f>
        <v>28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1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18.958097589783147</v>
      </c>
      <c r="ED16" s="24">
        <f t="shared" si="18"/>
        <v>18.958097589783147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42.728665332768877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42.728665332768877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42.728665332768877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42.728665332768877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4.5049999999999999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16.518333333333334</v>
      </c>
      <c r="H17" s="70">
        <f t="shared" si="1"/>
        <v>147.64566666666667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43.201762019674923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7.4285714285714288</v>
      </c>
      <c r="N17" s="14">
        <f>IF('Données projet'!$A$36&gt;35,N16+M17-V16,IF(A17&lt;'Données projet'!$A$36,$K$205^A17,IF(A17='Données projet'!$A$36,'Données projet'!$B$36,N16+M17-V16)))</f>
        <v>104.00000000000001</v>
      </c>
      <c r="O17" s="14">
        <f>N17*VLOOKUP('Données projet'!$B$9,Paramètres!$A$1:$I$89,3,0)*VLOOKUP('Données projet'!$B$9,Paramètres!$A$1:$I$89,5,0)</f>
        <v>48.672000000000011</v>
      </c>
      <c r="P17" s="14">
        <f t="shared" si="33"/>
        <v>14.270262409972061</v>
      </c>
      <c r="Q17" s="22">
        <f t="shared" si="2"/>
        <v>109.62444036403468</v>
      </c>
      <c r="R17" s="62">
        <f t="shared" si="0"/>
        <v>285.14201221395388</v>
      </c>
      <c r="S17" s="62">
        <f ca="1">AVERAGE(OFFSET($R$3,0,0,'Données projet'!$E$9+1,1))-AVERAGE(OFFSET($H$3,0,0,'Données projet'!$E$9+1,1))</f>
        <v>374.81775021423215</v>
      </c>
      <c r="T17" s="62">
        <f t="shared" si="34"/>
        <v>301.81248585467142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43.201762019674923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11.034245194334769</v>
      </c>
      <c r="AK17" s="14">
        <f t="shared" si="35"/>
        <v>3.8452045982308483</v>
      </c>
      <c r="AL17" s="22">
        <f t="shared" si="4"/>
        <v>25.915041722051782</v>
      </c>
      <c r="AM17" s="62">
        <f t="shared" si="5"/>
        <v>201.43261357197093</v>
      </c>
      <c r="AN17" s="62">
        <f ca="1">AVERAGE(OFFSET($AM$3,0,0,'Données projet'!$E$10+1,1))-AVERAGE(OFFSET($H$3,0,0,'Données projet'!$E$10+1,1))</f>
        <v>468.39960552661171</v>
      </c>
      <c r="AO17" s="62">
        <f t="shared" si="36"/>
        <v>291.1952427029787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43.201762019674923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6.6</v>
      </c>
      <c r="BD17" s="13">
        <f>IF('Données projet'!$A$88&gt;35,BD16+BC17-BL16,IF(A17&lt;'Données projet'!$A$88,$BA$205^A17,IF(A17='Données projet'!$A$88,'Données projet'!$B$88,BD16+BC17-BL16)))</f>
        <v>30.50715803683886</v>
      </c>
      <c r="BE17" s="14">
        <f>BD17*VLOOKUP('Données projet'!$B$11,Paramètres!$A$1:$I$89,3,0)*VLOOKUP('Données projet'!$B$11,Paramètres!$A$1:$I$89,5,0)</f>
        <v>26.651053260982433</v>
      </c>
      <c r="BF17" s="14">
        <f t="shared" si="37"/>
        <v>8.3813367159737684</v>
      </c>
      <c r="BG17" s="22">
        <f t="shared" si="7"/>
        <v>61.014745876532061</v>
      </c>
      <c r="BH17" s="62">
        <f t="shared" si="8"/>
        <v>236.53231772645123</v>
      </c>
      <c r="BI17" s="62">
        <f ca="1">AVERAGE(OFFSET($BH$3,0,0,'Données projet'!$E$11+1,1))-AVERAGE(OFFSET($H$3,0,0,'Données projet'!$E$11+1,1))</f>
        <v>373.50005214669716</v>
      </c>
      <c r="BJ17" s="62">
        <f t="shared" si="38"/>
        <v>383.60460086643036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43.201762019674923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18.600000000000001</v>
      </c>
      <c r="BY17" s="13">
        <f>IF('Données projet'!$A$114&gt;35,BY16+BX17-CG16,IF(A17&lt;'Données projet'!$A$114,$BV$205^A17,IF(A17='Données projet'!$A$114,'Données projet'!$B$114,BY16+BX17-CG16)))</f>
        <v>91.6</v>
      </c>
      <c r="BZ17" s="14">
        <f>BY17*VLOOKUP('Données projet'!$B$12,Paramètres!$A$1:$I$89,3,0)*VLOOKUP('Données projet'!$B$12,Paramètres!$A$1:$I$89,5,0)</f>
        <v>54.776799999999994</v>
      </c>
      <c r="CA17" s="14">
        <f t="shared" si="39"/>
        <v>15.840762095818524</v>
      </c>
      <c r="CB17" s="22">
        <f t="shared" si="10"/>
        <v>122.99225398355058</v>
      </c>
      <c r="CC17" s="62">
        <f t="shared" si="11"/>
        <v>298.50982583346973</v>
      </c>
      <c r="CD17" s="62">
        <f ca="1">AVERAGE(OFFSET($CC$3,0,0,'Données projet'!$E$12+1,1))-AVERAGE(OFFSET($H$3,0,0,'Données projet'!$E$12+1,1))</f>
        <v>210.13237351083279</v>
      </c>
      <c r="CE17" s="62">
        <f t="shared" si="40"/>
        <v>423.06475179432277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13.405399364132007</v>
      </c>
      <c r="CN17" s="24">
        <f t="shared" si="12"/>
        <v>13.405399364132007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43.201762019674923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3.65</v>
      </c>
      <c r="CT17" s="13">
        <f>IF('Données projet'!$A$140&gt;35,CT16+CS17-DB16,IF(A17&lt;'Données projet'!$A$140,$CQ$205^A17,IF(A17='Données projet'!$A$140,'Données projet'!$B$140,CT16+CS17-DB16)))</f>
        <v>20.152364144963837</v>
      </c>
      <c r="CU17" s="18">
        <f>CT17*VLOOKUP('Données projet'!$B$13,Paramètres!$A$1:$I$89,3,0)*VLOOKUP('Données projet'!$B$13,Paramètres!$A$1:$I$89,5,0)</f>
        <v>18.233859078363277</v>
      </c>
      <c r="CV17" s="14">
        <f t="shared" si="41"/>
        <v>5.9932775513027368</v>
      </c>
      <c r="CW17" s="22">
        <f t="shared" si="13"/>
        <v>42.195596296668306</v>
      </c>
      <c r="CX17" s="62">
        <f t="shared" si="14"/>
        <v>217.71316814658746</v>
      </c>
      <c r="CY17" s="62">
        <f ca="1">AVERAGE(OFFSET($CX$3,0,0,'Données projet'!$E$13+1,1))-AVERAGE(OFFSET($H$3,0,0,'Données projet'!$E$13+1,1))</f>
        <v>493.89660144134291</v>
      </c>
      <c r="CZ17" s="62">
        <f t="shared" si="42"/>
        <v>312.97494624463229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43.201762019674923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18.600000000000001</v>
      </c>
      <c r="DO17" s="13">
        <f>IF('Données projet'!$A$166&gt;35,DO16+DN17-DW16,IF(A17&lt;'Données projet'!$A$166,$DL$205^A17,IF(A17='Données projet'!$A$166,'Données projet'!$B$166,DO16+DN17-DW16)))</f>
        <v>91.6</v>
      </c>
      <c r="DP17" s="18">
        <f>DO17*VLOOKUP('Données projet'!$B$14,Paramètres!$A$1:$I$89,3,0)*VLOOKUP('Données projet'!$B$14,Paramètres!$A$1:$I$89,5,0)</f>
        <v>54.776799999999994</v>
      </c>
      <c r="DQ17" s="14">
        <f t="shared" si="43"/>
        <v>15.840762095818524</v>
      </c>
      <c r="DR17" s="22">
        <f t="shared" si="16"/>
        <v>122.99225398355058</v>
      </c>
      <c r="DS17" s="62">
        <f t="shared" si="17"/>
        <v>298.50982583346973</v>
      </c>
      <c r="DT17" s="62">
        <f ca="1">AVERAGE(OFFSET($DS$3,0,0,'Données projet'!$E$14+1,1))-AVERAGE(OFFSET($H$3,0,0,'Données projet'!$E$14+1,1))</f>
        <v>210.13237351083279</v>
      </c>
      <c r="DU17" s="62">
        <f t="shared" si="44"/>
        <v>423.06475179432277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13.405399364132007</v>
      </c>
      <c r="ED17" s="24">
        <f t="shared" si="18"/>
        <v>13.405399364132007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43.201762019674923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43.201762019674923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43.201762019674923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43.201762019674923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4.5049999999999999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16.518333333333334</v>
      </c>
      <c r="H18" s="70">
        <f t="shared" si="1"/>
        <v>147.64566666666667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43.666651536748887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7.4285714285714288</v>
      </c>
      <c r="N18" s="14">
        <f>IF('Données projet'!$A$36&gt;35,N17+M18-V17,IF(A18&lt;'Données projet'!$A$36,$K$205^A18,IF(A18='Données projet'!$A$36,'Données projet'!$B$36,N17+M18-V17)))</f>
        <v>111.42857142857144</v>
      </c>
      <c r="O18" s="14">
        <f>N18*VLOOKUP('Données projet'!$B$9,Paramètres!$A$1:$I$89,3,0)*VLOOKUP('Données projet'!$B$9,Paramètres!$A$1:$I$89,5,0)</f>
        <v>52.148571428571437</v>
      </c>
      <c r="P18" s="14">
        <f t="shared" si="33"/>
        <v>15.167271589136245</v>
      </c>
      <c r="Q18" s="22">
        <f t="shared" si="2"/>
        <v>117.24175992250753</v>
      </c>
      <c r="R18" s="62">
        <f t="shared" si="0"/>
        <v>295.68614889058676</v>
      </c>
      <c r="S18" s="62">
        <f ca="1">AVERAGE(OFFSET($R$3,0,0,'Données projet'!$E$9+1,1))-AVERAGE(OFFSET($H$3,0,0,'Données projet'!$E$9+1,1))</f>
        <v>374.81775021423215</v>
      </c>
      <c r="T18" s="62">
        <f t="shared" si="34"/>
        <v>301.81248585467142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43.666651536748887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13.085579618298853</v>
      </c>
      <c r="AK18" s="14">
        <f t="shared" si="35"/>
        <v>4.4704405938260292</v>
      </c>
      <c r="AL18" s="22">
        <f t="shared" si="4"/>
        <v>30.576735202784167</v>
      </c>
      <c r="AM18" s="62">
        <f t="shared" si="5"/>
        <v>209.0211241708634</v>
      </c>
      <c r="AN18" s="62">
        <f ca="1">AVERAGE(OFFSET($AM$3,0,0,'Données projet'!$E$10+1,1))-AVERAGE(OFFSET($H$3,0,0,'Données projet'!$E$10+1,1))</f>
        <v>468.39960552661171</v>
      </c>
      <c r="AO18" s="62">
        <f t="shared" si="36"/>
        <v>291.1952427029787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43.666651536748887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6.6</v>
      </c>
      <c r="BD18" s="13">
        <f>IF('Données projet'!$A$88&gt;35,BD17+BC18-BL17,IF(A18&lt;'Données projet'!$A$88,$BA$205^A18,IF(A18='Données projet'!$A$88,'Données projet'!$B$88,BD17+BC18-BL17)))</f>
        <v>38.943093594192561</v>
      </c>
      <c r="BE18" s="14">
        <f>BD18*VLOOKUP('Données projet'!$B$11,Paramètres!$A$1:$I$89,3,0)*VLOOKUP('Données projet'!$B$11,Paramètres!$A$1:$I$89,5,0)</f>
        <v>34.02068656388662</v>
      </c>
      <c r="BF18" s="14">
        <f t="shared" si="37"/>
        <v>10.399207521197393</v>
      </c>
      <c r="BG18" s="22">
        <f t="shared" si="7"/>
        <v>77.364648864854644</v>
      </c>
      <c r="BH18" s="62">
        <f t="shared" si="8"/>
        <v>255.80903783293388</v>
      </c>
      <c r="BI18" s="62">
        <f ca="1">AVERAGE(OFFSET($BH$3,0,0,'Données projet'!$E$11+1,1))-AVERAGE(OFFSET($H$3,0,0,'Données projet'!$E$11+1,1))</f>
        <v>373.50005214669716</v>
      </c>
      <c r="BJ18" s="62">
        <f t="shared" si="38"/>
        <v>383.60460086643036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43.666651536748887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18.600000000000001</v>
      </c>
      <c r="BY18" s="13">
        <f>IF('Données projet'!$A$114&gt;35,BY17+BX18-CG17,IF(A18&lt;'Données projet'!$A$114,$BV$205^A18,IF(A18='Données projet'!$A$114,'Données projet'!$B$114,BY17+BX18-CG17)))</f>
        <v>110.19999999999999</v>
      </c>
      <c r="BZ18" s="14">
        <f>BY18*VLOOKUP('Données projet'!$B$12,Paramètres!$A$1:$I$89,3,0)*VLOOKUP('Données projet'!$B$12,Paramètres!$A$1:$I$89,5,0)</f>
        <v>65.899600000000007</v>
      </c>
      <c r="CA18" s="14">
        <f t="shared" si="39"/>
        <v>18.651634138580526</v>
      </c>
      <c r="CB18" s="22">
        <f t="shared" si="10"/>
        <v>147.26006612469442</v>
      </c>
      <c r="CC18" s="62">
        <f t="shared" si="11"/>
        <v>325.70445509277363</v>
      </c>
      <c r="CD18" s="62">
        <f ca="1">AVERAGE(OFFSET($CC$3,0,0,'Données projet'!$E$12+1,1))-AVERAGE(OFFSET($H$3,0,0,'Données projet'!$E$12+1,1))</f>
        <v>210.13237351083279</v>
      </c>
      <c r="CE18" s="62">
        <f t="shared" si="40"/>
        <v>423.06475179432277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9.4790487948915754</v>
      </c>
      <c r="CN18" s="24">
        <f t="shared" si="12"/>
        <v>9.4790487948915754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43.666651536748887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3.65</v>
      </c>
      <c r="CT18" s="13">
        <f>IF('Données projet'!$A$140&gt;35,CT17+CS18-DB17,IF(A18&lt;'Données projet'!$A$140,$CQ$205^A18,IF(A18='Données projet'!$A$140,'Données projet'!$B$140,CT17+CS18-DB17)))</f>
        <v>24.974232188561476</v>
      </c>
      <c r="CU18" s="18">
        <f>CT18*VLOOKUP('Données projet'!$B$13,Paramètres!$A$1:$I$89,3,0)*VLOOKUP('Données projet'!$B$13,Paramètres!$A$1:$I$89,5,0)</f>
        <v>22.596685284210423</v>
      </c>
      <c r="CV18" s="14">
        <f t="shared" si="41"/>
        <v>7.2441259820371586</v>
      </c>
      <c r="CW18" s="22">
        <f t="shared" si="13"/>
        <v>51.972746288714539</v>
      </c>
      <c r="CX18" s="62">
        <f t="shared" si="14"/>
        <v>230.41713525679378</v>
      </c>
      <c r="CY18" s="62">
        <f ca="1">AVERAGE(OFFSET($CX$3,0,0,'Données projet'!$E$13+1,1))-AVERAGE(OFFSET($H$3,0,0,'Données projet'!$E$13+1,1))</f>
        <v>493.89660144134291</v>
      </c>
      <c r="CZ18" s="62">
        <f t="shared" si="42"/>
        <v>312.97494624463229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43.666651536748887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18.600000000000001</v>
      </c>
      <c r="DO18" s="13">
        <f>IF('Données projet'!$A$166&gt;35,DO17+DN18-DW17,IF(A18&lt;'Données projet'!$A$166,$DL$205^A18,IF(A18='Données projet'!$A$166,'Données projet'!$B$166,DO17+DN18-DW17)))</f>
        <v>110.19999999999999</v>
      </c>
      <c r="DP18" s="18">
        <f>DO18*VLOOKUP('Données projet'!$B$14,Paramètres!$A$1:$I$89,3,0)*VLOOKUP('Données projet'!$B$14,Paramètres!$A$1:$I$89,5,0)</f>
        <v>65.899600000000007</v>
      </c>
      <c r="DQ18" s="14">
        <f t="shared" si="43"/>
        <v>18.651634138580526</v>
      </c>
      <c r="DR18" s="22">
        <f t="shared" si="16"/>
        <v>147.26006612469442</v>
      </c>
      <c r="DS18" s="62">
        <f t="shared" si="17"/>
        <v>325.70445509277363</v>
      </c>
      <c r="DT18" s="62">
        <f ca="1">AVERAGE(OFFSET($DS$3,0,0,'Données projet'!$E$14+1,1))-AVERAGE(OFFSET($H$3,0,0,'Données projet'!$E$14+1,1))</f>
        <v>210.13237351083279</v>
      </c>
      <c r="DU18" s="62">
        <f t="shared" si="44"/>
        <v>423.06475179432277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9.4790487948915754</v>
      </c>
      <c r="ED18" s="24">
        <f t="shared" si="18"/>
        <v>9.4790487948915754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43.666651536748887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43.666651536748887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43.666651536748887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43.666651536748887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4.5049999999999999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16.518333333333334</v>
      </c>
      <c r="H19" s="70">
        <f t="shared" si="1"/>
        <v>147.64566666666667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44.123476260038871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7.4285714285714288</v>
      </c>
      <c r="N19" s="14">
        <f>IF('Données projet'!$A$36&gt;35,N18+M19-V18,IF(A19&lt;'Données projet'!$A$36,$K$205^A19,IF(A19='Données projet'!$A$36,'Données projet'!$B$36,N18+M19-V18)))</f>
        <v>118.85714285714288</v>
      </c>
      <c r="O19" s="14">
        <f>N19*VLOOKUP('Données projet'!$B$9,Paramètres!$A$1:$I$89,3,0)*VLOOKUP('Données projet'!$B$9,Paramètres!$A$1:$I$89,5,0)</f>
        <v>55.625142857142862</v>
      </c>
      <c r="P19" s="14">
        <f t="shared" si="33"/>
        <v>16.057341491077942</v>
      </c>
      <c r="Q19" s="22">
        <f t="shared" si="2"/>
        <v>124.84699357315124</v>
      </c>
      <c r="R19" s="62">
        <f t="shared" si="0"/>
        <v>306.18862874884934</v>
      </c>
      <c r="S19" s="62">
        <f ca="1">AVERAGE(OFFSET($R$3,0,0,'Données projet'!$E$9+1,1))-AVERAGE(OFFSET($H$3,0,0,'Données projet'!$E$9+1,1))</f>
        <v>374.81775021423215</v>
      </c>
      <c r="T19" s="62">
        <f t="shared" si="34"/>
        <v>301.81248585467142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44.123476260038871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15.518269798350405</v>
      </c>
      <c r="AK19" s="14">
        <f t="shared" si="35"/>
        <v>5.1973408936737764</v>
      </c>
      <c r="AL19" s="22">
        <f t="shared" si="4"/>
        <v>36.079688621942118</v>
      </c>
      <c r="AM19" s="62">
        <f t="shared" si="5"/>
        <v>217.42132379764021</v>
      </c>
      <c r="AN19" s="62">
        <f ca="1">AVERAGE(OFFSET($AM$3,0,0,'Données projet'!$E$10+1,1))-AVERAGE(OFFSET($H$3,0,0,'Données projet'!$E$10+1,1))</f>
        <v>468.39960552661171</v>
      </c>
      <c r="AO19" s="62">
        <f t="shared" si="36"/>
        <v>291.1952427029787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44.123476260038871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6.6</v>
      </c>
      <c r="BD19" s="13">
        <f>IF('Données projet'!$A$88&gt;35,BD18+BC19-BL18,IF(A19&lt;'Données projet'!$A$88,$BA$205^A19,IF(A19='Données projet'!$A$88,'Données projet'!$B$88,BD18+BC19-BL18)))</f>
        <v>49.711760658095955</v>
      </c>
      <c r="BE19" s="14">
        <f>BD19*VLOOKUP('Données projet'!$B$11,Paramètres!$A$1:$I$89,3,0)*VLOOKUP('Données projet'!$B$11,Paramètres!$A$1:$I$89,5,0)</f>
        <v>43.428194110912635</v>
      </c>
      <c r="BF19" s="14">
        <f t="shared" si="37"/>
        <v>12.902896129065022</v>
      </c>
      <c r="BG19" s="22">
        <f t="shared" si="7"/>
        <v>98.109982167961064</v>
      </c>
      <c r="BH19" s="62">
        <f t="shared" si="8"/>
        <v>279.45161734365917</v>
      </c>
      <c r="BI19" s="62">
        <f ca="1">AVERAGE(OFFSET($BH$3,0,0,'Données projet'!$E$11+1,1))-AVERAGE(OFFSET($H$3,0,0,'Données projet'!$E$11+1,1))</f>
        <v>373.50005214669716</v>
      </c>
      <c r="BJ19" s="62">
        <f t="shared" si="38"/>
        <v>383.60460086643036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44.123476260038871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18.600000000000001</v>
      </c>
      <c r="BY19" s="13">
        <f>IF('Données projet'!$A$114&gt;35,BY18+BX19-CG18,IF(A19&lt;'Données projet'!$A$114,$BV$205^A19,IF(A19='Données projet'!$A$114,'Données projet'!$B$114,BY18+BX19-CG18)))</f>
        <v>128.79999999999998</v>
      </c>
      <c r="BZ19" s="14">
        <f>BY19*VLOOKUP('Données projet'!$B$12,Paramètres!$A$1:$I$89,3,0)*VLOOKUP('Données projet'!$B$12,Paramètres!$A$1:$I$89,5,0)</f>
        <v>77.022400000000005</v>
      </c>
      <c r="CA19" s="14">
        <f t="shared" si="39"/>
        <v>21.407546084466961</v>
      </c>
      <c r="CB19" s="22">
        <f t="shared" si="10"/>
        <v>171.43215609711328</v>
      </c>
      <c r="CC19" s="62">
        <f t="shared" si="11"/>
        <v>352.77379127281137</v>
      </c>
      <c r="CD19" s="62">
        <f ca="1">AVERAGE(OFFSET($CC$3,0,0,'Données projet'!$E$12+1,1))-AVERAGE(OFFSET($H$3,0,0,'Données projet'!$E$12+1,1))</f>
        <v>210.13237351083279</v>
      </c>
      <c r="CE19" s="62">
        <f t="shared" si="40"/>
        <v>423.06475179432277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6.7026996820660045</v>
      </c>
      <c r="CN19" s="24">
        <f t="shared" si="12"/>
        <v>6.7026996820660045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44.123476260038871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3.65</v>
      </c>
      <c r="CT19" s="13">
        <f>IF('Données projet'!$A$140&gt;35,CT18+CS19-DB18,IF(A19&lt;'Données projet'!$A$140,$CQ$205^A19,IF(A19='Données projet'!$A$140,'Données projet'!$B$140,CT18+CS19-DB18)))</f>
        <v>30.949831440200953</v>
      </c>
      <c r="CU19" s="18">
        <f>CT19*VLOOKUP('Données projet'!$B$13,Paramètres!$A$1:$I$89,3,0)*VLOOKUP('Données projet'!$B$13,Paramètres!$A$1:$I$89,5,0)</f>
        <v>28.003407487093821</v>
      </c>
      <c r="CV19" s="14">
        <f t="shared" si="41"/>
        <v>8.7560372090925433</v>
      </c>
      <c r="CW19" s="22">
        <f t="shared" si="13"/>
        <v>64.022699512524582</v>
      </c>
      <c r="CX19" s="62">
        <f t="shared" si="14"/>
        <v>245.36433468822267</v>
      </c>
      <c r="CY19" s="62">
        <f ca="1">AVERAGE(OFFSET($CX$3,0,0,'Données projet'!$E$13+1,1))-AVERAGE(OFFSET($H$3,0,0,'Données projet'!$E$13+1,1))</f>
        <v>493.89660144134291</v>
      </c>
      <c r="CZ19" s="62">
        <f t="shared" si="42"/>
        <v>312.97494624463229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44.123476260038871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18.600000000000001</v>
      </c>
      <c r="DO19" s="13">
        <f>IF('Données projet'!$A$166&gt;35,DO18+DN19-DW18,IF(A19&lt;'Données projet'!$A$166,$DL$205^A19,IF(A19='Données projet'!$A$166,'Données projet'!$B$166,DO18+DN19-DW18)))</f>
        <v>128.79999999999998</v>
      </c>
      <c r="DP19" s="18">
        <f>DO19*VLOOKUP('Données projet'!$B$14,Paramètres!$A$1:$I$89,3,0)*VLOOKUP('Données projet'!$B$14,Paramètres!$A$1:$I$89,5,0)</f>
        <v>77.022400000000005</v>
      </c>
      <c r="DQ19" s="14">
        <f t="shared" si="43"/>
        <v>21.407546084466961</v>
      </c>
      <c r="DR19" s="22">
        <f t="shared" si="16"/>
        <v>171.43215609711328</v>
      </c>
      <c r="DS19" s="62">
        <f t="shared" si="17"/>
        <v>352.77379127281137</v>
      </c>
      <c r="DT19" s="62">
        <f ca="1">AVERAGE(OFFSET($DS$3,0,0,'Données projet'!$E$14+1,1))-AVERAGE(OFFSET($H$3,0,0,'Données projet'!$E$14+1,1))</f>
        <v>210.13237351083279</v>
      </c>
      <c r="DU19" s="62">
        <f t="shared" si="44"/>
        <v>423.06475179432277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6.7026996820660045</v>
      </c>
      <c r="ED19" s="24">
        <f t="shared" si="18"/>
        <v>6.7026996820660045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44.123476260038871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44.123476260038871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44.123476260038871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44.123476260038871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4.5049999999999999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16.518333333333334</v>
      </c>
      <c r="H20" s="70">
        <f t="shared" si="1"/>
        <v>147.64566666666667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44.572376095686856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7.4285714285714288</v>
      </c>
      <c r="N20" s="14">
        <f>IF('Données projet'!$A$36&gt;35,N19+M20-V19,IF(A20&lt;'Données projet'!$A$36,$K$205^A20,IF(A20='Données projet'!$A$36,'Données projet'!$B$36,N19+M20-V19)))</f>
        <v>126.28571428571431</v>
      </c>
      <c r="O20" s="14">
        <f>N20*VLOOKUP('Données projet'!$B$9,Paramètres!$A$1:$I$89,3,0)*VLOOKUP('Données projet'!$B$9,Paramètres!$A$1:$I$89,5,0)</f>
        <v>59.101714285714294</v>
      </c>
      <c r="P20" s="14">
        <f t="shared" si="33"/>
        <v>16.940955195294514</v>
      </c>
      <c r="Q20" s="22">
        <f t="shared" si="2"/>
        <v>132.44098267942363</v>
      </c>
      <c r="R20" s="62">
        <f t="shared" si="0"/>
        <v>316.65080614138651</v>
      </c>
      <c r="S20" s="62">
        <f ca="1">AVERAGE(OFFSET($R$3,0,0,'Données projet'!$E$9+1,1))-AVERAGE(OFFSET($H$3,0,0,'Données projet'!$E$9+1,1))</f>
        <v>374.81775021423215</v>
      </c>
      <c r="T20" s="62">
        <f t="shared" si="34"/>
        <v>301.81248585467142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44.572376095686856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18.403212128076973</v>
      </c>
      <c r="AK20" s="14">
        <f t="shared" si="35"/>
        <v>6.0424362650875043</v>
      </c>
      <c r="AL20" s="22">
        <f t="shared" si="4"/>
        <v>42.576170951428125</v>
      </c>
      <c r="AM20" s="62">
        <f t="shared" si="5"/>
        <v>226.78599441339099</v>
      </c>
      <c r="AN20" s="62">
        <f ca="1">AVERAGE(OFFSET($AM$3,0,0,'Données projet'!$E$10+1,1))-AVERAGE(OFFSET($H$3,0,0,'Données projet'!$E$10+1,1))</f>
        <v>468.39960552661171</v>
      </c>
      <c r="AO20" s="62">
        <f t="shared" si="36"/>
        <v>291.1952427029787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44.572376095686856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6.6</v>
      </c>
      <c r="BD20" s="13">
        <f>IF('Données projet'!$A$88&gt;35,BD19+BC20-BL19,IF(A20&lt;'Données projet'!$A$88,$BA$205^A20,IF(A20='Données projet'!$A$88,'Données projet'!$B$88,BD19+BC20-BL19)))</f>
        <v>63.458213501978861</v>
      </c>
      <c r="BE20" s="14">
        <f>BD20*VLOOKUP('Données projet'!$B$11,Paramètres!$A$1:$I$89,3,0)*VLOOKUP('Données projet'!$B$11,Paramètres!$A$1:$I$89,5,0)</f>
        <v>55.437095315328747</v>
      </c>
      <c r="BF20" s="14">
        <f t="shared" si="37"/>
        <v>16.009366884744278</v>
      </c>
      <c r="BG20" s="22">
        <f t="shared" si="7"/>
        <v>124.4359216651272</v>
      </c>
      <c r="BH20" s="62">
        <f t="shared" si="8"/>
        <v>308.64574512709009</v>
      </c>
      <c r="BI20" s="62">
        <f ca="1">AVERAGE(OFFSET($BH$3,0,0,'Données projet'!$E$11+1,1))-AVERAGE(OFFSET($H$3,0,0,'Données projet'!$E$11+1,1))</f>
        <v>373.50005214669716</v>
      </c>
      <c r="BJ20" s="62">
        <f t="shared" si="38"/>
        <v>383.60460086643036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44.572376095686856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18.600000000000001</v>
      </c>
      <c r="BY20" s="13">
        <f>IF('Données projet'!$A$114&gt;35,BY19+BX20-CG19,IF(A20&lt;'Données projet'!$A$114,$BV$205^A20,IF(A20='Données projet'!$A$114,'Données projet'!$B$114,BY19+BX20-CG19)))</f>
        <v>147.39999999999998</v>
      </c>
      <c r="BZ20" s="14">
        <f>BY20*VLOOKUP('Données projet'!$B$12,Paramètres!$A$1:$I$89,3,0)*VLOOKUP('Données projet'!$B$12,Paramètres!$A$1:$I$89,5,0)</f>
        <v>88.145199999999988</v>
      </c>
      <c r="CA20" s="14">
        <f t="shared" si="39"/>
        <v>24.117351189004136</v>
      </c>
      <c r="CB20" s="22">
        <f t="shared" si="10"/>
        <v>195.52394332084884</v>
      </c>
      <c r="CC20" s="62">
        <f t="shared" si="11"/>
        <v>379.7337667828117</v>
      </c>
      <c r="CD20" s="62">
        <f ca="1">AVERAGE(OFFSET($CC$3,0,0,'Données projet'!$E$12+1,1))-AVERAGE(OFFSET($H$3,0,0,'Données projet'!$E$12+1,1))</f>
        <v>210.13237351083279</v>
      </c>
      <c r="CE20" s="62">
        <f t="shared" si="40"/>
        <v>423.06475179432277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4.7395243974457886</v>
      </c>
      <c r="CN20" s="24">
        <f t="shared" si="12"/>
        <v>4.7395243974457886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44.572376095686856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3.65</v>
      </c>
      <c r="CT20" s="13">
        <f>IF('Données projet'!$A$140&gt;35,CT19+CS20-DB19,IF(A20&lt;'Données projet'!$A$140,$CQ$205^A20,IF(A20='Données projet'!$A$140,'Données projet'!$B$140,CT19+CS20-DB19)))</f>
        <v>38.355215845858055</v>
      </c>
      <c r="CU20" s="18">
        <f>CT20*VLOOKUP('Données projet'!$B$13,Paramètres!$A$1:$I$89,3,0)*VLOOKUP('Données projet'!$B$13,Paramètres!$A$1:$I$89,5,0)</f>
        <v>34.703799297332367</v>
      </c>
      <c r="CV20" s="14">
        <f t="shared" si="41"/>
        <v>10.583497277259243</v>
      </c>
      <c r="CW20" s="22">
        <f t="shared" si="13"/>
        <v>78.875374867413711</v>
      </c>
      <c r="CX20" s="62">
        <f t="shared" si="14"/>
        <v>263.08519832937657</v>
      </c>
      <c r="CY20" s="62">
        <f ca="1">AVERAGE(OFFSET($CX$3,0,0,'Données projet'!$E$13+1,1))-AVERAGE(OFFSET($H$3,0,0,'Données projet'!$E$13+1,1))</f>
        <v>493.89660144134291</v>
      </c>
      <c r="CZ20" s="62">
        <f t="shared" si="42"/>
        <v>312.97494624463229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44.572376095686856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18.600000000000001</v>
      </c>
      <c r="DO20" s="13">
        <f>IF('Données projet'!$A$166&gt;35,DO19+DN20-DW19,IF(A20&lt;'Données projet'!$A$166,$DL$205^A20,IF(A20='Données projet'!$A$166,'Données projet'!$B$166,DO19+DN20-DW19)))</f>
        <v>147.39999999999998</v>
      </c>
      <c r="DP20" s="18">
        <f>DO20*VLOOKUP('Données projet'!$B$14,Paramètres!$A$1:$I$89,3,0)*VLOOKUP('Données projet'!$B$14,Paramètres!$A$1:$I$89,5,0)</f>
        <v>88.145199999999988</v>
      </c>
      <c r="DQ20" s="14">
        <f t="shared" si="43"/>
        <v>24.117351189004136</v>
      </c>
      <c r="DR20" s="22">
        <f t="shared" si="16"/>
        <v>195.52394332084884</v>
      </c>
      <c r="DS20" s="62">
        <f t="shared" si="17"/>
        <v>379.7337667828117</v>
      </c>
      <c r="DT20" s="62">
        <f ca="1">AVERAGE(OFFSET($DS$3,0,0,'Données projet'!$E$14+1,1))-AVERAGE(OFFSET($H$3,0,0,'Données projet'!$E$14+1,1))</f>
        <v>210.13237351083279</v>
      </c>
      <c r="DU20" s="62">
        <f t="shared" si="44"/>
        <v>423.06475179432277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4.7395243974457886</v>
      </c>
      <c r="ED20" s="24">
        <f t="shared" si="18"/>
        <v>4.7395243974457886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44.572376095686856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44.572376095686856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44.572376095686856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44.572376095686856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4.5049999999999999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16.518333333333334</v>
      </c>
      <c r="H21" s="70">
        <f t="shared" si="1"/>
        <v>147.64566666666667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45.013488522776036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7.4285714285714288</v>
      </c>
      <c r="N21" s="14">
        <f>IF('Données projet'!$A$36&gt;35,N20+M21-V20,IF(A21&lt;'Données projet'!$A$36,$K$205^A21,IF(A21='Données projet'!$A$36,'Données projet'!$B$36,N20+M21-V20)))</f>
        <v>133.71428571428572</v>
      </c>
      <c r="O21" s="14">
        <f>N21*VLOOKUP('Données projet'!$B$9,Paramètres!$A$1:$I$89,3,0)*VLOOKUP('Données projet'!$B$9,Paramètres!$A$1:$I$89,5,0)</f>
        <v>62.578285714285713</v>
      </c>
      <c r="P21" s="14">
        <f t="shared" si="33"/>
        <v>17.818535737870285</v>
      </c>
      <c r="Q21" s="22">
        <f t="shared" si="2"/>
        <v>140.02446402917167</v>
      </c>
      <c r="R21" s="62">
        <f t="shared" si="0"/>
        <v>327.07392194601709</v>
      </c>
      <c r="S21" s="62">
        <f ca="1">AVERAGE(OFFSET($R$3,0,0,'Données projet'!$E$9+1,1))-AVERAGE(OFFSET($H$3,0,0,'Données projet'!$E$9+1,1))</f>
        <v>374.81775021423215</v>
      </c>
      <c r="T21" s="62">
        <f t="shared" si="34"/>
        <v>301.81248585467142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45.013488522776036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21.824483079099512</v>
      </c>
      <c r="AK21" s="14">
        <f t="shared" si="35"/>
        <v>7.0249454027704825</v>
      </c>
      <c r="AL21" s="22">
        <f t="shared" si="4"/>
        <v>50.246087939256903</v>
      </c>
      <c r="AM21" s="62">
        <f t="shared" si="5"/>
        <v>237.29554585610236</v>
      </c>
      <c r="AN21" s="62">
        <f ca="1">AVERAGE(OFFSET($AM$3,0,0,'Données projet'!$E$10+1,1))-AVERAGE(OFFSET($H$3,0,0,'Données projet'!$E$10+1,1))</f>
        <v>468.39960552661171</v>
      </c>
      <c r="AO21" s="62">
        <f t="shared" si="36"/>
        <v>291.1952427029787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45.013488522776036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6.6</v>
      </c>
      <c r="BD21" s="13">
        <f>IF('Données projet'!$A$88&gt;35,BD20+BC21-BL20,IF(A21&lt;'Données projet'!$A$88,$BA$205^A21,IF(A21='Données projet'!$A$88,'Données projet'!$B$88,BD20+BC21-BL20)))</f>
        <v>81.005878841406769</v>
      </c>
      <c r="BE21" s="14">
        <f>BD21*VLOOKUP('Données projet'!$B$11,Paramètres!$A$1:$I$89,3,0)*VLOOKUP('Données projet'!$B$11,Paramètres!$A$1:$I$89,5,0)</f>
        <v>70.766735755852963</v>
      </c>
      <c r="BF21" s="14">
        <f t="shared" si="37"/>
        <v>19.863744192515547</v>
      </c>
      <c r="BG21" s="22">
        <f t="shared" si="7"/>
        <v>157.84808591007513</v>
      </c>
      <c r="BH21" s="62">
        <f t="shared" si="8"/>
        <v>344.89754382692058</v>
      </c>
      <c r="BI21" s="62">
        <f ca="1">AVERAGE(OFFSET($BH$3,0,0,'Données projet'!$E$11+1,1))-AVERAGE(OFFSET($H$3,0,0,'Données projet'!$E$11+1,1))</f>
        <v>373.50005214669716</v>
      </c>
      <c r="BJ21" s="62">
        <f t="shared" si="38"/>
        <v>383.60460086643036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45.013488522776036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>
        <f>VLOOKUP(A21,'Données projet'!$A$113:$I$133,2,0)</f>
        <v>166</v>
      </c>
      <c r="BW21" s="13">
        <f>VLOOKUP(A21,'Données projet'!$A$113:$I$133,9,0)</f>
        <v>18.600000000000001</v>
      </c>
      <c r="BX21" s="13">
        <f t="array" ref="BX21">INDEX(BW:BW,MIN(IF(ISNUMBER(BW21:BW217),ROW(BW21:BW217),"")))</f>
        <v>18.600000000000001</v>
      </c>
      <c r="BY21" s="13">
        <f>IF('Données projet'!$A$114&gt;35,BY20+BX21-CG20,IF(A21&lt;'Données projet'!$A$114,$BV$205^A21,IF(A21='Données projet'!$A$114,'Données projet'!$B$114,BY20+BX21-CG20)))</f>
        <v>165.99999999999997</v>
      </c>
      <c r="BZ21" s="14">
        <f>BY21*VLOOKUP('Données projet'!$B$12,Paramètres!$A$1:$I$89,3,0)*VLOOKUP('Données projet'!$B$12,Paramètres!$A$1:$I$89,5,0)</f>
        <v>99.267999999999986</v>
      </c>
      <c r="CA21" s="14">
        <f t="shared" si="39"/>
        <v>26.78753414535981</v>
      </c>
      <c r="CB21" s="22">
        <f t="shared" si="10"/>
        <v>219.54672196983498</v>
      </c>
      <c r="CC21" s="62">
        <f t="shared" si="11"/>
        <v>406.59617988668043</v>
      </c>
      <c r="CD21" s="62">
        <f ca="1">AVERAGE(OFFSET($CC$3,0,0,'Données projet'!$E$12+1,1))-AVERAGE(OFFSET($H$3,0,0,'Données projet'!$E$12+1,1))</f>
        <v>210.13237351083279</v>
      </c>
      <c r="CE21" s="62">
        <f t="shared" si="40"/>
        <v>423.06475179432277</v>
      </c>
      <c r="CF21" s="16">
        <f>IF(ISNA(VLOOKUP(A21,'Données projet'!$A$113:$I$133,3,0)),0,VLOOKUP(A21,'Données projet'!$A$113:$I$133,3,0))</f>
        <v>2</v>
      </c>
      <c r="CG21" s="16">
        <f>IF(ISNA(VLOOKUP(A21,'Données projet'!$A$113:$I$133,4,0)),0,VLOOKUP(A21,'Données projet'!$A$113:$I$133,4,0))</f>
        <v>40</v>
      </c>
      <c r="CH21" s="17">
        <f>IF(ISNA(VLOOKUP(A21,'Données projet'!$A$113:$I$133,5,0)),0%,VLOOKUP(A21,'Données projet'!$A$113:$I$133,5,0)*VLOOKUP('Données projet'!$B$12,Paramètres!$A$1:$I$89,7,0))</f>
        <v>0.1125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0.75</v>
      </c>
      <c r="CK21" s="23">
        <f>EXP(-LN(2)/35)*CK20+(1-EXP(-LN(2)/35))/(LN(2)/35)*CG21*CH21*VLOOKUP('Données projet'!$B$12,Paramètres!$A$1:$I$89,3,0)*0.475*44/12</f>
        <v>3.5697849495878025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23.663597258657802</v>
      </c>
      <c r="CN21" s="24">
        <f t="shared" si="12"/>
        <v>27.233382208245605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45.013488522776036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3.65</v>
      </c>
      <c r="CT21" s="13">
        <f>IF('Données projet'!$A$140&gt;35,CT20+CS21-DB20,IF(A21&lt;'Données projet'!$A$140,$CQ$205^A21,IF(A21='Données projet'!$A$140,'Données projet'!$B$140,CT20+CS21-DB20)))</f>
        <v>47.532490941824946</v>
      </c>
      <c r="CU21" s="18">
        <f>CT21*VLOOKUP('Données projet'!$B$13,Paramètres!$A$1:$I$89,3,0)*VLOOKUP('Données projet'!$B$13,Paramètres!$A$1:$I$89,5,0)</f>
        <v>43.007397804163212</v>
      </c>
      <c r="CV21" s="14">
        <f t="shared" si="41"/>
        <v>12.792363936215189</v>
      </c>
      <c r="CW21" s="22">
        <f t="shared" si="13"/>
        <v>97.184585031159045</v>
      </c>
      <c r="CX21" s="62">
        <f t="shared" si="14"/>
        <v>284.23404294800451</v>
      </c>
      <c r="CY21" s="62">
        <f ca="1">AVERAGE(OFFSET($CX$3,0,0,'Données projet'!$E$13+1,1))-AVERAGE(OFFSET($H$3,0,0,'Données projet'!$E$13+1,1))</f>
        <v>493.89660144134291</v>
      </c>
      <c r="CZ21" s="62">
        <f t="shared" si="42"/>
        <v>312.97494624463229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45.013488522776036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>
        <f>VLOOKUP(A21,'Données projet'!$A$165:$I$185,2,0)</f>
        <v>166</v>
      </c>
      <c r="DM21" s="13">
        <f>VLOOKUP(A21,'Données projet'!$A$165:$I$185,9,0)</f>
        <v>18.600000000000001</v>
      </c>
      <c r="DN21" s="13">
        <f t="array" ref="DN21">INDEX(DM:DM,MIN(IF(ISNUMBER(DM21:DM217),ROW(DM21:DM217),"")))</f>
        <v>18.600000000000001</v>
      </c>
      <c r="DO21" s="13">
        <f>IF('Données projet'!$A$166&gt;35,DO20+DN21-DW20,IF(A21&lt;'Données projet'!$A$166,$DL$205^A21,IF(A21='Données projet'!$A$166,'Données projet'!$B$166,DO20+DN21-DW20)))</f>
        <v>165.99999999999997</v>
      </c>
      <c r="DP21" s="18">
        <f>DO21*VLOOKUP('Données projet'!$B$14,Paramètres!$A$1:$I$89,3,0)*VLOOKUP('Données projet'!$B$14,Paramètres!$A$1:$I$89,5,0)</f>
        <v>99.267999999999986</v>
      </c>
      <c r="DQ21" s="14">
        <f t="shared" si="43"/>
        <v>26.78753414535981</v>
      </c>
      <c r="DR21" s="22">
        <f t="shared" si="16"/>
        <v>219.54672196983498</v>
      </c>
      <c r="DS21" s="62">
        <f t="shared" si="17"/>
        <v>406.59617988668043</v>
      </c>
      <c r="DT21" s="62">
        <f ca="1">AVERAGE(OFFSET($DS$3,0,0,'Données projet'!$E$14+1,1))-AVERAGE(OFFSET($H$3,0,0,'Données projet'!$E$14+1,1))</f>
        <v>210.13237351083279</v>
      </c>
      <c r="DU21" s="62">
        <f t="shared" si="44"/>
        <v>423.06475179432277</v>
      </c>
      <c r="DV21" s="16">
        <f>IF(ISNA(VLOOKUP(A21,'Données projet'!$A$165:$I$185,3,0)),0,VLOOKUP(A21,'Données projet'!$A$165:$I$185,3,0))</f>
        <v>2</v>
      </c>
      <c r="DW21" s="16">
        <f>IF(ISNA(VLOOKUP(A21,'Données projet'!$A$165:$I$185,4,0)),0,VLOOKUP(A21,'Données projet'!$A$165:$I$185,4,0))</f>
        <v>40</v>
      </c>
      <c r="DX21" s="17">
        <f>IF(ISNA(VLOOKUP(A21,'Données projet'!$A$165:$I$185,5,0)),0%,VLOOKUP(A21,'Données projet'!$A$165:$I$185,5,0)*VLOOKUP('Données projet'!$B$14,Paramètres!$A$1:$I$89,7,0))</f>
        <v>0.1125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0.75</v>
      </c>
      <c r="EA21" s="23">
        <f>EXP(-LN(2)/35)*EA20+(1-EXP(-LN(2)/35))/(LN(2)/35)*DW21*DX21*VLOOKUP('Données projet'!$B$14,Paramètres!$A$1:$I$89,3,0)*0.475*44/12</f>
        <v>3.5697849495878025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23.663597258657802</v>
      </c>
      <c r="ED21" s="24">
        <f t="shared" si="18"/>
        <v>27.233382208245605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45.013488522776036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45.013488522776036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45.013488522776036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45.013488522776036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4.5049999999999999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16.518333333333334</v>
      </c>
      <c r="H22" s="70">
        <f t="shared" si="1"/>
        <v>147.64566666666667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45.446948635434858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7.4285714285714288</v>
      </c>
      <c r="N22" s="14">
        <f>IF('Données projet'!$A$36&gt;35,N21+M22-V21,IF(A22&lt;'Données projet'!$A$36,$K$205^A22,IF(A22='Données projet'!$A$36,'Données projet'!$B$36,N21+M22-V21)))</f>
        <v>141.14285714285714</v>
      </c>
      <c r="O22" s="14">
        <f>N22*VLOOKUP('Données projet'!$B$9,Paramètres!$A$1:$I$89,3,0)*VLOOKUP('Données projet'!$B$9,Paramètres!$A$1:$I$89,5,0)</f>
        <v>66.054857142857145</v>
      </c>
      <c r="P22" s="14">
        <f t="shared" si="33"/>
        <v>18.690456496143355</v>
      </c>
      <c r="Q22" s="22">
        <f t="shared" si="2"/>
        <v>147.59808792125918</v>
      </c>
      <c r="R22" s="62">
        <f t="shared" si="0"/>
        <v>337.45912180674259</v>
      </c>
      <c r="S22" s="62">
        <f ca="1">AVERAGE(OFFSET($R$3,0,0,'Données projet'!$E$9+1,1))-AVERAGE(OFFSET($H$3,0,0,'Données projet'!$E$9+1,1))</f>
        <v>374.81775021423215</v>
      </c>
      <c r="T22" s="62">
        <f t="shared" si="34"/>
        <v>301.81248585467142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45.446948635434858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25.881789459092229</v>
      </c>
      <c r="AK22" s="14">
        <f t="shared" si="35"/>
        <v>8.1672119898134259</v>
      </c>
      <c r="AL22" s="22">
        <f t="shared" si="4"/>
        <v>59.302010856844014</v>
      </c>
      <c r="AM22" s="62">
        <f t="shared" si="5"/>
        <v>249.1630447423274</v>
      </c>
      <c r="AN22" s="62">
        <f ca="1">AVERAGE(OFFSET($AM$3,0,0,'Données projet'!$E$10+1,1))-AVERAGE(OFFSET($H$3,0,0,'Données projet'!$E$10+1,1))</f>
        <v>468.39960552661171</v>
      </c>
      <c r="AO22" s="62">
        <f t="shared" si="36"/>
        <v>291.1952427029787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45.446948635434858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6.6</v>
      </c>
      <c r="BD22" s="13">
        <f>IF('Données projet'!$A$88&gt;35,BD21+BC22-BL21,IF(A22&lt;'Données projet'!$A$88,$BA$205^A22,IF(A22='Données projet'!$A$88,'Données projet'!$B$88,BD21+BC22-BL21)))</f>
        <v>103.40587994435182</v>
      </c>
      <c r="BE22" s="14">
        <f>BD22*VLOOKUP('Données projet'!$B$11,Paramètres!$A$1:$I$89,3,0)*VLOOKUP('Données projet'!$B$11,Paramètres!$A$1:$I$89,5,0)</f>
        <v>90.335376719385764</v>
      </c>
      <c r="BF22" s="14">
        <f t="shared" si="37"/>
        <v>24.646092265003244</v>
      </c>
      <c r="BG22" s="22">
        <f t="shared" si="7"/>
        <v>200.25939181447754</v>
      </c>
      <c r="BH22" s="62">
        <f t="shared" si="8"/>
        <v>390.12042569996095</v>
      </c>
      <c r="BI22" s="62">
        <f ca="1">AVERAGE(OFFSET($BH$3,0,0,'Données projet'!$E$11+1,1))-AVERAGE(OFFSET($H$3,0,0,'Données projet'!$E$11+1,1))</f>
        <v>373.50005214669716</v>
      </c>
      <c r="BJ22" s="62">
        <f t="shared" si="38"/>
        <v>383.60460086643036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45.446948635434858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17.8</v>
      </c>
      <c r="BY22" s="13">
        <f>IF('Données projet'!$A$114&gt;35,BY21+BX22-CG21,IF(A22&lt;'Données projet'!$A$114,$BV$205^A22,IF(A22='Données projet'!$A$114,'Données projet'!$B$114,BY21+BX22-CG21)))</f>
        <v>143.79999999999998</v>
      </c>
      <c r="BZ22" s="14">
        <f>BY22*VLOOKUP('Données projet'!$B$12,Paramètres!$A$1:$I$89,3,0)*VLOOKUP('Données projet'!$B$12,Paramètres!$A$1:$I$89,5,0)</f>
        <v>85.992400000000004</v>
      </c>
      <c r="CA22" s="14">
        <f t="shared" si="39"/>
        <v>23.596141005324462</v>
      </c>
      <c r="CB22" s="22">
        <f t="shared" si="10"/>
        <v>190.86670891760676</v>
      </c>
      <c r="CC22" s="62">
        <f t="shared" si="11"/>
        <v>380.72774280309011</v>
      </c>
      <c r="CD22" s="62">
        <f ca="1">AVERAGE(OFFSET($CC$3,0,0,'Données projet'!$E$12+1,1))-AVERAGE(OFFSET($H$3,0,0,'Données projet'!$E$12+1,1))</f>
        <v>210.13237351083279</v>
      </c>
      <c r="CE22" s="62">
        <f t="shared" si="40"/>
        <v>423.06475179432277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3.499783644080209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16.732690088864331</v>
      </c>
      <c r="CN22" s="24">
        <f t="shared" si="12"/>
        <v>20.232473732944541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45.446948635434858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3.65</v>
      </c>
      <c r="CT22" s="13">
        <f>IF('Données projet'!$A$140&gt;35,CT21+CS22-DB21,IF(A22&lt;'Données projet'!$A$140,$CQ$205^A22,IF(A22='Données projet'!$A$140,'Données projet'!$B$140,CT21+CS22-DB21)))</f>
        <v>58.90561805764559</v>
      </c>
      <c r="CU22" s="18">
        <f>CT22*VLOOKUP('Données projet'!$B$13,Paramètres!$A$1:$I$89,3,0)*VLOOKUP('Données projet'!$B$13,Paramètres!$A$1:$I$89,5,0)</f>
        <v>53.297803218557732</v>
      </c>
      <c r="CV22" s="14">
        <f t="shared" si="41"/>
        <v>15.462240012873817</v>
      </c>
      <c r="CW22" s="22">
        <f t="shared" si="13"/>
        <v>119.75707529474329</v>
      </c>
      <c r="CX22" s="62">
        <f t="shared" si="14"/>
        <v>309.61810918022667</v>
      </c>
      <c r="CY22" s="62">
        <f ca="1">AVERAGE(OFFSET($CX$3,0,0,'Données projet'!$E$13+1,1))-AVERAGE(OFFSET($H$3,0,0,'Données projet'!$E$13+1,1))</f>
        <v>493.89660144134291</v>
      </c>
      <c r="CZ22" s="62">
        <f t="shared" si="42"/>
        <v>312.97494624463229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45.446948635434858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17.8</v>
      </c>
      <c r="DO22" s="13">
        <f>IF('Données projet'!$A$166&gt;35,DO21+DN22-DW21,IF(A22&lt;'Données projet'!$A$166,$DL$205^A22,IF(A22='Données projet'!$A$166,'Données projet'!$B$166,DO21+DN22-DW21)))</f>
        <v>143.79999999999998</v>
      </c>
      <c r="DP22" s="18">
        <f>DO22*VLOOKUP('Données projet'!$B$14,Paramètres!$A$1:$I$89,3,0)*VLOOKUP('Données projet'!$B$14,Paramètres!$A$1:$I$89,5,0)</f>
        <v>85.992400000000004</v>
      </c>
      <c r="DQ22" s="14">
        <f t="shared" si="43"/>
        <v>23.596141005324462</v>
      </c>
      <c r="DR22" s="22">
        <f t="shared" si="16"/>
        <v>190.86670891760676</v>
      </c>
      <c r="DS22" s="62">
        <f t="shared" si="17"/>
        <v>380.72774280309011</v>
      </c>
      <c r="DT22" s="62">
        <f ca="1">AVERAGE(OFFSET($DS$3,0,0,'Données projet'!$E$14+1,1))-AVERAGE(OFFSET($H$3,0,0,'Données projet'!$E$14+1,1))</f>
        <v>210.13237351083279</v>
      </c>
      <c r="DU22" s="62">
        <f t="shared" si="44"/>
        <v>423.06475179432277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3.499783644080209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16.732690088864331</v>
      </c>
      <c r="ED22" s="24">
        <f t="shared" si="18"/>
        <v>20.232473732944541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45.446948635434858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45.446948635434858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45.446948635434858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45.446948635434858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4.5049999999999999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16.518333333333334</v>
      </c>
      <c r="H23" s="70">
        <f t="shared" si="1"/>
        <v>147.64566666666667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45.872889184210692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7.4285714285714288</v>
      </c>
      <c r="N23" s="14">
        <f>IF('Données projet'!$A$36&gt;35,N22+M23-V22,IF(A23&lt;'Données projet'!$A$36,$K$205^A23,IF(A23='Données projet'!$A$36,'Données projet'!$B$36,N22+M23-V22)))</f>
        <v>148.57142857142856</v>
      </c>
      <c r="O23" s="14">
        <f>N23*VLOOKUP('Données projet'!$B$9,Paramètres!$A$1:$I$89,3,0)*VLOOKUP('Données projet'!$B$9,Paramètres!$A$1:$I$89,5,0)</f>
        <v>69.531428571428563</v>
      </c>
      <c r="P23" s="14">
        <f t="shared" si="33"/>
        <v>19.557049324757912</v>
      </c>
      <c r="Q23" s="22">
        <f t="shared" si="2"/>
        <v>155.16243233585811</v>
      </c>
      <c r="R23" s="62">
        <f t="shared" si="0"/>
        <v>347.80747045574174</v>
      </c>
      <c r="S23" s="62">
        <f ca="1">AVERAGE(OFFSET($R$3,0,0,'Données projet'!$E$9+1,1))-AVERAGE(OFFSET($H$3,0,0,'Données projet'!$E$9+1,1))</f>
        <v>374.81775021423215</v>
      </c>
      <c r="T23" s="62">
        <f t="shared" si="34"/>
        <v>301.81248585467142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45.872889184210692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30.693374187922199</v>
      </c>
      <c r="AK23" s="14">
        <f t="shared" si="35"/>
        <v>9.4952128254613779</v>
      </c>
      <c r="AL23" s="22">
        <f t="shared" si="4"/>
        <v>69.995122381643057</v>
      </c>
      <c r="AM23" s="62">
        <f t="shared" si="5"/>
        <v>262.64016050152668</v>
      </c>
      <c r="AN23" s="62">
        <f ca="1">AVERAGE(OFFSET($AM$3,0,0,'Données projet'!$E$10+1,1))-AVERAGE(OFFSET($H$3,0,0,'Données projet'!$E$10+1,1))</f>
        <v>468.39960552661171</v>
      </c>
      <c r="AO23" s="62">
        <f t="shared" si="36"/>
        <v>291.1952427029787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45.872889184210692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132</v>
      </c>
      <c r="BB23" s="13">
        <f>VLOOKUP(A23,'Données projet'!$A$87:$I$107,9,0)</f>
        <v>6.6</v>
      </c>
      <c r="BC23" s="13">
        <f t="array" ref="BC23">INDEX(BB:BB,MIN(IF(ISNUMBER(BB23:BB219),ROW(BB23:BB219),"")))</f>
        <v>6.6</v>
      </c>
      <c r="BD23" s="13">
        <f>IF('Données projet'!$A$88&gt;35,BD22+BC23-BL22,IF(A23&lt;'Données projet'!$A$88,$BA$205^A23,IF(A23='Données projet'!$A$88,'Données projet'!$B$88,BD22+BC23-BL22)))</f>
        <v>132</v>
      </c>
      <c r="BE23" s="14">
        <f>BD23*VLOOKUP('Données projet'!$B$11,Paramètres!$A$1:$I$89,3,0)*VLOOKUP('Données projet'!$B$11,Paramètres!$A$1:$I$89,5,0)</f>
        <v>115.3152</v>
      </c>
      <c r="BF23" s="14">
        <f t="shared" si="37"/>
        <v>30.579827148797317</v>
      </c>
      <c r="BG23" s="22">
        <f t="shared" si="7"/>
        <v>254.10050561748861</v>
      </c>
      <c r="BH23" s="62">
        <f t="shared" si="8"/>
        <v>446.74554373737226</v>
      </c>
      <c r="BI23" s="62">
        <f ca="1">AVERAGE(OFFSET($BH$3,0,0,'Données projet'!$E$11+1,1))-AVERAGE(OFFSET($H$3,0,0,'Données projet'!$E$11+1,1))</f>
        <v>373.50005214669716</v>
      </c>
      <c r="BJ23" s="62">
        <f t="shared" si="38"/>
        <v>383.60460086643036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50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45.872889184210692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17.8</v>
      </c>
      <c r="BY23" s="13">
        <f>IF('Données projet'!$A$114&gt;35,BY22+BX23-CG22,IF(A23&lt;'Données projet'!$A$114,$BV$205^A23,IF(A23='Données projet'!$A$114,'Données projet'!$B$114,BY22+BX23-CG22)))</f>
        <v>161.6</v>
      </c>
      <c r="BZ23" s="14">
        <f>BY23*VLOOKUP('Données projet'!$B$12,Paramètres!$A$1:$I$89,3,0)*VLOOKUP('Données projet'!$B$12,Paramètres!$A$1:$I$89,5,0)</f>
        <v>96.636800000000008</v>
      </c>
      <c r="CA23" s="14">
        <f t="shared" si="39"/>
        <v>26.159173215164081</v>
      </c>
      <c r="CB23" s="22">
        <f t="shared" si="10"/>
        <v>213.86965334974411</v>
      </c>
      <c r="CC23" s="62">
        <f t="shared" si="11"/>
        <v>406.51469146962779</v>
      </c>
      <c r="CD23" s="62">
        <f ca="1">AVERAGE(OFFSET($CC$3,0,0,'Données projet'!$E$12+1,1))-AVERAGE(OFFSET($H$3,0,0,'Données projet'!$E$12+1,1))</f>
        <v>210.13237351083279</v>
      </c>
      <c r="CE23" s="62">
        <f t="shared" si="40"/>
        <v>423.06475179432277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3.4311550214770392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11.831798629328903</v>
      </c>
      <c r="CN23" s="24">
        <f t="shared" si="12"/>
        <v>15.262953650805942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45.872889184210692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73</v>
      </c>
      <c r="CR23" s="13">
        <f>VLOOKUP(A23,'Données projet'!$A$139:$I$159,9,0)</f>
        <v>3.65</v>
      </c>
      <c r="CS23" s="13">
        <f t="array" ref="CS23">INDEX(CR:CR,MIN(IF(ISNUMBER(CR23:CR219),ROW(CR23:CR219),"")))</f>
        <v>3.65</v>
      </c>
      <c r="CT23" s="13">
        <f>IF('Données projet'!$A$140&gt;35,CT22+CS23-DB22,IF(A23&lt;'Données projet'!$A$140,$CQ$205^A23,IF(A23='Données projet'!$A$140,'Données projet'!$B$140,CT22+CS23-DB22)))</f>
        <v>73</v>
      </c>
      <c r="CU23" s="18">
        <f>CT23*VLOOKUP('Données projet'!$B$13,Paramètres!$A$1:$I$89,3,0)*VLOOKUP('Données projet'!$B$13,Paramètres!$A$1:$I$89,5,0)</f>
        <v>66.050399999999996</v>
      </c>
      <c r="CV23" s="14">
        <f t="shared" si="41"/>
        <v>18.689342126897891</v>
      </c>
      <c r="CW23" s="22">
        <f t="shared" si="13"/>
        <v>147.58838420434714</v>
      </c>
      <c r="CX23" s="62">
        <f t="shared" si="14"/>
        <v>340.23342232423079</v>
      </c>
      <c r="CY23" s="62">
        <f ca="1">AVERAGE(OFFSET($CX$3,0,0,'Données projet'!$E$13+1,1))-AVERAGE(OFFSET($H$3,0,0,'Données projet'!$E$13+1,1))</f>
        <v>493.89660144134291</v>
      </c>
      <c r="CZ23" s="62">
        <f t="shared" si="42"/>
        <v>312.97494624463229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6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45.872889184210692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17.8</v>
      </c>
      <c r="DO23" s="13">
        <f>IF('Données projet'!$A$166&gt;35,DO22+DN23-DW22,IF(A23&lt;'Données projet'!$A$166,$DL$205^A23,IF(A23='Données projet'!$A$166,'Données projet'!$B$166,DO22+DN23-DW22)))</f>
        <v>161.6</v>
      </c>
      <c r="DP23" s="18">
        <f>DO23*VLOOKUP('Données projet'!$B$14,Paramètres!$A$1:$I$89,3,0)*VLOOKUP('Données projet'!$B$14,Paramètres!$A$1:$I$89,5,0)</f>
        <v>96.636800000000008</v>
      </c>
      <c r="DQ23" s="14">
        <f t="shared" si="43"/>
        <v>26.159173215164081</v>
      </c>
      <c r="DR23" s="22">
        <f t="shared" si="16"/>
        <v>213.86965334974411</v>
      </c>
      <c r="DS23" s="62">
        <f t="shared" si="17"/>
        <v>406.51469146962779</v>
      </c>
      <c r="DT23" s="62">
        <f ca="1">AVERAGE(OFFSET($DS$3,0,0,'Données projet'!$E$14+1,1))-AVERAGE(OFFSET($H$3,0,0,'Données projet'!$E$14+1,1))</f>
        <v>210.13237351083279</v>
      </c>
      <c r="DU23" s="62">
        <f t="shared" si="44"/>
        <v>423.06475179432277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3.4311550214770392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11.831798629328903</v>
      </c>
      <c r="ED23" s="24">
        <f t="shared" si="18"/>
        <v>15.262953650805942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45.872889184210692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45.872889184210692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45.872889184210692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45.872889184210692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4.5049999999999999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16.518333333333334</v>
      </c>
      <c r="H24" s="70">
        <f t="shared" si="1"/>
        <v>147.64566666666667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46.291440616725673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7.4285714285714288</v>
      </c>
      <c r="N24" s="14">
        <f>IF('Données projet'!$A$36&gt;35,N23+M24-V23,IF(A24&lt;'Données projet'!$A$36,$K$205^A24,IF(A24='Données projet'!$A$36,'Données projet'!$B$36,N23+M24-V23)))</f>
        <v>155.99999999999997</v>
      </c>
      <c r="O24" s="14">
        <f>N24*VLOOKUP('Données projet'!$B$9,Paramètres!$A$1:$I$89,3,0)*VLOOKUP('Données projet'!$B$9,Paramètres!$A$1:$I$89,5,0)</f>
        <v>73.007999999999996</v>
      </c>
      <c r="P24" s="14">
        <f t="shared" si="33"/>
        <v>20.418611018263636</v>
      </c>
      <c r="Q24" s="22">
        <f t="shared" si="2"/>
        <v>162.7180141901425</v>
      </c>
      <c r="R24" s="62">
        <f t="shared" si="0"/>
        <v>358.11996311813664</v>
      </c>
      <c r="S24" s="62">
        <f ca="1">AVERAGE(OFFSET($R$3,0,0,'Données projet'!$E$9+1,1))-AVERAGE(OFFSET($H$3,0,0,'Données projet'!$E$9+1,1))</f>
        <v>374.81775021423215</v>
      </c>
      <c r="T24" s="62">
        <f t="shared" si="34"/>
        <v>301.81248585467142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46.291440616725673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36.399462275544337</v>
      </c>
      <c r="AK24" s="14">
        <f t="shared" si="35"/>
        <v>11.039148575212362</v>
      </c>
      <c r="AL24" s="22">
        <f t="shared" si="4"/>
        <v>82.62224723173459</v>
      </c>
      <c r="AM24" s="62">
        <f t="shared" si="5"/>
        <v>278.02419615972872</v>
      </c>
      <c r="AN24" s="62">
        <f ca="1">AVERAGE(OFFSET($AM$3,0,0,'Données projet'!$E$10+1,1))-AVERAGE(OFFSET($H$3,0,0,'Données projet'!$E$10+1,1))</f>
        <v>468.39960552661171</v>
      </c>
      <c r="AO24" s="62">
        <f t="shared" si="36"/>
        <v>291.1952427029787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46.291440616725673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12.2</v>
      </c>
      <c r="BD24" s="13">
        <f>IF('Données projet'!$A$88&gt;35,BD23+BC24-BL23,IF(A24&lt;'Données projet'!$A$88,$BA$205^A24,IF(A24='Données projet'!$A$88,'Données projet'!$B$88,BD23+BC24-BL23)))</f>
        <v>94.199999999999989</v>
      </c>
      <c r="BE24" s="14">
        <f>BD24*VLOOKUP('Données projet'!$B$11,Paramètres!$A$1:$I$89,3,0)*VLOOKUP('Données projet'!$B$11,Paramètres!$A$1:$I$89,5,0)</f>
        <v>82.293120000000002</v>
      </c>
      <c r="BF24" s="14">
        <f t="shared" si="37"/>
        <v>22.696938367376966</v>
      </c>
      <c r="BG24" s="22">
        <f t="shared" si="7"/>
        <v>182.85768498984825</v>
      </c>
      <c r="BH24" s="62">
        <f t="shared" si="8"/>
        <v>378.25963391784239</v>
      </c>
      <c r="BI24" s="62">
        <f ca="1">AVERAGE(OFFSET($BH$3,0,0,'Données projet'!$E$11+1,1))-AVERAGE(OFFSET($H$3,0,0,'Données projet'!$E$11+1,1))</f>
        <v>373.50005214669716</v>
      </c>
      <c r="BJ24" s="62">
        <f t="shared" si="38"/>
        <v>383.60460086643036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46.291440616725673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17.8</v>
      </c>
      <c r="BY24" s="13">
        <f>IF('Données projet'!$A$114&gt;35,BY23+BX24-CG23,IF(A24&lt;'Données projet'!$A$114,$BV$205^A24,IF(A24='Données projet'!$A$114,'Données projet'!$B$114,BY23+BX24-CG23)))</f>
        <v>179.4</v>
      </c>
      <c r="BZ24" s="14">
        <f>BY24*VLOOKUP('Données projet'!$B$12,Paramètres!$A$1:$I$89,3,0)*VLOOKUP('Données projet'!$B$12,Paramètres!$A$1:$I$89,5,0)</f>
        <v>107.2812</v>
      </c>
      <c r="CA24" s="14">
        <f t="shared" si="39"/>
        <v>28.68948404302737</v>
      </c>
      <c r="CB24" s="22">
        <f t="shared" si="10"/>
        <v>236.81560804160597</v>
      </c>
      <c r="CC24" s="62">
        <f t="shared" si="11"/>
        <v>432.21755696960008</v>
      </c>
      <c r="CD24" s="62">
        <f ca="1">AVERAGE(OFFSET($CC$3,0,0,'Données projet'!$E$12+1,1))-AVERAGE(OFFSET($H$3,0,0,'Données projet'!$E$12+1,1))</f>
        <v>210.13237351083279</v>
      </c>
      <c r="CE24" s="62">
        <f t="shared" si="40"/>
        <v>423.06475179432277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3.3638721643037908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8.3663450444321654</v>
      </c>
      <c r="CN24" s="24">
        <f t="shared" si="12"/>
        <v>11.730217208735956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46.291440616725673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7.2</v>
      </c>
      <c r="CT24" s="13">
        <f>IF('Données projet'!$A$140&gt;35,CT23+CS24-DB23,IF(A24&lt;'Données projet'!$A$140,$CQ$205^A24,IF(A24='Données projet'!$A$140,'Données projet'!$B$140,CT23+CS24-DB23)))</f>
        <v>74.2</v>
      </c>
      <c r="CU24" s="18">
        <f>CT24*VLOOKUP('Données projet'!$B$13,Paramètres!$A$1:$I$89,3,0)*VLOOKUP('Données projet'!$B$13,Paramètres!$A$1:$I$89,5,0)</f>
        <v>67.136160000000004</v>
      </c>
      <c r="CV24" s="14">
        <f t="shared" si="41"/>
        <v>18.960545405756019</v>
      </c>
      <c r="CW24" s="22">
        <f t="shared" si="13"/>
        <v>149.95176191502506</v>
      </c>
      <c r="CX24" s="62">
        <f t="shared" si="14"/>
        <v>345.3537108430192</v>
      </c>
      <c r="CY24" s="62">
        <f ca="1">AVERAGE(OFFSET($CX$3,0,0,'Données projet'!$E$13+1,1))-AVERAGE(OFFSET($H$3,0,0,'Données projet'!$E$13+1,1))</f>
        <v>493.89660144134291</v>
      </c>
      <c r="CZ24" s="62">
        <f t="shared" si="42"/>
        <v>312.97494624463229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46.291440616725673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17.8</v>
      </c>
      <c r="DO24" s="13">
        <f>IF('Données projet'!$A$166&gt;35,DO23+DN24-DW23,IF(A24&lt;'Données projet'!$A$166,$DL$205^A24,IF(A24='Données projet'!$A$166,'Données projet'!$B$166,DO23+DN24-DW23)))</f>
        <v>179.4</v>
      </c>
      <c r="DP24" s="18">
        <f>DO24*VLOOKUP('Données projet'!$B$14,Paramètres!$A$1:$I$89,3,0)*VLOOKUP('Données projet'!$B$14,Paramètres!$A$1:$I$89,5,0)</f>
        <v>107.2812</v>
      </c>
      <c r="DQ24" s="14">
        <f t="shared" si="43"/>
        <v>28.68948404302737</v>
      </c>
      <c r="DR24" s="22">
        <f t="shared" si="16"/>
        <v>236.81560804160597</v>
      </c>
      <c r="DS24" s="62">
        <f t="shared" si="17"/>
        <v>432.21755696960008</v>
      </c>
      <c r="DT24" s="62">
        <f ca="1">AVERAGE(OFFSET($DS$3,0,0,'Données projet'!$E$14+1,1))-AVERAGE(OFFSET($H$3,0,0,'Données projet'!$E$14+1,1))</f>
        <v>210.13237351083279</v>
      </c>
      <c r="DU24" s="62">
        <f t="shared" si="44"/>
        <v>423.06475179432277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3.3638721643037908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8.3663450444321654</v>
      </c>
      <c r="ED24" s="24">
        <f t="shared" si="18"/>
        <v>11.730217208735956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46.291440616725673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46.291440616725673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46.291440616725673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46.291440616725673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4.5049999999999999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16.518333333333334</v>
      </c>
      <c r="H25" s="70">
        <f t="shared" si="1"/>
        <v>147.64566666666667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46.70273111762733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7.4285714285714288</v>
      </c>
      <c r="N25" s="14">
        <f>IF('Données projet'!$A$36&gt;35,N24+M25-V24,IF(A25&lt;'Données projet'!$A$36,$K$205^A25,IF(A25='Données projet'!$A$36,'Données projet'!$B$36,N24+M25-V24)))</f>
        <v>163.42857142857139</v>
      </c>
      <c r="O25" s="14">
        <f>N25*VLOOKUP('Données projet'!$B$9,Paramètres!$A$1:$I$89,3,0)*VLOOKUP('Données projet'!$B$9,Paramètres!$A$1:$I$89,5,0)</f>
        <v>76.484571428571414</v>
      </c>
      <c r="P25" s="14">
        <f t="shared" si="33"/>
        <v>21.275408507866057</v>
      </c>
      <c r="Q25" s="22">
        <f t="shared" si="2"/>
        <v>170.26529838929525</v>
      </c>
      <c r="R25" s="62">
        <f t="shared" si="0"/>
        <v>368.39753470948438</v>
      </c>
      <c r="S25" s="62">
        <f ca="1">AVERAGE(OFFSET($R$3,0,0,'Données projet'!$E$9+1,1))-AVERAGE(OFFSET($H$3,0,0,'Données projet'!$E$9+1,1))</f>
        <v>374.81775021423215</v>
      </c>
      <c r="T25" s="62">
        <f t="shared" si="34"/>
        <v>301.81248585467142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46.70273111762733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43.166347428499073</v>
      </c>
      <c r="AK25" s="14">
        <f t="shared" si="35"/>
        <v>12.83413057776214</v>
      </c>
      <c r="AL25" s="22">
        <f t="shared" si="4"/>
        <v>97.534165860904935</v>
      </c>
      <c r="AM25" s="62">
        <f t="shared" si="5"/>
        <v>295.66640218109404</v>
      </c>
      <c r="AN25" s="62">
        <f ca="1">AVERAGE(OFFSET($AM$3,0,0,'Données projet'!$E$10+1,1))-AVERAGE(OFFSET($H$3,0,0,'Données projet'!$E$10+1,1))</f>
        <v>468.39960552661171</v>
      </c>
      <c r="AO25" s="62">
        <f t="shared" si="36"/>
        <v>291.1952427029787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46.70273111762733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12.2</v>
      </c>
      <c r="BD25" s="13">
        <f>IF('Données projet'!$A$88&gt;35,BD24+BC25-BL24,IF(A25&lt;'Données projet'!$A$88,$BA$205^A25,IF(A25='Données projet'!$A$88,'Données projet'!$B$88,BD24+BC25-BL24)))</f>
        <v>106.39999999999999</v>
      </c>
      <c r="BE25" s="14">
        <f>BD25*VLOOKUP('Données projet'!$B$11,Paramètres!$A$1:$I$89,3,0)*VLOOKUP('Données projet'!$B$11,Paramètres!$A$1:$I$89,5,0)</f>
        <v>92.951040000000006</v>
      </c>
      <c r="BF25" s="14">
        <f t="shared" si="37"/>
        <v>25.275602869272223</v>
      </c>
      <c r="BG25" s="22">
        <f t="shared" si="7"/>
        <v>205.9114029973158</v>
      </c>
      <c r="BH25" s="62">
        <f t="shared" si="8"/>
        <v>404.04363931750493</v>
      </c>
      <c r="BI25" s="62">
        <f ca="1">AVERAGE(OFFSET($BH$3,0,0,'Données projet'!$E$11+1,1))-AVERAGE(OFFSET($H$3,0,0,'Données projet'!$E$11+1,1))</f>
        <v>373.50005214669716</v>
      </c>
      <c r="BJ25" s="62">
        <f t="shared" si="38"/>
        <v>383.60460086643036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46.70273111762733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17.8</v>
      </c>
      <c r="BY25" s="13">
        <f>IF('Données projet'!$A$114&gt;35,BY24+BX25-CG24,IF(A25&lt;'Données projet'!$A$114,$BV$205^A25,IF(A25='Données projet'!$A$114,'Données projet'!$B$114,BY24+BX25-CG24)))</f>
        <v>197.20000000000002</v>
      </c>
      <c r="BZ25" s="14">
        <f>BY25*VLOOKUP('Données projet'!$B$12,Paramètres!$A$1:$I$89,3,0)*VLOOKUP('Données projet'!$B$12,Paramètres!$A$1:$I$89,5,0)</f>
        <v>117.92560000000003</v>
      </c>
      <c r="CA25" s="14">
        <f t="shared" si="39"/>
        <v>31.190689636070587</v>
      </c>
      <c r="CB25" s="22">
        <f t="shared" si="10"/>
        <v>259.71087111615634</v>
      </c>
      <c r="CC25" s="62">
        <f t="shared" si="11"/>
        <v>457.84310743634546</v>
      </c>
      <c r="CD25" s="62">
        <f ca="1">AVERAGE(OFFSET($CC$3,0,0,'Données projet'!$E$12+1,1))-AVERAGE(OFFSET($H$3,0,0,'Données projet'!$E$12+1,1))</f>
        <v>210.13237351083279</v>
      </c>
      <c r="CE25" s="62">
        <f t="shared" si="40"/>
        <v>423.06475179432277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3.2979086829212192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5.9158993146644514</v>
      </c>
      <c r="CN25" s="24">
        <f t="shared" si="12"/>
        <v>9.2138079975856702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46.70273111762733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7.2</v>
      </c>
      <c r="CT25" s="13">
        <f>IF('Données projet'!$A$140&gt;35,CT24+CS25-DB24,IF(A25&lt;'Données projet'!$A$140,$CQ$205^A25,IF(A25='Données projet'!$A$140,'Données projet'!$B$140,CT24+CS25-DB24)))</f>
        <v>81.400000000000006</v>
      </c>
      <c r="CU25" s="18">
        <f>CT25*VLOOKUP('Données projet'!$B$13,Paramètres!$A$1:$I$89,3,0)*VLOOKUP('Données projet'!$B$13,Paramètres!$A$1:$I$89,5,0)</f>
        <v>73.650720000000007</v>
      </c>
      <c r="CV25" s="14">
        <f t="shared" si="41"/>
        <v>20.577360172493922</v>
      </c>
      <c r="CW25" s="22">
        <f t="shared" si="13"/>
        <v>164.11390630042692</v>
      </c>
      <c r="CX25" s="62">
        <f t="shared" si="14"/>
        <v>362.24614262061607</v>
      </c>
      <c r="CY25" s="62">
        <f ca="1">AVERAGE(OFFSET($CX$3,0,0,'Données projet'!$E$13+1,1))-AVERAGE(OFFSET($H$3,0,0,'Données projet'!$E$13+1,1))</f>
        <v>493.89660144134291</v>
      </c>
      <c r="CZ25" s="62">
        <f t="shared" si="42"/>
        <v>312.97494624463229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46.70273111762733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17.8</v>
      </c>
      <c r="DO25" s="13">
        <f>IF('Données projet'!$A$166&gt;35,DO24+DN25-DW24,IF(A25&lt;'Données projet'!$A$166,$DL$205^A25,IF(A25='Données projet'!$A$166,'Données projet'!$B$166,DO24+DN25-DW24)))</f>
        <v>197.20000000000002</v>
      </c>
      <c r="DP25" s="18">
        <f>DO25*VLOOKUP('Données projet'!$B$14,Paramètres!$A$1:$I$89,3,0)*VLOOKUP('Données projet'!$B$14,Paramètres!$A$1:$I$89,5,0)</f>
        <v>117.92560000000003</v>
      </c>
      <c r="DQ25" s="14">
        <f t="shared" si="43"/>
        <v>31.190689636070587</v>
      </c>
      <c r="DR25" s="22">
        <f t="shared" si="16"/>
        <v>259.71087111615634</v>
      </c>
      <c r="DS25" s="62">
        <f t="shared" si="17"/>
        <v>457.84310743634546</v>
      </c>
      <c r="DT25" s="62">
        <f ca="1">AVERAGE(OFFSET($DS$3,0,0,'Données projet'!$E$14+1,1))-AVERAGE(OFFSET($H$3,0,0,'Données projet'!$E$14+1,1))</f>
        <v>210.13237351083279</v>
      </c>
      <c r="DU25" s="62">
        <f t="shared" si="44"/>
        <v>423.06475179432277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3.2979086829212192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5.9158993146644514</v>
      </c>
      <c r="ED25" s="24">
        <f t="shared" si="18"/>
        <v>9.2138079975856702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46.70273111762733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46.70273111762733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46.70273111762733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46.70273111762733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4.5049999999999999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16.518333333333334</v>
      </c>
      <c r="H26" s="70">
        <f t="shared" si="1"/>
        <v>147.64566666666667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47.106886647846153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7.4285714285714288</v>
      </c>
      <c r="N26" s="14">
        <f>IF('Données projet'!$A$36&gt;35,N25+M26-V25,IF(A26&lt;'Données projet'!$A$36,$K$205^A26,IF(A26='Données projet'!$A$36,'Données projet'!$B$36,N25+M26-V25)))</f>
        <v>170.8571428571428</v>
      </c>
      <c r="O26" s="14">
        <f>N26*VLOOKUP('Données projet'!$B$9,Paramètres!$A$1:$I$89,3,0)*VLOOKUP('Données projet'!$B$9,Paramètres!$A$1:$I$89,5,0)</f>
        <v>79.961142857142832</v>
      </c>
      <c r="P26" s="14">
        <f t="shared" si="33"/>
        <v>22.127683086604236</v>
      </c>
      <c r="Q26" s="22">
        <f t="shared" si="2"/>
        <v>177.80470518535947</v>
      </c>
      <c r="R26" s="62">
        <f t="shared" si="0"/>
        <v>378.64106733857318</v>
      </c>
      <c r="S26" s="62">
        <f ca="1">AVERAGE(OFFSET($R$3,0,0,'Données projet'!$E$9+1,1))-AVERAGE(OFFSET($H$3,0,0,'Données projet'!$E$9+1,1))</f>
        <v>374.81775021423215</v>
      </c>
      <c r="T26" s="62">
        <f t="shared" si="34"/>
        <v>301.81248585467142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47.106886647846153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51.19123838183193</v>
      </c>
      <c r="AK26" s="14">
        <f t="shared" si="35"/>
        <v>14.920979327781229</v>
      </c>
      <c r="AL26" s="22">
        <f t="shared" si="4"/>
        <v>115.14544584424293</v>
      </c>
      <c r="AM26" s="62">
        <f t="shared" si="5"/>
        <v>315.9818079974566</v>
      </c>
      <c r="AN26" s="62">
        <f ca="1">AVERAGE(OFFSET($AM$3,0,0,'Données projet'!$E$10+1,1))-AVERAGE(OFFSET($H$3,0,0,'Données projet'!$E$10+1,1))</f>
        <v>468.39960552661171</v>
      </c>
      <c r="AO26" s="62">
        <f t="shared" si="36"/>
        <v>291.1952427029787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47.106886647846153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12.2</v>
      </c>
      <c r="BD26" s="13">
        <f>IF('Données projet'!$A$88&gt;35,BD25+BC26-BL25,IF(A26&lt;'Données projet'!$A$88,$BA$205^A26,IF(A26='Données projet'!$A$88,'Données projet'!$B$88,BD25+BC26-BL25)))</f>
        <v>118.6</v>
      </c>
      <c r="BE26" s="14">
        <f>BD26*VLOOKUP('Données projet'!$B$11,Paramètres!$A$1:$I$89,3,0)*VLOOKUP('Données projet'!$B$11,Paramètres!$A$1:$I$89,5,0)</f>
        <v>103.60896</v>
      </c>
      <c r="BF26" s="14">
        <f t="shared" si="37"/>
        <v>27.820000397643376</v>
      </c>
      <c r="BG26" s="22">
        <f t="shared" si="7"/>
        <v>228.90543935922889</v>
      </c>
      <c r="BH26" s="62">
        <f t="shared" si="8"/>
        <v>429.74180151244258</v>
      </c>
      <c r="BI26" s="62">
        <f ca="1">AVERAGE(OFFSET($BH$3,0,0,'Données projet'!$E$11+1,1))-AVERAGE(OFFSET($H$3,0,0,'Données projet'!$E$11+1,1))</f>
        <v>373.50005214669716</v>
      </c>
      <c r="BJ26" s="62">
        <f t="shared" si="38"/>
        <v>383.60460086643036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47.106886647846153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>
        <f>VLOOKUP(A26,'Données projet'!$A$113:$I$133,2,0)</f>
        <v>215</v>
      </c>
      <c r="BW26" s="13">
        <f>VLOOKUP(A26,'Données projet'!$A$113:$I$133,9,0)</f>
        <v>17.8</v>
      </c>
      <c r="BX26" s="13">
        <f t="array" ref="BX26">INDEX(BW:BW,MIN(IF(ISNUMBER(BW26:BW222),ROW(BW26:BW222),"")))</f>
        <v>17.8</v>
      </c>
      <c r="BY26" s="13">
        <f>IF('Données projet'!$A$114&gt;35,BY25+BX26-CG25,IF(A26&lt;'Données projet'!$A$114,$BV$205^A26,IF(A26='Données projet'!$A$114,'Données projet'!$B$114,BY25+BX26-CG25)))</f>
        <v>215.00000000000003</v>
      </c>
      <c r="BZ26" s="14">
        <f>BY26*VLOOKUP('Données projet'!$B$12,Paramètres!$A$1:$I$89,3,0)*VLOOKUP('Données projet'!$B$12,Paramètres!$A$1:$I$89,5,0)</f>
        <v>128.57000000000002</v>
      </c>
      <c r="CA26" s="14">
        <f t="shared" si="39"/>
        <v>33.665715905233277</v>
      </c>
      <c r="CB26" s="22">
        <f t="shared" si="10"/>
        <v>282.56053853494797</v>
      </c>
      <c r="CC26" s="62">
        <f t="shared" si="11"/>
        <v>483.39690068816162</v>
      </c>
      <c r="CD26" s="62">
        <f ca="1">AVERAGE(OFFSET($CC$3,0,0,'Données projet'!$E$12+1,1))-AVERAGE(OFFSET($H$3,0,0,'Données projet'!$E$12+1,1))</f>
        <v>210.13237351083279</v>
      </c>
      <c r="CE26" s="62">
        <f t="shared" si="40"/>
        <v>423.06475179432277</v>
      </c>
      <c r="CF26" s="16">
        <f>IF(ISNA(VLOOKUP(A26,'Données projet'!$A$113:$I$133,3,0)),0,VLOOKUP(A26,'Données projet'!$A$113:$I$133,3,0))</f>
        <v>3</v>
      </c>
      <c r="CG26" s="16">
        <f>IF(ISNA(VLOOKUP(A26,'Données projet'!$A$113:$I$133,4,0)),0,VLOOKUP(A26,'Données projet'!$A$113:$I$133,4,0))</f>
        <v>52</v>
      </c>
      <c r="CH26" s="17">
        <f>IF(ISNA(VLOOKUP(A26,'Données projet'!$A$113:$I$133,5,0)),0%,VLOOKUP(A26,'Données projet'!$A$113:$I$133,5,0)*VLOOKUP('Données projet'!$B$12,Paramètres!$A$1:$I$89,7,0))</f>
        <v>0.22500000000000001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0.5</v>
      </c>
      <c r="CK26" s="23">
        <f>EXP(-LN(2)/35)*CK25+(1-EXP(-LN(2)/35))/(LN(2)/35)*CG26*CH26*VLOOKUP('Données projet'!$B$12,Paramètres!$A$1:$I$89,3,0)*0.475*44/12</f>
        <v>12.514679574103097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21.787120284157577</v>
      </c>
      <c r="CN26" s="24">
        <f t="shared" si="12"/>
        <v>34.301799858260672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47.106886647846153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7.2</v>
      </c>
      <c r="CT26" s="13">
        <f>IF('Données projet'!$A$140&gt;35,CT25+CS26-DB25,IF(A26&lt;'Données projet'!$A$140,$CQ$205^A26,IF(A26='Données projet'!$A$140,'Données projet'!$B$140,CT25+CS26-DB25)))</f>
        <v>88.600000000000009</v>
      </c>
      <c r="CU26" s="18">
        <f>CT26*VLOOKUP('Données projet'!$B$13,Paramètres!$A$1:$I$89,3,0)*VLOOKUP('Données projet'!$B$13,Paramètres!$A$1:$I$89,5,0)</f>
        <v>80.165279999999996</v>
      </c>
      <c r="CV26" s="14">
        <f t="shared" si="41"/>
        <v>22.177591092468788</v>
      </c>
      <c r="CW26" s="22">
        <f t="shared" si="13"/>
        <v>178.24716715271646</v>
      </c>
      <c r="CX26" s="62">
        <f t="shared" si="14"/>
        <v>379.08352930593014</v>
      </c>
      <c r="CY26" s="62">
        <f ca="1">AVERAGE(OFFSET($CX$3,0,0,'Données projet'!$E$13+1,1))-AVERAGE(OFFSET($H$3,0,0,'Données projet'!$E$13+1,1))</f>
        <v>493.89660144134291</v>
      </c>
      <c r="CZ26" s="62">
        <f t="shared" si="42"/>
        <v>312.97494624463229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47.106886647846153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>
        <f>VLOOKUP(A26,'Données projet'!$A$165:$I$185,2,0)</f>
        <v>215</v>
      </c>
      <c r="DM26" s="13">
        <f>VLOOKUP(A26,'Données projet'!$A$165:$I$185,9,0)</f>
        <v>17.8</v>
      </c>
      <c r="DN26" s="13">
        <f t="array" ref="DN26">INDEX(DM:DM,MIN(IF(ISNUMBER(DM26:DM222),ROW(DM26:DM222),"")))</f>
        <v>17.8</v>
      </c>
      <c r="DO26" s="13">
        <f>IF('Données projet'!$A$166&gt;35,DO25+DN26-DW25,IF(A26&lt;'Données projet'!$A$166,$DL$205^A26,IF(A26='Données projet'!$A$166,'Données projet'!$B$166,DO25+DN26-DW25)))</f>
        <v>215.00000000000003</v>
      </c>
      <c r="DP26" s="18">
        <f>DO26*VLOOKUP('Données projet'!$B$14,Paramètres!$A$1:$I$89,3,0)*VLOOKUP('Données projet'!$B$14,Paramètres!$A$1:$I$89,5,0)</f>
        <v>128.57000000000002</v>
      </c>
      <c r="DQ26" s="14">
        <f t="shared" si="43"/>
        <v>33.665715905233277</v>
      </c>
      <c r="DR26" s="22">
        <f t="shared" si="16"/>
        <v>282.56053853494797</v>
      </c>
      <c r="DS26" s="62">
        <f t="shared" si="17"/>
        <v>483.39690068816162</v>
      </c>
      <c r="DT26" s="62">
        <f ca="1">AVERAGE(OFFSET($DS$3,0,0,'Données projet'!$E$14+1,1))-AVERAGE(OFFSET($H$3,0,0,'Données projet'!$E$14+1,1))</f>
        <v>210.13237351083279</v>
      </c>
      <c r="DU26" s="62">
        <f t="shared" si="44"/>
        <v>423.06475179432277</v>
      </c>
      <c r="DV26" s="16">
        <f>IF(ISNA(VLOOKUP(A26,'Données projet'!$A$165:$I$185,3,0)),0,VLOOKUP(A26,'Données projet'!$A$165:$I$185,3,0))</f>
        <v>3</v>
      </c>
      <c r="DW26" s="16">
        <f>IF(ISNA(VLOOKUP(A26,'Données projet'!$A$165:$I$185,4,0)),0,VLOOKUP(A26,'Données projet'!$A$165:$I$185,4,0))</f>
        <v>52</v>
      </c>
      <c r="DX26" s="17">
        <f>IF(ISNA(VLOOKUP(A26,'Données projet'!$A$165:$I$185,5,0)),0%,VLOOKUP(A26,'Données projet'!$A$165:$I$185,5,0)*VLOOKUP('Données projet'!$B$14,Paramètres!$A$1:$I$89,7,0))</f>
        <v>0.22500000000000001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0.5</v>
      </c>
      <c r="EA26" s="23">
        <f>EXP(-LN(2)/35)*EA25+(1-EXP(-LN(2)/35))/(LN(2)/35)*DW26*DX26*VLOOKUP('Données projet'!$B$14,Paramètres!$A$1:$I$89,3,0)*0.475*44/12</f>
        <v>12.514679574103097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21.787120284157577</v>
      </c>
      <c r="ED26" s="24">
        <f t="shared" si="18"/>
        <v>34.301799858260672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47.106886647846153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47.106886647846153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47.106886647846153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47.106886647846153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4.5049999999999999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16.518333333333334</v>
      </c>
      <c r="H27" s="70">
        <f t="shared" si="1"/>
        <v>147.64566666666667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47.504030983172086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7.4285714285714288</v>
      </c>
      <c r="N27" s="14">
        <f>IF('Données projet'!$A$36&gt;35,N26+M27-V26,IF(A27&lt;'Données projet'!$A$36,$K$205^A27,IF(A27='Données projet'!$A$36,'Données projet'!$B$36,N26+M27-V26)))</f>
        <v>178.28571428571422</v>
      </c>
      <c r="O27" s="14">
        <f>N27*VLOOKUP('Données projet'!$B$9,Paramètres!$A$1:$I$89,3,0)*VLOOKUP('Données projet'!$B$9,Paramètres!$A$1:$I$89,5,0)</f>
        <v>83.43771428571425</v>
      </c>
      <c r="P27" s="14">
        <f t="shared" si="33"/>
        <v>22.975653878980633</v>
      </c>
      <c r="Q27" s="22">
        <f t="shared" si="2"/>
        <v>185.33661622017692</v>
      </c>
      <c r="R27" s="62">
        <f t="shared" si="0"/>
        <v>388.85139649180792</v>
      </c>
      <c r="S27" s="62">
        <f ca="1">AVERAGE(OFFSET($R$3,0,0,'Données projet'!$E$9+1,1))-AVERAGE(OFFSET($H$3,0,0,'Données projet'!$E$9+1,1))</f>
        <v>374.81775021423215</v>
      </c>
      <c r="T27" s="62">
        <f t="shared" si="34"/>
        <v>301.81248585467142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47.504030983172086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60.708006194089528</v>
      </c>
      <c r="AK27" s="14">
        <f t="shared" si="35"/>
        <v>17.347152793180882</v>
      </c>
      <c r="AL27" s="22">
        <f t="shared" si="4"/>
        <v>135.94606856949596</v>
      </c>
      <c r="AM27" s="62">
        <f t="shared" si="5"/>
        <v>339.46084884112696</v>
      </c>
      <c r="AN27" s="62">
        <f ca="1">AVERAGE(OFFSET($AM$3,0,0,'Données projet'!$E$10+1,1))-AVERAGE(OFFSET($H$3,0,0,'Données projet'!$E$10+1,1))</f>
        <v>468.39960552661171</v>
      </c>
      <c r="AO27" s="62">
        <f t="shared" si="36"/>
        <v>291.1952427029787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47.504030983172086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12.2</v>
      </c>
      <c r="BD27" s="13">
        <f>IF('Données projet'!$A$88&gt;35,BD26+BC27-BL26,IF(A27&lt;'Données projet'!$A$88,$BA$205^A27,IF(A27='Données projet'!$A$88,'Données projet'!$B$88,BD26+BC27-BL26)))</f>
        <v>130.79999999999998</v>
      </c>
      <c r="BE27" s="14">
        <f>BD27*VLOOKUP('Données projet'!$B$11,Paramètres!$A$1:$I$89,3,0)*VLOOKUP('Données projet'!$B$11,Paramètres!$A$1:$I$89,5,0)</f>
        <v>114.26687999999999</v>
      </c>
      <c r="BF27" s="14">
        <f t="shared" si="37"/>
        <v>30.334057329879929</v>
      </c>
      <c r="BG27" s="22">
        <f t="shared" si="7"/>
        <v>251.84663251620748</v>
      </c>
      <c r="BH27" s="62">
        <f t="shared" si="8"/>
        <v>455.3614127878385</v>
      </c>
      <c r="BI27" s="62">
        <f ca="1">AVERAGE(OFFSET($BH$3,0,0,'Données projet'!$E$11+1,1))-AVERAGE(OFFSET($H$3,0,0,'Données projet'!$E$11+1,1))</f>
        <v>373.50005214669716</v>
      </c>
      <c r="BJ27" s="62">
        <f t="shared" si="38"/>
        <v>383.60460086643036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47.504030983172086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15.142857142857142</v>
      </c>
      <c r="BY27" s="13">
        <f>IF('Données projet'!$A$114&gt;35,BY26+BX27-CG26,IF(A27&lt;'Données projet'!$A$114,$BV$205^A27,IF(A27='Données projet'!$A$114,'Données projet'!$B$114,BY26+BX27-CG26)))</f>
        <v>178.14285714285717</v>
      </c>
      <c r="BZ27" s="14">
        <f>BY27*VLOOKUP('Données projet'!$B$12,Paramètres!$A$1:$I$89,3,0)*VLOOKUP('Données projet'!$B$12,Paramètres!$A$1:$I$89,5,0)</f>
        <v>106.5294285714286</v>
      </c>
      <c r="CA27" s="14">
        <f t="shared" si="39"/>
        <v>28.511771457031461</v>
      </c>
      <c r="CB27" s="22">
        <f t="shared" si="10"/>
        <v>235.19675671623455</v>
      </c>
      <c r="CC27" s="62">
        <f t="shared" si="11"/>
        <v>438.71153698786554</v>
      </c>
      <c r="CD27" s="62">
        <f ca="1">AVERAGE(OFFSET($CC$3,0,0,'Données projet'!$E$12+1,1))-AVERAGE(OFFSET($H$3,0,0,'Données projet'!$E$12+1,1))</f>
        <v>210.13237351083279</v>
      </c>
      <c r="CE27" s="62">
        <f t="shared" si="40"/>
        <v>423.06475179432277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12.269274340855759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15.405820495454805</v>
      </c>
      <c r="CN27" s="24">
        <f t="shared" si="12"/>
        <v>27.675094836310564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47.504030983172086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7.2</v>
      </c>
      <c r="CT27" s="13">
        <f>IF('Données projet'!$A$140&gt;35,CT26+CS27-DB26,IF(A27&lt;'Données projet'!$A$140,$CQ$205^A27,IF(A27='Données projet'!$A$140,'Données projet'!$B$140,CT26+CS27-DB26)))</f>
        <v>95.800000000000011</v>
      </c>
      <c r="CU27" s="18">
        <f>CT27*VLOOKUP('Données projet'!$B$13,Paramètres!$A$1:$I$89,3,0)*VLOOKUP('Données projet'!$B$13,Paramètres!$A$1:$I$89,5,0)</f>
        <v>86.679839999999999</v>
      </c>
      <c r="CV27" s="14">
        <f t="shared" si="41"/>
        <v>23.762739053789723</v>
      </c>
      <c r="CW27" s="22">
        <f t="shared" si="13"/>
        <v>192.35415851868379</v>
      </c>
      <c r="CX27" s="62">
        <f t="shared" si="14"/>
        <v>395.86893879031481</v>
      </c>
      <c r="CY27" s="62">
        <f ca="1">AVERAGE(OFFSET($CX$3,0,0,'Données projet'!$E$13+1,1))-AVERAGE(OFFSET($H$3,0,0,'Données projet'!$E$13+1,1))</f>
        <v>493.89660144134291</v>
      </c>
      <c r="CZ27" s="62">
        <f t="shared" si="42"/>
        <v>312.97494624463229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47.504030983172086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15.142857142857142</v>
      </c>
      <c r="DO27" s="13">
        <f>IF('Données projet'!$A$166&gt;35,DO26+DN27-DW26,IF(A27&lt;'Données projet'!$A$166,$DL$205^A27,IF(A27='Données projet'!$A$166,'Données projet'!$B$166,DO26+DN27-DW26)))</f>
        <v>178.14285714285717</v>
      </c>
      <c r="DP27" s="18">
        <f>DO27*VLOOKUP('Données projet'!$B$14,Paramètres!$A$1:$I$89,3,0)*VLOOKUP('Données projet'!$B$14,Paramètres!$A$1:$I$89,5,0)</f>
        <v>106.5294285714286</v>
      </c>
      <c r="DQ27" s="14">
        <f t="shared" si="43"/>
        <v>28.511771457031461</v>
      </c>
      <c r="DR27" s="22">
        <f t="shared" si="16"/>
        <v>235.19675671623455</v>
      </c>
      <c r="DS27" s="62">
        <f t="shared" si="17"/>
        <v>438.71153698786554</v>
      </c>
      <c r="DT27" s="62">
        <f ca="1">AVERAGE(OFFSET($DS$3,0,0,'Données projet'!$E$14+1,1))-AVERAGE(OFFSET($H$3,0,0,'Données projet'!$E$14+1,1))</f>
        <v>210.13237351083279</v>
      </c>
      <c r="DU27" s="62">
        <f t="shared" si="44"/>
        <v>423.06475179432277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12.269274340855759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15.405820495454805</v>
      </c>
      <c r="ED27" s="24">
        <f t="shared" si="18"/>
        <v>27.675094836310564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47.504030983172086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47.504030983172086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47.504030983172086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47.504030983172086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4.5049999999999999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16.518333333333334</v>
      </c>
      <c r="H28" s="70">
        <f t="shared" si="1"/>
        <v>147.64566666666667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47.894285752161835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7.4285714285714288</v>
      </c>
      <c r="N28" s="14">
        <f>IF('Données projet'!$A$36&gt;35,N27+M28-V27,IF(A28&lt;'Données projet'!$A$36,$K$205^A28,IF(A28='Données projet'!$A$36,'Données projet'!$B$36,N27+M28-V27)))</f>
        <v>185.71428571428564</v>
      </c>
      <c r="O28" s="14">
        <f>N28*VLOOKUP('Données projet'!$B$9,Paramètres!$A$1:$I$89,3,0)*VLOOKUP('Données projet'!$B$9,Paramètres!$A$1:$I$89,5,0)</f>
        <v>86.914285714285683</v>
      </c>
      <c r="P28" s="14">
        <f t="shared" si="33"/>
        <v>23.819520716024705</v>
      </c>
      <c r="Q28" s="22">
        <f t="shared" si="2"/>
        <v>192.86137953279058</v>
      </c>
      <c r="R28" s="62">
        <f t="shared" si="0"/>
        <v>399.02931617960621</v>
      </c>
      <c r="S28" s="62">
        <f ca="1">AVERAGE(OFFSET($R$3,0,0,'Données projet'!$E$9+1,1))-AVERAGE(OFFSET($H$3,0,0,'Données projet'!$E$9+1,1))</f>
        <v>374.81775021423215</v>
      </c>
      <c r="T28" s="62">
        <f t="shared" si="34"/>
        <v>301.81248585467142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47.894285752161835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71.994</v>
      </c>
      <c r="AK28" s="14">
        <f t="shared" si="35"/>
        <v>20.167825678149413</v>
      </c>
      <c r="AL28" s="22">
        <f t="shared" si="4"/>
        <v>160.51517972277688</v>
      </c>
      <c r="AM28" s="62">
        <f t="shared" si="5"/>
        <v>366.68311636959254</v>
      </c>
      <c r="AN28" s="62">
        <f ca="1">AVERAGE(OFFSET($AM$3,0,0,'Données projet'!$E$10+1,1))-AVERAGE(OFFSET($H$3,0,0,'Données projet'!$E$10+1,1))</f>
        <v>468.39960552661171</v>
      </c>
      <c r="AO28" s="62">
        <f t="shared" si="36"/>
        <v>291.1952427029787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47.894285752161835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143</v>
      </c>
      <c r="BB28" s="13">
        <f>VLOOKUP(A28,'Données projet'!$A$87:$I$107,9,0)</f>
        <v>12.2</v>
      </c>
      <c r="BC28" s="13">
        <f t="array" ref="BC28">INDEX(BB:BB,MIN(IF(ISNUMBER(BB28:BB224),ROW(BB28:BB224),"")))</f>
        <v>12.2</v>
      </c>
      <c r="BD28" s="13">
        <f>IF('Données projet'!$A$88&gt;35,BD27+BC28-BL27,IF(A28&lt;'Données projet'!$A$88,$BA$205^A28,IF(A28='Données projet'!$A$88,'Données projet'!$B$88,BD27+BC28-BL27)))</f>
        <v>142.99999999999997</v>
      </c>
      <c r="BE28" s="14">
        <f>BD28*VLOOKUP('Données projet'!$B$11,Paramètres!$A$1:$I$89,3,0)*VLOOKUP('Données projet'!$B$11,Paramètres!$A$1:$I$89,5,0)</f>
        <v>124.9248</v>
      </c>
      <c r="BF28" s="14">
        <f t="shared" si="37"/>
        <v>32.820925500842712</v>
      </c>
      <c r="BG28" s="22">
        <f t="shared" si="7"/>
        <v>274.74047191396772</v>
      </c>
      <c r="BH28" s="62">
        <f t="shared" si="8"/>
        <v>480.90840856078336</v>
      </c>
      <c r="BI28" s="62">
        <f ca="1">AVERAGE(OFFSET($BH$3,0,0,'Données projet'!$E$11+1,1))-AVERAGE(OFFSET($H$3,0,0,'Données projet'!$E$11+1,1))</f>
        <v>373.50005214669716</v>
      </c>
      <c r="BJ28" s="62">
        <f t="shared" si="38"/>
        <v>383.60460086643036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37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0.215</v>
      </c>
      <c r="BO28" s="17">
        <f>IF(ISNA(VLOOKUP(A28,'Données projet'!$A$87:$I$107,7,0)),0%,VLOOKUP(A28,'Données projet'!$A$87:$I$107,7,0))</f>
        <v>0.5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7.6522043916754932</v>
      </c>
      <c r="BR28" s="23">
        <f>EXP(-LN(2)/2)*BR27+(1-EXP(-LN(2)/2))/(LN(2)/2)*BL28*BO28*VLOOKUP('Données projet'!$B$11,Paramètres!$A$1:$I$89,3,0)*0.475*44/12</f>
        <v>15.248904583086444</v>
      </c>
      <c r="BS28" s="24">
        <f t="shared" si="9"/>
        <v>22.901108974761939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47.894285752161835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15.142857142857142</v>
      </c>
      <c r="BY28" s="13">
        <f>IF('Données projet'!$A$114&gt;35,BY27+BX28-CG27,IF(A28&lt;'Données projet'!$A$114,$BV$205^A28,IF(A28='Données projet'!$A$114,'Données projet'!$B$114,BY27+BX28-CG27)))</f>
        <v>193.28571428571431</v>
      </c>
      <c r="BZ28" s="14">
        <f>BY28*VLOOKUP('Données projet'!$B$12,Paramètres!$A$1:$I$89,3,0)*VLOOKUP('Données projet'!$B$12,Paramètres!$A$1:$I$89,5,0)</f>
        <v>115.58485714285716</v>
      </c>
      <c r="CA28" s="14">
        <f t="shared" si="39"/>
        <v>30.643003864758004</v>
      </c>
      <c r="CB28" s="22">
        <f t="shared" si="10"/>
        <v>254.68019125492972</v>
      </c>
      <c r="CC28" s="62">
        <f t="shared" si="11"/>
        <v>460.84812790174533</v>
      </c>
      <c r="CD28" s="62">
        <f ca="1">AVERAGE(OFFSET($CC$3,0,0,'Données projet'!$E$12+1,1))-AVERAGE(OFFSET($H$3,0,0,'Données projet'!$E$12+1,1))</f>
        <v>210.13237351083279</v>
      </c>
      <c r="CE28" s="62">
        <f t="shared" si="40"/>
        <v>423.06475179432277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12.02868135454999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10.89356014207879</v>
      </c>
      <c r="CN28" s="24">
        <f t="shared" si="12"/>
        <v>22.922241496628779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47.894285752161835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103</v>
      </c>
      <c r="CR28" s="13">
        <f>VLOOKUP(A28,'Données projet'!$A$139:$I$159,9,0)</f>
        <v>7.2</v>
      </c>
      <c r="CS28" s="13">
        <f t="array" ref="CS28">INDEX(CR:CR,MIN(IF(ISNUMBER(CR28:CR224),ROW(CR28:CR224),"")))</f>
        <v>7.2</v>
      </c>
      <c r="CT28" s="13">
        <f>IF('Données projet'!$A$140&gt;35,CT27+CS28-DB27,IF(A28&lt;'Données projet'!$A$140,$CQ$205^A28,IF(A28='Données projet'!$A$140,'Données projet'!$B$140,CT27+CS28-DB27)))</f>
        <v>103.00000000000001</v>
      </c>
      <c r="CU28" s="18">
        <f>CT28*VLOOKUP('Données projet'!$B$13,Paramètres!$A$1:$I$89,3,0)*VLOOKUP('Données projet'!$B$13,Paramètres!$A$1:$I$89,5,0)</f>
        <v>93.194400000000002</v>
      </c>
      <c r="CV28" s="14">
        <f t="shared" si="41"/>
        <v>25.33406653691528</v>
      </c>
      <c r="CW28" s="22">
        <f t="shared" si="13"/>
        <v>206.43707921846078</v>
      </c>
      <c r="CX28" s="62">
        <f t="shared" si="14"/>
        <v>412.60501586527641</v>
      </c>
      <c r="CY28" s="62">
        <f ca="1">AVERAGE(OFFSET($CX$3,0,0,'Données projet'!$E$13+1,1))-AVERAGE(OFFSET($H$3,0,0,'Données projet'!$E$13+1,1))</f>
        <v>493.89660144134291</v>
      </c>
      <c r="CZ28" s="62">
        <f t="shared" si="42"/>
        <v>312.97494624463229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28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0.129</v>
      </c>
      <c r="DE28" s="17">
        <f>IF(ISNA(VLOOKUP(A28,'Données projet'!$A$139:$I$159,7,0)),0%,VLOOKUP(A28,'Données projet'!$A$139:$I$159,7,0))</f>
        <v>0.7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3.5986042274365828</v>
      </c>
      <c r="DH28" s="23">
        <f>EXP(-LN(2)/2)*DH27+(1-EXP(-LN(2)/2))/(LN(2)/2)*DB28*DE28*VLOOKUP('Données projet'!$B$13,Paramètres!$A$1:$I$89,3,0)*0.475*44/12</f>
        <v>16.73258178576512</v>
      </c>
      <c r="DI28" s="24">
        <f t="shared" si="15"/>
        <v>20.331186013201702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47.894285752161835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15.142857142857142</v>
      </c>
      <c r="DO28" s="13">
        <f>IF('Données projet'!$A$166&gt;35,DO27+DN28-DW27,IF(A28&lt;'Données projet'!$A$166,$DL$205^A28,IF(A28='Données projet'!$A$166,'Données projet'!$B$166,DO27+DN28-DW27)))</f>
        <v>193.28571428571431</v>
      </c>
      <c r="DP28" s="18">
        <f>DO28*VLOOKUP('Données projet'!$B$14,Paramètres!$A$1:$I$89,3,0)*VLOOKUP('Données projet'!$B$14,Paramètres!$A$1:$I$89,5,0)</f>
        <v>115.58485714285716</v>
      </c>
      <c r="DQ28" s="14">
        <f t="shared" si="43"/>
        <v>30.643003864758004</v>
      </c>
      <c r="DR28" s="22">
        <f t="shared" si="16"/>
        <v>254.68019125492972</v>
      </c>
      <c r="DS28" s="62">
        <f t="shared" si="17"/>
        <v>460.84812790174533</v>
      </c>
      <c r="DT28" s="62">
        <f ca="1">AVERAGE(OFFSET($DS$3,0,0,'Données projet'!$E$14+1,1))-AVERAGE(OFFSET($H$3,0,0,'Données projet'!$E$14+1,1))</f>
        <v>210.13237351083279</v>
      </c>
      <c r="DU28" s="62">
        <f t="shared" si="44"/>
        <v>423.06475179432277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12.02868135454999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10.89356014207879</v>
      </c>
      <c r="ED28" s="24">
        <f t="shared" si="18"/>
        <v>22.922241496628779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47.894285752161835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47.894285752161835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47.894285752161835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47.894285752161835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4.5049999999999999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16.518333333333334</v>
      </c>
      <c r="H29" s="70">
        <f t="shared" si="1"/>
        <v>147.64566666666667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48.277770473388564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7.4285714285714288</v>
      </c>
      <c r="N29" s="14">
        <f>IF('Données projet'!$A$36&gt;35,N28+M29-V28,IF(A29&lt;'Données projet'!$A$36,$K$205^A29,IF(A29='Données projet'!$A$36,'Données projet'!$B$36,N28+M29-V28)))</f>
        <v>193.14285714285705</v>
      </c>
      <c r="O29" s="14">
        <f>N29*VLOOKUP('Données projet'!$B$9,Paramètres!$A$1:$I$89,3,0)*VLOOKUP('Données projet'!$B$9,Paramètres!$A$1:$I$89,5,0)</f>
        <v>90.390857142857101</v>
      </c>
      <c r="P29" s="14">
        <f t="shared" si="33"/>
        <v>24.659466537397652</v>
      </c>
      <c r="Q29" s="22">
        <f t="shared" si="2"/>
        <v>200.37931374311032</v>
      </c>
      <c r="R29" s="62">
        <f t="shared" si="0"/>
        <v>409.17558325664618</v>
      </c>
      <c r="S29" s="62">
        <f ca="1">AVERAGE(OFFSET($R$3,0,0,'Données projet'!$E$9+1,1))-AVERAGE(OFFSET($H$3,0,0,'Données projet'!$E$9+1,1))</f>
        <v>374.81775021423215</v>
      </c>
      <c r="T29" s="62">
        <f t="shared" si="34"/>
        <v>301.81248585467142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48.277770473388564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70.98</v>
      </c>
      <c r="AK29" s="14">
        <f t="shared" si="35"/>
        <v>19.916628839746853</v>
      </c>
      <c r="AL29" s="22">
        <f t="shared" si="4"/>
        <v>158.31162856255909</v>
      </c>
      <c r="AM29" s="62">
        <f t="shared" si="5"/>
        <v>367.10789807609495</v>
      </c>
      <c r="AN29" s="62">
        <f ca="1">AVERAGE(OFFSET($AM$3,0,0,'Données projet'!$E$10+1,1))-AVERAGE(OFFSET($H$3,0,0,'Données projet'!$E$10+1,1))</f>
        <v>468.39960552661171</v>
      </c>
      <c r="AO29" s="62">
        <f t="shared" si="36"/>
        <v>291.1952427029787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48.277770473388564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11.4</v>
      </c>
      <c r="BD29" s="13">
        <f>IF('Données projet'!$A$88&gt;35,BD28+BC29-BL28,IF(A29&lt;'Données projet'!$A$88,$BA$205^A29,IF(A29='Données projet'!$A$88,'Données projet'!$B$88,BD28+BC29-BL28)))</f>
        <v>117.39999999999998</v>
      </c>
      <c r="BE29" s="14">
        <f>BD29*VLOOKUP('Données projet'!$B$11,Paramètres!$A$1:$I$89,3,0)*VLOOKUP('Données projet'!$B$11,Paramètres!$A$1:$I$89,5,0)</f>
        <v>102.56064000000001</v>
      </c>
      <c r="BF29" s="14">
        <f t="shared" si="37"/>
        <v>27.571134131783779</v>
      </c>
      <c r="BG29" s="22">
        <f t="shared" si="7"/>
        <v>226.64617327952342</v>
      </c>
      <c r="BH29" s="62">
        <f t="shared" si="8"/>
        <v>435.44244279305929</v>
      </c>
      <c r="BI29" s="62">
        <f ca="1">AVERAGE(OFFSET($BH$3,0,0,'Données projet'!$E$11+1,1))-AVERAGE(OFFSET($H$3,0,0,'Données projet'!$E$11+1,1))</f>
        <v>373.50005214669716</v>
      </c>
      <c r="BJ29" s="62">
        <f t="shared" si="38"/>
        <v>383.60460086643036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7.442954460173187</v>
      </c>
      <c r="BR29" s="23">
        <f>EXP(-LN(2)/2)*BR28+(1-EXP(-LN(2)/2))/(LN(2)/2)*BL29*BO29*VLOOKUP('Données projet'!$B$11,Paramètres!$A$1:$I$89,3,0)*0.475*44/12</f>
        <v>10.782603836367048</v>
      </c>
      <c r="BS29" s="24">
        <f t="shared" si="9"/>
        <v>18.225558296540235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48.277770473388564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15.142857142857142</v>
      </c>
      <c r="BY29" s="13">
        <f>IF('Données projet'!$A$114&gt;35,BY28+BX29-CG28,IF(A29&lt;'Données projet'!$A$114,$BV$205^A29,IF(A29='Données projet'!$A$114,'Données projet'!$B$114,BY28+BX29-CG28)))</f>
        <v>208.42857142857144</v>
      </c>
      <c r="BZ29" s="14">
        <f>BY29*VLOOKUP('Données projet'!$B$12,Paramètres!$A$1:$I$89,3,0)*VLOOKUP('Données projet'!$B$12,Paramètres!$A$1:$I$89,5,0)</f>
        <v>124.64028571428574</v>
      </c>
      <c r="CA29" s="14">
        <f t="shared" si="39"/>
        <v>32.754868392894572</v>
      </c>
      <c r="CB29" s="22">
        <f t="shared" si="10"/>
        <v>274.129893403339</v>
      </c>
      <c r="CC29" s="62">
        <f t="shared" si="11"/>
        <v>482.92616291687489</v>
      </c>
      <c r="CD29" s="62">
        <f ca="1">AVERAGE(OFFSET($CC$3,0,0,'Données projet'!$E$12+1,1))-AVERAGE(OFFSET($H$3,0,0,'Données projet'!$E$12+1,1))</f>
        <v>210.13237351083279</v>
      </c>
      <c r="CE29" s="62">
        <f t="shared" si="40"/>
        <v>423.06475179432277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11.792806249958446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7.7029102477274032</v>
      </c>
      <c r="CN29" s="24">
        <f t="shared" si="12"/>
        <v>19.495716497685848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48.277770473388564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9.1999999999999993</v>
      </c>
      <c r="CT29" s="13">
        <f>IF('Données projet'!$A$140&gt;35,CT28+CS29-DB28,IF(A29&lt;'Données projet'!$A$140,$CQ$205^A29,IF(A29='Données projet'!$A$140,'Données projet'!$B$140,CT28+CS29-DB28)))</f>
        <v>84.200000000000017</v>
      </c>
      <c r="CU29" s="18">
        <f>CT29*VLOOKUP('Données projet'!$B$13,Paramètres!$A$1:$I$89,3,0)*VLOOKUP('Données projet'!$B$13,Paramètres!$A$1:$I$89,5,0)</f>
        <v>76.184160000000006</v>
      </c>
      <c r="CV29" s="14">
        <f t="shared" si="41"/>
        <v>21.201554232857223</v>
      </c>
      <c r="CW29" s="22">
        <f t="shared" si="13"/>
        <v>169.613452288893</v>
      </c>
      <c r="CX29" s="62">
        <f t="shared" si="14"/>
        <v>378.40972180242886</v>
      </c>
      <c r="CY29" s="62">
        <f ca="1">AVERAGE(OFFSET($CX$3,0,0,'Données projet'!$E$13+1,1))-AVERAGE(OFFSET($H$3,0,0,'Données projet'!$E$13+1,1))</f>
        <v>493.89660144134291</v>
      </c>
      <c r="CZ29" s="62">
        <f t="shared" si="42"/>
        <v>312.97494624463229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3.5002002055949579</v>
      </c>
      <c r="DH29" s="23">
        <f>EXP(-LN(2)/2)*DH28+(1-EXP(-LN(2)/2))/(LN(2)/2)*DB29*DE29*VLOOKUP('Données projet'!$B$13,Paramètres!$A$1:$I$89,3,0)*0.475*44/12</f>
        <v>11.831722047473029</v>
      </c>
      <c r="DI29" s="24">
        <f t="shared" si="15"/>
        <v>15.331922253067987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48.277770473388564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15.142857142857142</v>
      </c>
      <c r="DO29" s="13">
        <f>IF('Données projet'!$A$166&gt;35,DO28+DN29-DW28,IF(A29&lt;'Données projet'!$A$166,$DL$205^A29,IF(A29='Données projet'!$A$166,'Données projet'!$B$166,DO28+DN29-DW28)))</f>
        <v>208.42857142857144</v>
      </c>
      <c r="DP29" s="18">
        <f>DO29*VLOOKUP('Données projet'!$B$14,Paramètres!$A$1:$I$89,3,0)*VLOOKUP('Données projet'!$B$14,Paramètres!$A$1:$I$89,5,0)</f>
        <v>124.64028571428574</v>
      </c>
      <c r="DQ29" s="14">
        <f t="shared" si="43"/>
        <v>32.754868392894572</v>
      </c>
      <c r="DR29" s="22">
        <f t="shared" si="16"/>
        <v>274.129893403339</v>
      </c>
      <c r="DS29" s="62">
        <f t="shared" si="17"/>
        <v>482.92616291687489</v>
      </c>
      <c r="DT29" s="62">
        <f ca="1">AVERAGE(OFFSET($DS$3,0,0,'Données projet'!$E$14+1,1))-AVERAGE(OFFSET($H$3,0,0,'Données projet'!$E$14+1,1))</f>
        <v>210.13237351083279</v>
      </c>
      <c r="DU29" s="62">
        <f t="shared" si="44"/>
        <v>423.06475179432277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11.792806249958446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7.7029102477274032</v>
      </c>
      <c r="ED29" s="24">
        <f t="shared" si="18"/>
        <v>19.495716497685848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48.277770473388564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48.277770473388564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48.277770473388564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48.277770473388564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4.5049999999999999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16.518333333333334</v>
      </c>
      <c r="H30" s="70">
        <f t="shared" si="1"/>
        <v>147.64566666666667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48.654602592045414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7.4285714285714288</v>
      </c>
      <c r="N30" s="14">
        <f>IF('Données projet'!$A$36&gt;35,N29+M30-V29,IF(A30&lt;'Données projet'!$A$36,$K$205^A30,IF(A30='Données projet'!$A$36,'Données projet'!$B$36,N29+M30-V29)))</f>
        <v>200.57142857142847</v>
      </c>
      <c r="O30" s="14">
        <f>N30*VLOOKUP('Données projet'!$B$9,Paramètres!$A$1:$I$89,3,0)*VLOOKUP('Données projet'!$B$9,Paramètres!$A$1:$I$89,5,0)</f>
        <v>93.867428571428533</v>
      </c>
      <c r="P30" s="14">
        <f t="shared" si="33"/>
        <v>25.495659413547877</v>
      </c>
      <c r="Q30" s="22">
        <f t="shared" si="2"/>
        <v>207.89071157383387</v>
      </c>
      <c r="R30" s="62">
        <f t="shared" si="0"/>
        <v>419.29092107800034</v>
      </c>
      <c r="S30" s="62">
        <f ca="1">AVERAGE(OFFSET($R$3,0,0,'Données projet'!$E$9+1,1))-AVERAGE(OFFSET($H$3,0,0,'Données projet'!$E$9+1,1))</f>
        <v>374.81775021423215</v>
      </c>
      <c r="T30" s="62">
        <f t="shared" si="34"/>
        <v>301.81248585467142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48.654602592045414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78.078000000000003</v>
      </c>
      <c r="AK30" s="14">
        <f t="shared" si="35"/>
        <v>21.666582091642084</v>
      </c>
      <c r="AL30" s="22">
        <f t="shared" si="4"/>
        <v>173.72181380960993</v>
      </c>
      <c r="AM30" s="62">
        <f t="shared" si="5"/>
        <v>385.12202331377642</v>
      </c>
      <c r="AN30" s="62">
        <f ca="1">AVERAGE(OFFSET($AM$3,0,0,'Données projet'!$E$10+1,1))-AVERAGE(OFFSET($H$3,0,0,'Données projet'!$E$10+1,1))</f>
        <v>468.39960552661171</v>
      </c>
      <c r="AO30" s="62">
        <f t="shared" si="36"/>
        <v>291.1952427029787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48.654602592045414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11.4</v>
      </c>
      <c r="BD30" s="13">
        <f>IF('Données projet'!$A$88&gt;35,BD29+BC30-BL29,IF(A30&lt;'Données projet'!$A$88,$BA$205^A30,IF(A30='Données projet'!$A$88,'Données projet'!$B$88,BD29+BC30-BL29)))</f>
        <v>128.79999999999998</v>
      </c>
      <c r="BE30" s="14">
        <f>BD30*VLOOKUP('Données projet'!$B$11,Paramètres!$A$1:$I$89,3,0)*VLOOKUP('Données projet'!$B$11,Paramètres!$A$1:$I$89,5,0)</f>
        <v>112.51968000000001</v>
      </c>
      <c r="BF30" s="14">
        <f t="shared" si="37"/>
        <v>29.923856072189899</v>
      </c>
      <c r="BG30" s="22">
        <f t="shared" si="7"/>
        <v>248.08915865906408</v>
      </c>
      <c r="BH30" s="62">
        <f t="shared" si="8"/>
        <v>459.48936816323055</v>
      </c>
      <c r="BI30" s="62">
        <f ca="1">AVERAGE(OFFSET($BH$3,0,0,'Données projet'!$E$11+1,1))-AVERAGE(OFFSET($H$3,0,0,'Données projet'!$E$11+1,1))</f>
        <v>373.50005214669716</v>
      </c>
      <c r="BJ30" s="62">
        <f t="shared" si="38"/>
        <v>383.60460086643036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7.2394264790517875</v>
      </c>
      <c r="BR30" s="23">
        <f>EXP(-LN(2)/2)*BR29+(1-EXP(-LN(2)/2))/(LN(2)/2)*BL30*BO30*VLOOKUP('Données projet'!$B$11,Paramètres!$A$1:$I$89,3,0)*0.475*44/12</f>
        <v>7.6244522915432231</v>
      </c>
      <c r="BS30" s="24">
        <f t="shared" si="9"/>
        <v>14.863878770595012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48.654602592045414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15.142857142857142</v>
      </c>
      <c r="BY30" s="13">
        <f>IF('Données projet'!$A$114&gt;35,BY29+BX30-CG29,IF(A30&lt;'Données projet'!$A$114,$BV$205^A30,IF(A30='Données projet'!$A$114,'Données projet'!$B$114,BY29+BX30-CG29)))</f>
        <v>223.57142857142858</v>
      </c>
      <c r="BZ30" s="14">
        <f>BY30*VLOOKUP('Données projet'!$B$12,Paramètres!$A$1:$I$89,3,0)*VLOOKUP('Données projet'!$B$12,Paramètres!$A$1:$I$89,5,0)</f>
        <v>133.6957142857143</v>
      </c>
      <c r="CA30" s="14">
        <f t="shared" si="39"/>
        <v>34.848932189999701</v>
      </c>
      <c r="CB30" s="22">
        <f t="shared" si="10"/>
        <v>293.54859261186851</v>
      </c>
      <c r="CC30" s="62">
        <f t="shared" si="11"/>
        <v>504.94880211603504</v>
      </c>
      <c r="CD30" s="62">
        <f ca="1">AVERAGE(OFFSET($CC$3,0,0,'Données projet'!$E$12+1,1))-AVERAGE(OFFSET($H$3,0,0,'Données projet'!$E$12+1,1))</f>
        <v>210.13237351083279</v>
      </c>
      <c r="CE30" s="62">
        <f t="shared" si="40"/>
        <v>423.06475179432277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11.561556512298333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5.4467800710393961</v>
      </c>
      <c r="CN30" s="24">
        <f t="shared" si="12"/>
        <v>17.00833658333773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48.654602592045414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9.1999999999999993</v>
      </c>
      <c r="CT30" s="13">
        <f>IF('Données projet'!$A$140&gt;35,CT29+CS30-DB29,IF(A30&lt;'Données projet'!$A$140,$CQ$205^A30,IF(A30='Données projet'!$A$140,'Données projet'!$B$140,CT29+CS30-DB29)))</f>
        <v>93.40000000000002</v>
      </c>
      <c r="CU30" s="18">
        <f>CT30*VLOOKUP('Données projet'!$B$13,Paramètres!$A$1:$I$89,3,0)*VLOOKUP('Données projet'!$B$13,Paramètres!$A$1:$I$89,5,0)</f>
        <v>84.508320000000026</v>
      </c>
      <c r="CV30" s="14">
        <f t="shared" si="41"/>
        <v>23.235950088324714</v>
      </c>
      <c r="CW30" s="22">
        <f t="shared" si="13"/>
        <v>187.65460373716556</v>
      </c>
      <c r="CX30" s="62">
        <f t="shared" si="14"/>
        <v>399.05481324133206</v>
      </c>
      <c r="CY30" s="62">
        <f ca="1">AVERAGE(OFFSET($CX$3,0,0,'Données projet'!$E$13+1,1))-AVERAGE(OFFSET($H$3,0,0,'Données projet'!$E$13+1,1))</f>
        <v>493.89660144134291</v>
      </c>
      <c r="CZ30" s="62">
        <f t="shared" si="42"/>
        <v>312.97494624463229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3.4044870469054347</v>
      </c>
      <c r="DH30" s="23">
        <f>EXP(-LN(2)/2)*DH29+(1-EXP(-LN(2)/2))/(LN(2)/2)*DB30*DE30*VLOOKUP('Données projet'!$B$13,Paramètres!$A$1:$I$89,3,0)*0.475*44/12</f>
        <v>8.3662908928825619</v>
      </c>
      <c r="DI30" s="24">
        <f t="shared" si="15"/>
        <v>11.770777939787997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48.654602592045414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15.142857142857142</v>
      </c>
      <c r="DO30" s="13">
        <f>IF('Données projet'!$A$166&gt;35,DO29+DN30-DW29,IF(A30&lt;'Données projet'!$A$166,$DL$205^A30,IF(A30='Données projet'!$A$166,'Données projet'!$B$166,DO29+DN30-DW29)))</f>
        <v>223.57142857142858</v>
      </c>
      <c r="DP30" s="18">
        <f>DO30*VLOOKUP('Données projet'!$B$14,Paramètres!$A$1:$I$89,3,0)*VLOOKUP('Données projet'!$B$14,Paramètres!$A$1:$I$89,5,0)</f>
        <v>133.6957142857143</v>
      </c>
      <c r="DQ30" s="14">
        <f t="shared" si="43"/>
        <v>34.848932189999701</v>
      </c>
      <c r="DR30" s="22">
        <f t="shared" si="16"/>
        <v>293.54859261186851</v>
      </c>
      <c r="DS30" s="62">
        <f t="shared" si="17"/>
        <v>504.94880211603504</v>
      </c>
      <c r="DT30" s="62">
        <f ca="1">AVERAGE(OFFSET($DS$3,0,0,'Données projet'!$E$14+1,1))-AVERAGE(OFFSET($H$3,0,0,'Données projet'!$E$14+1,1))</f>
        <v>210.13237351083279</v>
      </c>
      <c r="DU30" s="62">
        <f t="shared" si="44"/>
        <v>423.06475179432277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11.561556512298333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5.4467800710393961</v>
      </c>
      <c r="ED30" s="24">
        <f t="shared" si="18"/>
        <v>17.00833658333773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48.654602592045414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48.654602592045414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48.654602592045414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48.654602592045414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4.5049999999999999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16.518333333333334</v>
      </c>
      <c r="H31" s="70">
        <f t="shared" si="1"/>
        <v>147.64566666666667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49.024897515913963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7.4285714285714288</v>
      </c>
      <c r="N31" s="14">
        <f>IF('Données projet'!$A$36&gt;35,N30+M31-V30,IF(A31&lt;'Données projet'!$A$36,$K$205^A31,IF(A31='Données projet'!$A$36,'Données projet'!$B$36,N30+M31-V30)))</f>
        <v>207.99999999999989</v>
      </c>
      <c r="O31" s="14">
        <f>N31*VLOOKUP('Données projet'!$B$9,Paramètres!$A$1:$I$89,3,0)*VLOOKUP('Données projet'!$B$9,Paramètres!$A$1:$I$89,5,0)</f>
        <v>97.343999999999937</v>
      </c>
      <c r="P31" s="14">
        <f t="shared" si="33"/>
        <v>26.328254259866451</v>
      </c>
      <c r="Q31" s="22">
        <f t="shared" si="2"/>
        <v>215.39584283593396</v>
      </c>
      <c r="R31" s="62">
        <f t="shared" si="0"/>
        <v>429.37602261650738</v>
      </c>
      <c r="S31" s="62">
        <f ca="1">AVERAGE(OFFSET($R$3,0,0,'Données projet'!$E$9+1,1))-AVERAGE(OFFSET($H$3,0,0,'Données projet'!$E$9+1,1))</f>
        <v>374.81775021423215</v>
      </c>
      <c r="T31" s="62">
        <f t="shared" si="34"/>
        <v>301.81248585467142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49.024897515913963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85.176000000000002</v>
      </c>
      <c r="AK31" s="14">
        <f t="shared" si="35"/>
        <v>23.398088487656441</v>
      </c>
      <c r="AL31" s="22">
        <f t="shared" si="4"/>
        <v>189.09987078266829</v>
      </c>
      <c r="AM31" s="62">
        <f t="shared" si="5"/>
        <v>403.08005056324168</v>
      </c>
      <c r="AN31" s="62">
        <f ca="1">AVERAGE(OFFSET($AM$3,0,0,'Données projet'!$E$10+1,1))-AVERAGE(OFFSET($H$3,0,0,'Données projet'!$E$10+1,1))</f>
        <v>468.39960552661171</v>
      </c>
      <c r="AO31" s="62">
        <f t="shared" si="36"/>
        <v>291.1952427029787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49.024897515913963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11.4</v>
      </c>
      <c r="BD31" s="13">
        <f>IF('Données projet'!$A$88&gt;35,BD30+BC31-BL30,IF(A31&lt;'Données projet'!$A$88,$BA$205^A31,IF(A31='Données projet'!$A$88,'Données projet'!$B$88,BD30+BC31-BL30)))</f>
        <v>140.19999999999999</v>
      </c>
      <c r="BE31" s="14">
        <f>BD31*VLOOKUP('Données projet'!$B$11,Paramètres!$A$1:$I$89,3,0)*VLOOKUP('Données projet'!$B$11,Paramètres!$A$1:$I$89,5,0)</f>
        <v>122.47872000000001</v>
      </c>
      <c r="BF31" s="14">
        <f t="shared" si="37"/>
        <v>32.252430308904003</v>
      </c>
      <c r="BG31" s="22">
        <f t="shared" si="7"/>
        <v>269.49008678800777</v>
      </c>
      <c r="BH31" s="62">
        <f t="shared" si="8"/>
        <v>483.47026656858122</v>
      </c>
      <c r="BI31" s="62">
        <f ca="1">AVERAGE(OFFSET($BH$3,0,0,'Données projet'!$E$11+1,1))-AVERAGE(OFFSET($H$3,0,0,'Données projet'!$E$11+1,1))</f>
        <v>373.50005214669716</v>
      </c>
      <c r="BJ31" s="62">
        <f t="shared" si="38"/>
        <v>383.60460086643036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7.0414639812772242</v>
      </c>
      <c r="BR31" s="23">
        <f>EXP(-LN(2)/2)*BR30+(1-EXP(-LN(2)/2))/(LN(2)/2)*BL31*BO31*VLOOKUP('Données projet'!$B$11,Paramètres!$A$1:$I$89,3,0)*0.475*44/12</f>
        <v>5.3913019181835251</v>
      </c>
      <c r="BS31" s="24">
        <f t="shared" si="9"/>
        <v>12.432765899460749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49.024897515913963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15.142857142857142</v>
      </c>
      <c r="BY31" s="13">
        <f>IF('Données projet'!$A$114&gt;35,BY30+BX31-CG30,IF(A31&lt;'Données projet'!$A$114,$BV$205^A31,IF(A31='Données projet'!$A$114,'Données projet'!$B$114,BY30+BX31-CG30)))</f>
        <v>238.71428571428572</v>
      </c>
      <c r="BZ31" s="14">
        <f>BY31*VLOOKUP('Données projet'!$B$12,Paramètres!$A$1:$I$89,3,0)*VLOOKUP('Données projet'!$B$12,Paramètres!$A$1:$I$89,5,0)</f>
        <v>142.75114285714287</v>
      </c>
      <c r="CA31" s="14">
        <f t="shared" si="39"/>
        <v>36.926538099571019</v>
      </c>
      <c r="CB31" s="22">
        <f t="shared" si="10"/>
        <v>312.93862766627666</v>
      </c>
      <c r="CC31" s="62">
        <f t="shared" si="11"/>
        <v>526.91880744685011</v>
      </c>
      <c r="CD31" s="62">
        <f ca="1">AVERAGE(OFFSET($CC$3,0,0,'Données projet'!$E$12+1,1))-AVERAGE(OFFSET($H$3,0,0,'Données projet'!$E$12+1,1))</f>
        <v>210.13237351083279</v>
      </c>
      <c r="CE31" s="62">
        <f t="shared" si="40"/>
        <v>423.06475179432277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11.334841440945322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3.8514551238637025</v>
      </c>
      <c r="CN31" s="24">
        <f t="shared" si="12"/>
        <v>15.186296564809025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49.024897515913963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9.1999999999999993</v>
      </c>
      <c r="CT31" s="13">
        <f>IF('Données projet'!$A$140&gt;35,CT30+CS31-DB30,IF(A31&lt;'Données projet'!$A$140,$CQ$205^A31,IF(A31='Données projet'!$A$140,'Données projet'!$B$140,CT30+CS31-DB30)))</f>
        <v>102.60000000000002</v>
      </c>
      <c r="CU31" s="18">
        <f>CT31*VLOOKUP('Données projet'!$B$13,Paramètres!$A$1:$I$89,3,0)*VLOOKUP('Données projet'!$B$13,Paramètres!$A$1:$I$89,5,0)</f>
        <v>92.832480000000018</v>
      </c>
      <c r="CV31" s="14">
        <f t="shared" si="41"/>
        <v>25.247114117480137</v>
      </c>
      <c r="CW31" s="22">
        <f t="shared" si="13"/>
        <v>205.65529308794461</v>
      </c>
      <c r="CX31" s="62">
        <f t="shared" si="14"/>
        <v>419.63547286851804</v>
      </c>
      <c r="CY31" s="62">
        <f ca="1">AVERAGE(OFFSET($CX$3,0,0,'Données projet'!$E$13+1,1))-AVERAGE(OFFSET($H$3,0,0,'Données projet'!$E$13+1,1))</f>
        <v>493.89660144134291</v>
      </c>
      <c r="CZ31" s="62">
        <f t="shared" si="42"/>
        <v>312.97494624463229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3.3113911695736129</v>
      </c>
      <c r="DH31" s="23">
        <f>EXP(-LN(2)/2)*DH30+(1-EXP(-LN(2)/2))/(LN(2)/2)*DB31*DE31*VLOOKUP('Données projet'!$B$13,Paramètres!$A$1:$I$89,3,0)*0.475*44/12</f>
        <v>5.9158610237365155</v>
      </c>
      <c r="DI31" s="24">
        <f t="shared" si="15"/>
        <v>9.2272521933101288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49.024897515913963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15.142857142857142</v>
      </c>
      <c r="DO31" s="13">
        <f>IF('Données projet'!$A$166&gt;35,DO30+DN31-DW30,IF(A31&lt;'Données projet'!$A$166,$DL$205^A31,IF(A31='Données projet'!$A$166,'Données projet'!$B$166,DO30+DN31-DW30)))</f>
        <v>238.71428571428572</v>
      </c>
      <c r="DP31" s="18">
        <f>DO31*VLOOKUP('Données projet'!$B$14,Paramètres!$A$1:$I$89,3,0)*VLOOKUP('Données projet'!$B$14,Paramètres!$A$1:$I$89,5,0)</f>
        <v>142.75114285714287</v>
      </c>
      <c r="DQ31" s="14">
        <f t="shared" si="43"/>
        <v>36.926538099571019</v>
      </c>
      <c r="DR31" s="22">
        <f t="shared" si="16"/>
        <v>312.93862766627666</v>
      </c>
      <c r="DS31" s="62">
        <f t="shared" si="17"/>
        <v>526.91880744685011</v>
      </c>
      <c r="DT31" s="62">
        <f ca="1">AVERAGE(OFFSET($DS$3,0,0,'Données projet'!$E$14+1,1))-AVERAGE(OFFSET($H$3,0,0,'Données projet'!$E$14+1,1))</f>
        <v>210.13237351083279</v>
      </c>
      <c r="DU31" s="62">
        <f t="shared" si="44"/>
        <v>423.06475179432277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11.334841440945322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3.8514551238637025</v>
      </c>
      <c r="ED31" s="24">
        <f t="shared" si="18"/>
        <v>15.186296564809025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49.024897515913963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49.024897515913963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49.024897515913963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49.024897515913963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4.5049999999999999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16.518333333333334</v>
      </c>
      <c r="H32" s="70">
        <f t="shared" si="1"/>
        <v>147.64566666666667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49.388768650708826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7.4285714285714288</v>
      </c>
      <c r="N32" s="14">
        <f>IF('Données projet'!$A$36&gt;35,N31+M32-V31,IF(A32&lt;'Données projet'!$A$36,$K$205^A32,IF(A32='Données projet'!$A$36,'Données projet'!$B$36,N31+M32-V31)))</f>
        <v>215.4285714285713</v>
      </c>
      <c r="O32" s="14">
        <f>N32*VLOOKUP('Données projet'!$B$9,Paramètres!$A$1:$I$89,3,0)*VLOOKUP('Données projet'!$B$9,Paramètres!$A$1:$I$89,5,0)</f>
        <v>100.82057142857137</v>
      </c>
      <c r="P32" s="14">
        <f t="shared" si="33"/>
        <v>27.157394299081524</v>
      </c>
      <c r="Q32" s="22">
        <f t="shared" si="2"/>
        <v>222.89495697566213</v>
      </c>
      <c r="R32" s="62">
        <f t="shared" si="0"/>
        <v>439.43155313937223</v>
      </c>
      <c r="S32" s="62">
        <f ca="1">AVERAGE(OFFSET($R$3,0,0,'Données projet'!$E$9+1,1))-AVERAGE(OFFSET($H$3,0,0,'Données projet'!$E$9+1,1))</f>
        <v>374.81775021423215</v>
      </c>
      <c r="T32" s="62">
        <f t="shared" si="34"/>
        <v>301.81248585467142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49.388768650708826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92.274000000000001</v>
      </c>
      <c r="AK32" s="14">
        <f t="shared" si="35"/>
        <v>25.112860036087575</v>
      </c>
      <c r="AL32" s="22">
        <f t="shared" si="4"/>
        <v>204.4487812295192</v>
      </c>
      <c r="AM32" s="62">
        <f t="shared" si="5"/>
        <v>420.98537739322933</v>
      </c>
      <c r="AN32" s="62">
        <f ca="1">AVERAGE(OFFSET($AM$3,0,0,'Données projet'!$E$10+1,1))-AVERAGE(OFFSET($H$3,0,0,'Données projet'!$E$10+1,1))</f>
        <v>468.39960552661171</v>
      </c>
      <c r="AO32" s="62">
        <f t="shared" si="36"/>
        <v>291.1952427029787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49.388768650708826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11.4</v>
      </c>
      <c r="BD32" s="13">
        <f>IF('Données projet'!$A$88&gt;35,BD31+BC32-BL31,IF(A32&lt;'Données projet'!$A$88,$BA$205^A32,IF(A32='Données projet'!$A$88,'Données projet'!$B$88,BD31+BC32-BL31)))</f>
        <v>151.6</v>
      </c>
      <c r="BE32" s="14">
        <f>BD32*VLOOKUP('Données projet'!$B$11,Paramètres!$A$1:$I$89,3,0)*VLOOKUP('Données projet'!$B$11,Paramètres!$A$1:$I$89,5,0)</f>
        <v>132.43776</v>
      </c>
      <c r="BF32" s="14">
        <f t="shared" si="37"/>
        <v>34.559043580858436</v>
      </c>
      <c r="BG32" s="22">
        <f t="shared" si="7"/>
        <v>290.85276623666175</v>
      </c>
      <c r="BH32" s="62">
        <f t="shared" si="8"/>
        <v>507.38936240037185</v>
      </c>
      <c r="BI32" s="62">
        <f ca="1">AVERAGE(OFFSET($BH$3,0,0,'Données projet'!$E$11+1,1))-AVERAGE(OFFSET($H$3,0,0,'Données projet'!$E$11+1,1))</f>
        <v>373.50005214669716</v>
      </c>
      <c r="BJ32" s="62">
        <f t="shared" si="38"/>
        <v>383.60460086643036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6.8489147784147013</v>
      </c>
      <c r="BR32" s="23">
        <f>EXP(-LN(2)/2)*BR31+(1-EXP(-LN(2)/2))/(LN(2)/2)*BL32*BO32*VLOOKUP('Données projet'!$B$11,Paramètres!$A$1:$I$89,3,0)*0.475*44/12</f>
        <v>3.812226145771612</v>
      </c>
      <c r="BS32" s="24">
        <f t="shared" si="9"/>
        <v>10.661140924186313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49.388768650708826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15.142857142857142</v>
      </c>
      <c r="BY32" s="13">
        <f>IF('Données projet'!$A$114&gt;35,BY31+BX32-CG31,IF(A32&lt;'Données projet'!$A$114,$BV$205^A32,IF(A32='Données projet'!$A$114,'Données projet'!$B$114,BY31+BX32-CG31)))</f>
        <v>253.85714285714286</v>
      </c>
      <c r="BZ32" s="14">
        <f>BY32*VLOOKUP('Données projet'!$B$12,Paramètres!$A$1:$I$89,3,0)*VLOOKUP('Données projet'!$B$12,Paramètres!$A$1:$I$89,5,0)</f>
        <v>151.80657142857146</v>
      </c>
      <c r="CA32" s="14">
        <f t="shared" si="39"/>
        <v>38.988848967460292</v>
      </c>
      <c r="CB32" s="22">
        <f t="shared" si="10"/>
        <v>332.30202385642195</v>
      </c>
      <c r="CC32" s="62">
        <f t="shared" si="11"/>
        <v>548.83862002013211</v>
      </c>
      <c r="CD32" s="62">
        <f ca="1">AVERAGE(OFFSET($CC$3,0,0,'Données projet'!$E$12+1,1))-AVERAGE(OFFSET($H$3,0,0,'Données projet'!$E$12+1,1))</f>
        <v>210.13237351083279</v>
      </c>
      <c r="CE32" s="62">
        <f t="shared" si="40"/>
        <v>423.06475179432277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11.112572113859004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2.7233900355196985</v>
      </c>
      <c r="CN32" s="24">
        <f t="shared" si="12"/>
        <v>13.835962149378702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49.388768650708826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9.1999999999999993</v>
      </c>
      <c r="CT32" s="13">
        <f>IF('Données projet'!$A$140&gt;35,CT31+CS32-DB31,IF(A32&lt;'Données projet'!$A$140,$CQ$205^A32,IF(A32='Données projet'!$A$140,'Données projet'!$B$140,CT31+CS32-DB31)))</f>
        <v>111.80000000000003</v>
      </c>
      <c r="CU32" s="18">
        <f>CT32*VLOOKUP('Données projet'!$B$13,Paramètres!$A$1:$I$89,3,0)*VLOOKUP('Données projet'!$B$13,Paramètres!$A$1:$I$89,5,0)</f>
        <v>101.15664000000001</v>
      </c>
      <c r="CV32" s="14">
        <f t="shared" si="41"/>
        <v>27.237366379381644</v>
      </c>
      <c r="CW32" s="22">
        <f t="shared" si="13"/>
        <v>223.61956111075639</v>
      </c>
      <c r="CX32" s="62">
        <f t="shared" si="14"/>
        <v>440.15615727446652</v>
      </c>
      <c r="CY32" s="62">
        <f ca="1">AVERAGE(OFFSET($CX$3,0,0,'Données projet'!$E$13+1,1))-AVERAGE(OFFSET($H$3,0,0,'Données projet'!$E$13+1,1))</f>
        <v>493.89660144134291</v>
      </c>
      <c r="CZ32" s="62">
        <f t="shared" si="42"/>
        <v>312.97494624463229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3.220841003903129</v>
      </c>
      <c r="DH32" s="23">
        <f>EXP(-LN(2)/2)*DH31+(1-EXP(-LN(2)/2))/(LN(2)/2)*DB32*DE32*VLOOKUP('Données projet'!$B$13,Paramètres!$A$1:$I$89,3,0)*0.475*44/12</f>
        <v>4.1831454464412818</v>
      </c>
      <c r="DI32" s="24">
        <f t="shared" si="15"/>
        <v>7.4039864503444104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49.388768650708826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15.142857142857142</v>
      </c>
      <c r="DO32" s="13">
        <f>IF('Données projet'!$A$166&gt;35,DO31+DN32-DW31,IF(A32&lt;'Données projet'!$A$166,$DL$205^A32,IF(A32='Données projet'!$A$166,'Données projet'!$B$166,DO31+DN32-DW31)))</f>
        <v>253.85714285714286</v>
      </c>
      <c r="DP32" s="18">
        <f>DO32*VLOOKUP('Données projet'!$B$14,Paramètres!$A$1:$I$89,3,0)*VLOOKUP('Données projet'!$B$14,Paramètres!$A$1:$I$89,5,0)</f>
        <v>151.80657142857146</v>
      </c>
      <c r="DQ32" s="14">
        <f t="shared" si="43"/>
        <v>38.988848967460292</v>
      </c>
      <c r="DR32" s="22">
        <f t="shared" si="16"/>
        <v>332.30202385642195</v>
      </c>
      <c r="DS32" s="62">
        <f t="shared" si="17"/>
        <v>548.83862002013211</v>
      </c>
      <c r="DT32" s="62">
        <f ca="1">AVERAGE(OFFSET($DS$3,0,0,'Données projet'!$E$14+1,1))-AVERAGE(OFFSET($H$3,0,0,'Données projet'!$E$14+1,1))</f>
        <v>210.13237351083279</v>
      </c>
      <c r="DU32" s="62">
        <f t="shared" si="44"/>
        <v>423.06475179432277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11.112572113859004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2.7233900355196985</v>
      </c>
      <c r="ED32" s="24">
        <f t="shared" si="18"/>
        <v>13.835962149378702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49.388768650708826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49.388768650708826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49.388768650708826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49.388768650708826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4.5049999999999999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16.518333333333334</v>
      </c>
      <c r="H33" s="70">
        <f t="shared" si="1"/>
        <v>147.64566666666667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49.74632743480899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7.4285714285714288</v>
      </c>
      <c r="N33" s="14">
        <f>IF('Données projet'!$A$36&gt;35,N32+M33-V32,IF(A33&lt;'Données projet'!$A$36,$K$205^A33,IF(A33='Données projet'!$A$36,'Données projet'!$B$36,N32+M33-V32)))</f>
        <v>222.85714285714272</v>
      </c>
      <c r="O33" s="14">
        <f>N33*VLOOKUP('Données projet'!$B$9,Paramètres!$A$1:$I$89,3,0)*VLOOKUP('Données projet'!$B$9,Paramètres!$A$1:$I$89,5,0)</f>
        <v>104.29714285714279</v>
      </c>
      <c r="P33" s="14">
        <f t="shared" si="33"/>
        <v>27.983212316276475</v>
      </c>
      <c r="Q33" s="22">
        <f t="shared" si="2"/>
        <v>230.38828526037184</v>
      </c>
      <c r="R33" s="62">
        <f t="shared" si="0"/>
        <v>449.45815252133809</v>
      </c>
      <c r="S33" s="62">
        <f ca="1">AVERAGE(OFFSET($R$3,0,0,'Données projet'!$E$9+1,1))-AVERAGE(OFFSET($H$3,0,0,'Données projet'!$E$9+1,1))</f>
        <v>374.81775021423215</v>
      </c>
      <c r="T33" s="62">
        <f t="shared" si="34"/>
        <v>301.81248585467142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49.74632743480899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99.372000000000014</v>
      </c>
      <c r="AK33" s="14">
        <f t="shared" si="35"/>
        <v>26.812330397327713</v>
      </c>
      <c r="AL33" s="22">
        <f t="shared" si="4"/>
        <v>219.7710421086791</v>
      </c>
      <c r="AM33" s="62">
        <f t="shared" si="5"/>
        <v>438.84090936964537</v>
      </c>
      <c r="AN33" s="62">
        <f ca="1">AVERAGE(OFFSET($AM$3,0,0,'Données projet'!$E$10+1,1))-AVERAGE(OFFSET($H$3,0,0,'Données projet'!$E$10+1,1))</f>
        <v>468.39960552661171</v>
      </c>
      <c r="AO33" s="62">
        <f t="shared" si="36"/>
        <v>291.1952427029787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0.129</v>
      </c>
      <c r="AT33" s="17">
        <f>IF(ISNA(VLOOKUP(A33,'Données projet'!$A$61:$I$81,7,0)),0%,VLOOKUP(A33,'Données projet'!$A$61:$I$81,7,0))</f>
        <v>0.7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3.024688898060921</v>
      </c>
      <c r="AW33" s="23">
        <f>EXP(-LN(2)/2)*AW32+(1-EXP(-LN(2)/2))/(LN(2)/2)*AQ33*AT33*VLOOKUP('Données projet'!$B$10,Paramètres!$A$1:$I$89,3,0)*0.475*44/12</f>
        <v>14.064023483724995</v>
      </c>
      <c r="AX33" s="23">
        <f t="shared" si="6"/>
        <v>17.088712381785918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49.74632743480899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163</v>
      </c>
      <c r="BB33" s="13">
        <f>VLOOKUP(A33,'Données projet'!$A$87:$I$107,9,0)</f>
        <v>11.4</v>
      </c>
      <c r="BC33" s="13">
        <f t="array" ref="BC33">INDEX(BB:BB,MIN(IF(ISNUMBER(BB33:BB229),ROW(BB33:BB229),"")))</f>
        <v>11.4</v>
      </c>
      <c r="BD33" s="13">
        <f>IF('Données projet'!$A$88&gt;35,BD32+BC33-BL32,IF(A33&lt;'Données projet'!$A$88,$BA$205^A33,IF(A33='Données projet'!$A$88,'Données projet'!$B$88,BD32+BC33-BL32)))</f>
        <v>163</v>
      </c>
      <c r="BE33" s="14">
        <f>BD33*VLOOKUP('Données projet'!$B$11,Paramètres!$A$1:$I$89,3,0)*VLOOKUP('Données projet'!$B$11,Paramètres!$A$1:$I$89,5,0)</f>
        <v>142.39680000000004</v>
      </c>
      <c r="BF33" s="14">
        <f t="shared" si="37"/>
        <v>36.845535084476985</v>
      </c>
      <c r="BG33" s="22">
        <f t="shared" si="7"/>
        <v>312.18040027213078</v>
      </c>
      <c r="BH33" s="62">
        <f t="shared" si="8"/>
        <v>531.25026753309703</v>
      </c>
      <c r="BI33" s="62">
        <f ca="1">AVERAGE(OFFSET($BH$3,0,0,'Données projet'!$E$11+1,1))-AVERAGE(OFFSET($H$3,0,0,'Données projet'!$E$11+1,1))</f>
        <v>373.50005214669716</v>
      </c>
      <c r="BJ33" s="62">
        <f t="shared" si="38"/>
        <v>383.60460086643036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37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0.25800000000000001</v>
      </c>
      <c r="BO33" s="17">
        <f>IF(ISNA(VLOOKUP(A33,'Données projet'!$A$87:$I$107,7,0)),0%,VLOOKUP(A33,'Données projet'!$A$87:$I$107,7,0))</f>
        <v>0.4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15.844276113640767</v>
      </c>
      <c r="BR33" s="23">
        <f>EXP(-LN(2)/2)*BR32+(1-EXP(-LN(2)/2))/(LN(2)/2)*BL33*BO33*VLOOKUP('Données projet'!$B$11,Paramètres!$A$1:$I$89,3,0)*0.475*44/12</f>
        <v>14.894774625560919</v>
      </c>
      <c r="BS33" s="24">
        <f t="shared" si="9"/>
        <v>30.739050739201687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49.74632743480899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269</v>
      </c>
      <c r="BW33" s="13">
        <f>VLOOKUP(A33,'Données projet'!$A$113:$I$133,9,0)</f>
        <v>15.142857142857142</v>
      </c>
      <c r="BX33" s="13">
        <f t="array" ref="BX33">INDEX(BW:BW,MIN(IF(ISNUMBER(BW33:BW229),ROW(BW33:BW229),"")))</f>
        <v>15.142857142857142</v>
      </c>
      <c r="BY33" s="13">
        <f>IF('Données projet'!$A$114&gt;35,BY32+BX33-CG32,IF(A33&lt;'Données projet'!$A$114,$BV$205^A33,IF(A33='Données projet'!$A$114,'Données projet'!$B$114,BY32+BX33-CG32)))</f>
        <v>269</v>
      </c>
      <c r="BZ33" s="14">
        <f>BY33*VLOOKUP('Données projet'!$B$12,Paramètres!$A$1:$I$89,3,0)*VLOOKUP('Données projet'!$B$12,Paramètres!$A$1:$I$89,5,0)</f>
        <v>160.86200000000002</v>
      </c>
      <c r="CA33" s="14">
        <f t="shared" si="39"/>
        <v>41.03688107178359</v>
      </c>
      <c r="CB33" s="22">
        <f t="shared" si="10"/>
        <v>351.64055120002314</v>
      </c>
      <c r="CC33" s="62">
        <f t="shared" si="11"/>
        <v>570.71041846098944</v>
      </c>
      <c r="CD33" s="62">
        <f ca="1">AVERAGE(OFFSET($CC$3,0,0,'Données projet'!$E$12+1,1))-AVERAGE(OFFSET($H$3,0,0,'Données projet'!$E$12+1,1))</f>
        <v>210.13237351083279</v>
      </c>
      <c r="CE33" s="62">
        <f t="shared" si="40"/>
        <v>423.06475179432277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10.894661352705947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1.9257275619318515</v>
      </c>
      <c r="CN33" s="24">
        <f t="shared" si="12"/>
        <v>12.8203889146378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49.74632743480899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121</v>
      </c>
      <c r="CR33" s="13">
        <f>VLOOKUP(A33,'Données projet'!$A$139:$I$159,9,0)</f>
        <v>9.1999999999999993</v>
      </c>
      <c r="CS33" s="13">
        <f t="array" ref="CS33">INDEX(CR:CR,MIN(IF(ISNUMBER(CR33:CR229),ROW(CR33:CR229),"")))</f>
        <v>9.1999999999999993</v>
      </c>
      <c r="CT33" s="13">
        <f>IF('Données projet'!$A$140&gt;35,CT32+CS33-DB32,IF(A33&lt;'Données projet'!$A$140,$CQ$205^A33,IF(A33='Données projet'!$A$140,'Données projet'!$B$140,CT32+CS33-DB32)))</f>
        <v>121.00000000000003</v>
      </c>
      <c r="CU33" s="18">
        <f>CT33*VLOOKUP('Données projet'!$B$13,Paramètres!$A$1:$I$89,3,0)*VLOOKUP('Données projet'!$B$13,Paramètres!$A$1:$I$89,5,0)</f>
        <v>109.48080000000002</v>
      </c>
      <c r="CV33" s="14">
        <f t="shared" si="41"/>
        <v>29.208623339903898</v>
      </c>
      <c r="CW33" s="22">
        <f t="shared" si="13"/>
        <v>241.55074565033269</v>
      </c>
      <c r="CX33" s="62">
        <f t="shared" si="14"/>
        <v>460.62061291129896</v>
      </c>
      <c r="CY33" s="62">
        <f ca="1">AVERAGE(OFFSET($CX$3,0,0,'Données projet'!$E$13+1,1))-AVERAGE(OFFSET($H$3,0,0,'Données projet'!$E$13+1,1))</f>
        <v>493.89660144134291</v>
      </c>
      <c r="CZ33" s="62">
        <f t="shared" si="42"/>
        <v>312.97494624463229</v>
      </c>
      <c r="DA33" s="16">
        <f>IF(ISNA(VLOOKUP(A33,'Données projet'!$A$139:$I$159,3,0)),0,VLOOKUP(A33,'Données projet'!$A$139:$I$159,3,0))</f>
        <v>3</v>
      </c>
      <c r="DB33" s="16">
        <f>IF(ISNA(VLOOKUP(A33,'Données projet'!$A$139:$I$159,4,0)),0,VLOOKUP(A33,'Données projet'!$A$139:$I$159,4,0))</f>
        <v>28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0.215</v>
      </c>
      <c r="DE33" s="17">
        <f>IF(ISNA(VLOOKUP(A33,'Données projet'!$A$139:$I$159,7,0)),0%,VLOOKUP(A33,'Données projet'!$A$139:$I$159,7,0))</f>
        <v>0.5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9.1304406496690369</v>
      </c>
      <c r="DH33" s="23">
        <f>EXP(-LN(2)/2)*DH32+(1-EXP(-LN(2)/2))/(LN(2)/2)*DB33*DE33*VLOOKUP('Données projet'!$B$13,Paramètres!$A$1:$I$89,3,0)*0.475*44/12</f>
        <v>14.909774644557633</v>
      </c>
      <c r="DI33" s="24">
        <f t="shared" si="15"/>
        <v>24.04021529422667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49.74632743480899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269</v>
      </c>
      <c r="DM33" s="13">
        <f>VLOOKUP(A33,'Données projet'!$A$165:$I$185,9,0)</f>
        <v>15.142857142857142</v>
      </c>
      <c r="DN33" s="13">
        <f t="array" ref="DN33">INDEX(DM:DM,MIN(IF(ISNUMBER(DM33:DM229),ROW(DM33:DM229),"")))</f>
        <v>15.142857142857142</v>
      </c>
      <c r="DO33" s="13">
        <f>IF('Données projet'!$A$166&gt;35,DO32+DN33-DW32,IF(A33&lt;'Données projet'!$A$166,$DL$205^A33,IF(A33='Données projet'!$A$166,'Données projet'!$B$166,DO32+DN33-DW32)))</f>
        <v>269</v>
      </c>
      <c r="DP33" s="18">
        <f>DO33*VLOOKUP('Données projet'!$B$14,Paramètres!$A$1:$I$89,3,0)*VLOOKUP('Données projet'!$B$14,Paramètres!$A$1:$I$89,5,0)</f>
        <v>160.86200000000002</v>
      </c>
      <c r="DQ33" s="14">
        <f t="shared" si="43"/>
        <v>41.03688107178359</v>
      </c>
      <c r="DR33" s="22">
        <f t="shared" si="16"/>
        <v>351.64055120002314</v>
      </c>
      <c r="DS33" s="62">
        <f t="shared" si="17"/>
        <v>570.71041846098944</v>
      </c>
      <c r="DT33" s="62">
        <f ca="1">AVERAGE(OFFSET($DS$3,0,0,'Données projet'!$E$14+1,1))-AVERAGE(OFFSET($H$3,0,0,'Données projet'!$E$14+1,1))</f>
        <v>210.13237351083279</v>
      </c>
      <c r="DU33" s="62">
        <f t="shared" si="44"/>
        <v>423.06475179432277</v>
      </c>
      <c r="DV33" s="16">
        <f>IF(ISNA(VLOOKUP(A33,'Données projet'!$A$165:$I$185,3,0)),0,VLOOKUP(A33,'Données projet'!$A$165:$I$185,3,0))</f>
        <v>4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10.894661352705947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1.9257275619318515</v>
      </c>
      <c r="ED33" s="24">
        <f t="shared" si="18"/>
        <v>12.8203889146378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49.74632743480899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49.74632743480899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49.74632743480899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49.74632743480899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4.5049999999999999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16.518333333333334</v>
      </c>
      <c r="H34" s="70">
        <f t="shared" si="1"/>
        <v>147.64566666666667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50.097683373386694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7.4285714285714288</v>
      </c>
      <c r="N34" s="14">
        <f>IF('Données projet'!$A$36&gt;35,N33+M34-V33,IF(A34&lt;'Données projet'!$A$36,$K$205^A34,IF(A34='Données projet'!$A$36,'Données projet'!$B$36,N33+M34-V33)))</f>
        <v>230.28571428571414</v>
      </c>
      <c r="O34" s="14">
        <f>N34*VLOOKUP('Données projet'!$B$9,Paramètres!$A$1:$I$89,3,0)*VLOOKUP('Données projet'!$B$9,Paramètres!$A$1:$I$89,5,0)</f>
        <v>107.77371428571422</v>
      </c>
      <c r="P34" s="14">
        <f t="shared" si="33"/>
        <v>28.805831741871607</v>
      </c>
      <c r="Q34" s="22">
        <f t="shared" si="2"/>
        <v>237.87604266471195</v>
      </c>
      <c r="R34" s="62">
        <f t="shared" si="0"/>
        <v>458.23421503379649</v>
      </c>
      <c r="S34" s="62">
        <f ca="1">AVERAGE(OFFSET($R$3,0,0,'Données projet'!$E$9+1,1))-AVERAGE(OFFSET($H$3,0,0,'Données projet'!$E$9+1,1))</f>
        <v>374.81775021423215</v>
      </c>
      <c r="T34" s="62">
        <f t="shared" si="34"/>
        <v>301.81248585467142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50.097683373386694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85.987200000000001</v>
      </c>
      <c r="AK34" s="14">
        <f t="shared" si="35"/>
        <v>23.594880218992504</v>
      </c>
      <c r="AL34" s="22">
        <f t="shared" si="4"/>
        <v>190.85545638141195</v>
      </c>
      <c r="AM34" s="62">
        <f t="shared" si="5"/>
        <v>411.21362875049647</v>
      </c>
      <c r="AN34" s="62">
        <f ca="1">AVERAGE(OFFSET($AM$3,0,0,'Données projet'!$E$10+1,1))-AVERAGE(OFFSET($H$3,0,0,'Données projet'!$E$10+1,1))</f>
        <v>468.39960552661171</v>
      </c>
      <c r="AO34" s="62">
        <f t="shared" si="36"/>
        <v>291.1952427029787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2.9419786210819692</v>
      </c>
      <c r="AW34" s="23">
        <f>EXP(-LN(2)/2)*AW33+(1-EXP(-LN(2)/2))/(LN(2)/2)*AQ34*AT34*VLOOKUP('Données projet'!$B$10,Paramètres!$A$1:$I$89,3,0)*0.475*44/12</f>
        <v>9.944766376108797</v>
      </c>
      <c r="AX34" s="23">
        <f t="shared" si="6"/>
        <v>12.886744997190766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50.097683373386694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10.6</v>
      </c>
      <c r="BD34" s="13">
        <f>IF('Données projet'!$A$88&gt;35,BD33+BC34-BL33,IF(A34&lt;'Données projet'!$A$88,$BA$205^A34,IF(A34='Données projet'!$A$88,'Données projet'!$B$88,BD33+BC34-BL33)))</f>
        <v>136.6</v>
      </c>
      <c r="BE34" s="14">
        <f>BD34*VLOOKUP('Données projet'!$B$11,Paramètres!$A$1:$I$89,3,0)*VLOOKUP('Données projet'!$B$11,Paramètres!$A$1:$I$89,5,0)</f>
        <v>119.33376000000001</v>
      </c>
      <c r="BF34" s="14">
        <f t="shared" si="37"/>
        <v>31.519559440518702</v>
      </c>
      <c r="BG34" s="22">
        <f t="shared" si="7"/>
        <v>262.7361980255701</v>
      </c>
      <c r="BH34" s="62">
        <f t="shared" si="8"/>
        <v>483.09437039465467</v>
      </c>
      <c r="BI34" s="62">
        <f ca="1">AVERAGE(OFFSET($BH$3,0,0,'Données projet'!$E$11+1,1))-AVERAGE(OFFSET($H$3,0,0,'Données projet'!$E$11+1,1))</f>
        <v>373.50005214669716</v>
      </c>
      <c r="BJ34" s="62">
        <f t="shared" si="38"/>
        <v>383.60460086643036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15.411013550098993</v>
      </c>
      <c r="BR34" s="23">
        <f>EXP(-LN(2)/2)*BR33+(1-EXP(-LN(2)/2))/(LN(2)/2)*BL34*BO34*VLOOKUP('Données projet'!$B$11,Paramètres!$A$1:$I$89,3,0)*0.475*44/12</f>
        <v>10.532196141979446</v>
      </c>
      <c r="BS34" s="24">
        <f t="shared" si="9"/>
        <v>25.94320969207844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50.097683373386694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14</v>
      </c>
      <c r="BY34" s="13">
        <f>IF('Données projet'!$A$114&gt;35,BY33+BX34-CG33,IF(A34&lt;'Données projet'!$A$114,$BV$205^A34,IF(A34='Données projet'!$A$114,'Données projet'!$B$114,BY33+BX34-CG33)))</f>
        <v>283</v>
      </c>
      <c r="BZ34" s="14">
        <f>BY34*VLOOKUP('Données projet'!$B$12,Paramètres!$A$1:$I$89,3,0)*VLOOKUP('Données projet'!$B$12,Paramètres!$A$1:$I$89,5,0)</f>
        <v>169.23400000000001</v>
      </c>
      <c r="CA34" s="14">
        <f t="shared" si="39"/>
        <v>42.918420001269354</v>
      </c>
      <c r="CB34" s="22">
        <f t="shared" si="10"/>
        <v>369.4987981688775</v>
      </c>
      <c r="CC34" s="62">
        <f t="shared" si="11"/>
        <v>589.85697053796207</v>
      </c>
      <c r="CD34" s="62">
        <f ca="1">AVERAGE(OFFSET($CC$3,0,0,'Données projet'!$E$12+1,1))-AVERAGE(OFFSET($H$3,0,0,'Données projet'!$E$12+1,1))</f>
        <v>210.13237351083279</v>
      </c>
      <c r="CE34" s="62">
        <f t="shared" si="40"/>
        <v>423.06475179432277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10.681023688666661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1.3616950177598495</v>
      </c>
      <c r="CN34" s="24">
        <f t="shared" si="12"/>
        <v>12.042718706426511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50.097683373386694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10.8</v>
      </c>
      <c r="CT34" s="13">
        <f>IF('Données projet'!$A$140&gt;35,CT33+CS34-DB33,IF(A34&lt;'Données projet'!$A$140,$CQ$205^A34,IF(A34='Données projet'!$A$140,'Données projet'!$B$140,CT33+CS34-DB33)))</f>
        <v>103.80000000000004</v>
      </c>
      <c r="CU34" s="18">
        <f>CT34*VLOOKUP('Données projet'!$B$13,Paramètres!$A$1:$I$89,3,0)*VLOOKUP('Données projet'!$B$13,Paramètres!$A$1:$I$89,5,0)</f>
        <v>93.91824000000004</v>
      </c>
      <c r="CV34" s="14">
        <f t="shared" si="41"/>
        <v>25.507853654186022</v>
      </c>
      <c r="CW34" s="22">
        <f t="shared" si="13"/>
        <v>208.00044644770739</v>
      </c>
      <c r="CX34" s="62">
        <f t="shared" si="14"/>
        <v>428.35861881679193</v>
      </c>
      <c r="CY34" s="62">
        <f ca="1">AVERAGE(OFFSET($CX$3,0,0,'Données projet'!$E$13+1,1))-AVERAGE(OFFSET($H$3,0,0,'Données projet'!$E$13+1,1))</f>
        <v>493.89660144134291</v>
      </c>
      <c r="CZ34" s="62">
        <f t="shared" si="42"/>
        <v>312.97494624463229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8.8807682699548316</v>
      </c>
      <c r="DH34" s="23">
        <f>EXP(-LN(2)/2)*DH33+(1-EXP(-LN(2)/2))/(LN(2)/2)*DB34*DE34*VLOOKUP('Données projet'!$B$13,Paramètres!$A$1:$I$89,3,0)*0.475*44/12</f>
        <v>10.54280275712995</v>
      </c>
      <c r="DI34" s="24">
        <f t="shared" si="15"/>
        <v>19.423571027084783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50.097683373386694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14</v>
      </c>
      <c r="DO34" s="13">
        <f>IF('Données projet'!$A$166&gt;35,DO33+DN34-DW33,IF(A34&lt;'Données projet'!$A$166,$DL$205^A34,IF(A34='Données projet'!$A$166,'Données projet'!$B$166,DO33+DN34-DW33)))</f>
        <v>283</v>
      </c>
      <c r="DP34" s="18">
        <f>DO34*VLOOKUP('Données projet'!$B$14,Paramètres!$A$1:$I$89,3,0)*VLOOKUP('Données projet'!$B$14,Paramètres!$A$1:$I$89,5,0)</f>
        <v>169.23400000000001</v>
      </c>
      <c r="DQ34" s="14">
        <f t="shared" si="43"/>
        <v>42.918420001269354</v>
      </c>
      <c r="DR34" s="22">
        <f t="shared" si="16"/>
        <v>369.4987981688775</v>
      </c>
      <c r="DS34" s="62">
        <f t="shared" si="17"/>
        <v>589.85697053796207</v>
      </c>
      <c r="DT34" s="62">
        <f ca="1">AVERAGE(OFFSET($DS$3,0,0,'Données projet'!$E$14+1,1))-AVERAGE(OFFSET($H$3,0,0,'Données projet'!$E$14+1,1))</f>
        <v>210.13237351083279</v>
      </c>
      <c r="DU34" s="62">
        <f t="shared" si="44"/>
        <v>423.06475179432277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10.681023688666661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1.3616950177598495</v>
      </c>
      <c r="ED34" s="24">
        <f t="shared" si="18"/>
        <v>12.042718706426511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50.097683373386694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50.097683373386694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50.097683373386694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50.097683373386694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4.5049999999999999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16.518333333333334</v>
      </c>
      <c r="H35" s="70">
        <f t="shared" si="1"/>
        <v>147.64566666666667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50.442944071944275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7.4285714285714288</v>
      </c>
      <c r="N35" s="14">
        <f>IF('Données projet'!$A$36&gt;35,N34+M35-V34,IF(A35&lt;'Données projet'!$A$36,$K$205^A35,IF(A35='Données projet'!$A$36,'Données projet'!$B$36,N34+M35-V34)))</f>
        <v>237.71428571428555</v>
      </c>
      <c r="O35" s="14">
        <f>N35*VLOOKUP('Données projet'!$B$9,Paramètres!$A$1:$I$89,3,0)*VLOOKUP('Données projet'!$B$9,Paramètres!$A$1:$I$89,5,0)</f>
        <v>111.25028571428562</v>
      </c>
      <c r="P35" s="14">
        <f t="shared" si="33"/>
        <v>29.625367590940503</v>
      </c>
      <c r="Q35" s="22">
        <f t="shared" ref="Q35:Q66" si="53">(O35+P35)*0.475*44/12</f>
        <v>245.35842950660216</v>
      </c>
      <c r="R35" s="62">
        <f t="shared" si="0"/>
        <v>466.98255777039788</v>
      </c>
      <c r="S35" s="62">
        <f ca="1">AVERAGE(OFFSET($R$3,0,0,'Données projet'!$E$9+1,1))-AVERAGE(OFFSET($H$3,0,0,'Données projet'!$E$9+1,1))</f>
        <v>374.81775021423215</v>
      </c>
      <c r="T35" s="62">
        <f t="shared" si="34"/>
        <v>301.81248585467142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50.442944071944275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93.8964</v>
      </c>
      <c r="AK35" s="14">
        <f t="shared" si="35"/>
        <v>25.502612364176063</v>
      </c>
      <c r="AL35" s="22">
        <f t="shared" si="4"/>
        <v>207.95327986760662</v>
      </c>
      <c r="AM35" s="62">
        <f t="shared" si="5"/>
        <v>429.57740813140231</v>
      </c>
      <c r="AN35" s="62">
        <f ca="1">AVERAGE(OFFSET($AM$3,0,0,'Données projet'!$E$10+1,1))-AVERAGE(OFFSET($H$3,0,0,'Données projet'!$E$10+1,1))</f>
        <v>468.39960552661171</v>
      </c>
      <c r="AO35" s="62">
        <f t="shared" si="36"/>
        <v>291.1952427029787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2.861530060976551</v>
      </c>
      <c r="AW35" s="23">
        <f>EXP(-LN(2)/2)*AW34+(1-EXP(-LN(2)/2))/(LN(2)/2)*AQ35*AT35*VLOOKUP('Données projet'!$B$10,Paramètres!$A$1:$I$89,3,0)*0.475*44/12</f>
        <v>7.0320117418624983</v>
      </c>
      <c r="AX35" s="23">
        <f t="shared" si="6"/>
        <v>9.8935418028390494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50.442944071944275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10.6</v>
      </c>
      <c r="BD35" s="13">
        <f>IF('Données projet'!$A$88&gt;35,BD34+BC35-BL34,IF(A35&lt;'Données projet'!$A$88,$BA$205^A35,IF(A35='Données projet'!$A$88,'Données projet'!$B$88,BD34+BC35-BL34)))</f>
        <v>147.19999999999999</v>
      </c>
      <c r="BE35" s="14">
        <f>BD35*VLOOKUP('Données projet'!$B$11,Paramètres!$A$1:$I$89,3,0)*VLOOKUP('Données projet'!$B$11,Paramètres!$A$1:$I$89,5,0)</f>
        <v>128.59392</v>
      </c>
      <c r="BF35" s="14">
        <f t="shared" si="37"/>
        <v>33.671250175837564</v>
      </c>
      <c r="BG35" s="22">
        <f t="shared" si="7"/>
        <v>282.61183805625041</v>
      </c>
      <c r="BH35" s="62">
        <f t="shared" si="8"/>
        <v>504.23596632004609</v>
      </c>
      <c r="BI35" s="62">
        <f ca="1">AVERAGE(OFFSET($BH$3,0,0,'Données projet'!$E$11+1,1))-AVERAGE(OFFSET($H$3,0,0,'Données projet'!$E$11+1,1))</f>
        <v>373.50005214669716</v>
      </c>
      <c r="BJ35" s="62">
        <f t="shared" si="38"/>
        <v>383.60460086643036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14.989598574141555</v>
      </c>
      <c r="BR35" s="23">
        <f>EXP(-LN(2)/2)*BR34+(1-EXP(-LN(2)/2))/(LN(2)/2)*BL35*BO35*VLOOKUP('Données projet'!$B$11,Paramètres!$A$1:$I$89,3,0)*0.475*44/12</f>
        <v>7.4473873127804602</v>
      </c>
      <c r="BS35" s="24">
        <f t="shared" si="9"/>
        <v>22.436985886922017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50.442944071944275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14</v>
      </c>
      <c r="BY35" s="13">
        <f>IF('Données projet'!$A$114&gt;35,BY34+BX35-CG34,IF(A35&lt;'Données projet'!$A$114,$BV$205^A35,IF(A35='Données projet'!$A$114,'Données projet'!$B$114,BY34+BX35-CG34)))</f>
        <v>297</v>
      </c>
      <c r="BZ35" s="14">
        <f>BY35*VLOOKUP('Données projet'!$B$12,Paramètres!$A$1:$I$89,3,0)*VLOOKUP('Données projet'!$B$12,Paramètres!$A$1:$I$89,5,0)</f>
        <v>177.60600000000002</v>
      </c>
      <c r="CA35" s="14">
        <f t="shared" si="39"/>
        <v>44.789150937858665</v>
      </c>
      <c r="CB35" s="22">
        <f t="shared" si="10"/>
        <v>387.33822121677053</v>
      </c>
      <c r="CC35" s="62">
        <f t="shared" si="11"/>
        <v>608.96234948056622</v>
      </c>
      <c r="CD35" s="62">
        <f ca="1">AVERAGE(OFFSET($CC$3,0,0,'Données projet'!$E$12+1,1))-AVERAGE(OFFSET($H$3,0,0,'Données projet'!$E$12+1,1))</f>
        <v>210.13237351083279</v>
      </c>
      <c r="CE35" s="62">
        <f t="shared" si="40"/>
        <v>423.06475179432277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10.471575328913076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0.96286378096592584</v>
      </c>
      <c r="CN35" s="24">
        <f t="shared" si="12"/>
        <v>11.434439109879001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50.442944071944275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10.8</v>
      </c>
      <c r="CT35" s="13">
        <f>IF('Données projet'!$A$140&gt;35,CT34+CS35-DB34,IF(A35&lt;'Données projet'!$A$140,$CQ$205^A35,IF(A35='Données projet'!$A$140,'Données projet'!$B$140,CT34+CS35-DB34)))</f>
        <v>114.60000000000004</v>
      </c>
      <c r="CU35" s="18">
        <f>CT35*VLOOKUP('Données projet'!$B$13,Paramètres!$A$1:$I$89,3,0)*VLOOKUP('Données projet'!$B$13,Paramètres!$A$1:$I$89,5,0)</f>
        <v>103.69008000000004</v>
      </c>
      <c r="CV35" s="14">
        <f t="shared" si="41"/>
        <v>27.83924565319537</v>
      </c>
      <c r="CW35" s="22">
        <f t="shared" si="13"/>
        <v>229.08024217931529</v>
      </c>
      <c r="CX35" s="62">
        <f t="shared" si="14"/>
        <v>450.70437044311097</v>
      </c>
      <c r="CY35" s="62">
        <f ca="1">AVERAGE(OFFSET($CX$3,0,0,'Données projet'!$E$13+1,1))-AVERAGE(OFFSET($H$3,0,0,'Données projet'!$E$13+1,1))</f>
        <v>493.89660144134291</v>
      </c>
      <c r="CZ35" s="62">
        <f t="shared" si="42"/>
        <v>312.97494624463229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8.6379231945936112</v>
      </c>
      <c r="DH35" s="23">
        <f>EXP(-LN(2)/2)*DH34+(1-EXP(-LN(2)/2))/(LN(2)/2)*DB35*DE35*VLOOKUP('Données projet'!$B$13,Paramètres!$A$1:$I$89,3,0)*0.475*44/12</f>
        <v>7.4548873222788181</v>
      </c>
      <c r="DI35" s="24">
        <f t="shared" si="15"/>
        <v>16.092810516872429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50.442944071944275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14</v>
      </c>
      <c r="DO35" s="13">
        <f>IF('Données projet'!$A$166&gt;35,DO34+DN35-DW34,IF(A35&lt;'Données projet'!$A$166,$DL$205^A35,IF(A35='Données projet'!$A$166,'Données projet'!$B$166,DO34+DN35-DW34)))</f>
        <v>297</v>
      </c>
      <c r="DP35" s="18">
        <f>DO35*VLOOKUP('Données projet'!$B$14,Paramètres!$A$1:$I$89,3,0)*VLOOKUP('Données projet'!$B$14,Paramètres!$A$1:$I$89,5,0)</f>
        <v>177.60600000000002</v>
      </c>
      <c r="DQ35" s="14">
        <f t="shared" si="43"/>
        <v>44.789150937858665</v>
      </c>
      <c r="DR35" s="22">
        <f t="shared" si="16"/>
        <v>387.33822121677053</v>
      </c>
      <c r="DS35" s="62">
        <f t="shared" si="17"/>
        <v>608.96234948056622</v>
      </c>
      <c r="DT35" s="62">
        <f ca="1">AVERAGE(OFFSET($DS$3,0,0,'Données projet'!$E$14+1,1))-AVERAGE(OFFSET($H$3,0,0,'Données projet'!$E$14+1,1))</f>
        <v>210.13237351083279</v>
      </c>
      <c r="DU35" s="62">
        <f t="shared" si="44"/>
        <v>423.06475179432277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10.471575328913076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0.96286378096592584</v>
      </c>
      <c r="ED35" s="24">
        <f t="shared" si="18"/>
        <v>11.434439109879001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50.442944071944275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50.442944071944275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50.442944071944275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50.442944071944275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4.5049999999999999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16.518333333333334</v>
      </c>
      <c r="H36" s="70">
        <f t="shared" si="1"/>
        <v>147.64566666666667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50.782215269269173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7.4285714285714288</v>
      </c>
      <c r="N36" s="14">
        <f>IF('Données projet'!$A$36&gt;35,N35+M36-V35,IF(A36&lt;'Données projet'!$A$36,$K$205^A36,IF(A36='Données projet'!$A$36,'Données projet'!$B$36,N35+M36-V35)))</f>
        <v>245.14285714285697</v>
      </c>
      <c r="O36" s="14">
        <f>N36*VLOOKUP('Données projet'!$B$9,Paramètres!$A$1:$I$89,3,0)*VLOOKUP('Données projet'!$B$9,Paramètres!$A$1:$I$89,5,0)</f>
        <v>114.72685714285706</v>
      </c>
      <c r="P36" s="14">
        <f t="shared" si="33"/>
        <v>30.441927281814039</v>
      </c>
      <c r="Q36" s="22">
        <f t="shared" si="53"/>
        <v>252.83563287296877</v>
      </c>
      <c r="R36" s="62">
        <f t="shared" si="0"/>
        <v>475.70375552695572</v>
      </c>
      <c r="S36" s="62">
        <f ca="1">AVERAGE(OFFSET($R$3,0,0,'Données projet'!$E$9+1,1))-AVERAGE(OFFSET($H$3,0,0,'Données projet'!$E$9+1,1))</f>
        <v>374.81775021423215</v>
      </c>
      <c r="T36" s="62">
        <f t="shared" si="34"/>
        <v>301.81248585467142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50.782215269269173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101.80559999999998</v>
      </c>
      <c r="AK36" s="14">
        <f t="shared" si="35"/>
        <v>27.391707821525987</v>
      </c>
      <c r="AL36" s="22">
        <f t="shared" si="4"/>
        <v>225.01864445582441</v>
      </c>
      <c r="AM36" s="62">
        <f t="shared" si="5"/>
        <v>447.88676710981133</v>
      </c>
      <c r="AN36" s="62">
        <f ca="1">AVERAGE(OFFSET($AM$3,0,0,'Données projet'!$E$10+1,1))-AVERAGE(OFFSET($H$3,0,0,'Données projet'!$E$10+1,1))</f>
        <v>468.39960552661171</v>
      </c>
      <c r="AO36" s="62">
        <f t="shared" si="36"/>
        <v>291.1952427029787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2.7832813709778215</v>
      </c>
      <c r="AW36" s="23">
        <f>EXP(-LN(2)/2)*AW35+(1-EXP(-LN(2)/2))/(LN(2)/2)*AQ36*AT36*VLOOKUP('Données projet'!$B$10,Paramètres!$A$1:$I$89,3,0)*0.475*44/12</f>
        <v>4.9723831880543985</v>
      </c>
      <c r="AX36" s="23">
        <f t="shared" si="6"/>
        <v>7.75566455903222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50.782215269269173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10.6</v>
      </c>
      <c r="BD36" s="13">
        <f>IF('Données projet'!$A$88&gt;35,BD35+BC36-BL35,IF(A36&lt;'Données projet'!$A$88,$BA$205^A36,IF(A36='Données projet'!$A$88,'Données projet'!$B$88,BD35+BC36-BL35)))</f>
        <v>157.79999999999998</v>
      </c>
      <c r="BE36" s="14">
        <f>BD36*VLOOKUP('Données projet'!$B$11,Paramètres!$A$1:$I$89,3,0)*VLOOKUP('Données projet'!$B$11,Paramètres!$A$1:$I$89,5,0)</f>
        <v>137.85408000000001</v>
      </c>
      <c r="BF36" s="14">
        <f t="shared" si="37"/>
        <v>35.804964283629964</v>
      </c>
      <c r="BG36" s="22">
        <f t="shared" si="7"/>
        <v>302.45616879398887</v>
      </c>
      <c r="BH36" s="62">
        <f t="shared" si="8"/>
        <v>525.32429144797584</v>
      </c>
      <c r="BI36" s="62">
        <f ca="1">AVERAGE(OFFSET($BH$3,0,0,'Données projet'!$E$11+1,1))-AVERAGE(OFFSET($H$3,0,0,'Données projet'!$E$11+1,1))</f>
        <v>373.50005214669716</v>
      </c>
      <c r="BJ36" s="62">
        <f t="shared" si="38"/>
        <v>383.60460086643036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14.579707212862925</v>
      </c>
      <c r="BR36" s="23">
        <f>EXP(-LN(2)/2)*BR35+(1-EXP(-LN(2)/2))/(LN(2)/2)*BL36*BO36*VLOOKUP('Données projet'!$B$11,Paramètres!$A$1:$I$89,3,0)*0.475*44/12</f>
        <v>5.2660980709897238</v>
      </c>
      <c r="BS36" s="24">
        <f t="shared" si="9"/>
        <v>19.845805283852648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50.782215269269173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14</v>
      </c>
      <c r="BY36" s="13">
        <f>IF('Données projet'!$A$114&gt;35,BY35+BX36-CG35,IF(A36&lt;'Données projet'!$A$114,$BV$205^A36,IF(A36='Données projet'!$A$114,'Données projet'!$B$114,BY35+BX36-CG35)))</f>
        <v>311</v>
      </c>
      <c r="BZ36" s="14">
        <f>BY36*VLOOKUP('Données projet'!$B$12,Paramètres!$A$1:$I$89,3,0)*VLOOKUP('Données projet'!$B$12,Paramètres!$A$1:$I$89,5,0)</f>
        <v>185.97800000000001</v>
      </c>
      <c r="CA36" s="14">
        <f t="shared" si="39"/>
        <v>46.649641523668571</v>
      </c>
      <c r="CB36" s="22">
        <f t="shared" si="10"/>
        <v>405.15980898705612</v>
      </c>
      <c r="CC36" s="62">
        <f t="shared" si="11"/>
        <v>628.0279316410431</v>
      </c>
      <c r="CD36" s="62">
        <f ca="1">AVERAGE(OFFSET($CC$3,0,0,'Données projet'!$E$12+1,1))-AVERAGE(OFFSET($H$3,0,0,'Données projet'!$E$12+1,1))</f>
        <v>210.13237351083279</v>
      </c>
      <c r="CE36" s="62">
        <f t="shared" si="40"/>
        <v>423.06475179432277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10.266234123743374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0.68084750887992485</v>
      </c>
      <c r="CN36" s="24">
        <f t="shared" si="12"/>
        <v>10.947081632623298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50.782215269269173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10.8</v>
      </c>
      <c r="CT36" s="13">
        <f>IF('Données projet'!$A$140&gt;35,CT35+CS36-DB35,IF(A36&lt;'Données projet'!$A$140,$CQ$205^A36,IF(A36='Données projet'!$A$140,'Données projet'!$B$140,CT35+CS36-DB35)))</f>
        <v>125.40000000000003</v>
      </c>
      <c r="CU36" s="18">
        <f>CT36*VLOOKUP('Données projet'!$B$13,Paramètres!$A$1:$I$89,3,0)*VLOOKUP('Données projet'!$B$13,Paramètres!$A$1:$I$89,5,0)</f>
        <v>113.46192000000002</v>
      </c>
      <c r="CV36" s="14">
        <f t="shared" si="41"/>
        <v>30.145163126535493</v>
      </c>
      <c r="CW36" s="22">
        <f t="shared" si="13"/>
        <v>250.11566977871598</v>
      </c>
      <c r="CX36" s="62">
        <f t="shared" si="14"/>
        <v>472.9837924327029</v>
      </c>
      <c r="CY36" s="62">
        <f ca="1">AVERAGE(OFFSET($CX$3,0,0,'Données projet'!$E$13+1,1))-AVERAGE(OFFSET($H$3,0,0,'Données projet'!$E$13+1,1))</f>
        <v>493.89660144134291</v>
      </c>
      <c r="CZ36" s="62">
        <f t="shared" si="42"/>
        <v>312.97494624463229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8.4017187305888097</v>
      </c>
      <c r="DH36" s="23">
        <f>EXP(-LN(2)/2)*DH35+(1-EXP(-LN(2)/2))/(LN(2)/2)*DB36*DE36*VLOOKUP('Données projet'!$B$13,Paramètres!$A$1:$I$89,3,0)*0.475*44/12</f>
        <v>5.2714013785649758</v>
      </c>
      <c r="DI36" s="24">
        <f t="shared" si="15"/>
        <v>13.673120109153786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50.782215269269173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14</v>
      </c>
      <c r="DO36" s="13">
        <f>IF('Données projet'!$A$166&gt;35,DO35+DN36-DW35,IF(A36&lt;'Données projet'!$A$166,$DL$205^A36,IF(A36='Données projet'!$A$166,'Données projet'!$B$166,DO35+DN36-DW35)))</f>
        <v>311</v>
      </c>
      <c r="DP36" s="18">
        <f>DO36*VLOOKUP('Données projet'!$B$14,Paramètres!$A$1:$I$89,3,0)*VLOOKUP('Données projet'!$B$14,Paramètres!$A$1:$I$89,5,0)</f>
        <v>185.97800000000001</v>
      </c>
      <c r="DQ36" s="14">
        <f t="shared" si="43"/>
        <v>46.649641523668571</v>
      </c>
      <c r="DR36" s="22">
        <f t="shared" si="16"/>
        <v>405.15980898705612</v>
      </c>
      <c r="DS36" s="62">
        <f t="shared" si="17"/>
        <v>628.0279316410431</v>
      </c>
      <c r="DT36" s="62">
        <f ca="1">AVERAGE(OFFSET($DS$3,0,0,'Données projet'!$E$14+1,1))-AVERAGE(OFFSET($H$3,0,0,'Données projet'!$E$14+1,1))</f>
        <v>210.13237351083279</v>
      </c>
      <c r="DU36" s="62">
        <f t="shared" si="44"/>
        <v>423.06475179432277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10.266234123743374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0.68084750887992485</v>
      </c>
      <c r="ED36" s="24">
        <f t="shared" si="18"/>
        <v>10.947081632623298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50.782215269269173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50.782215269269173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50.782215269269173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50.782215269269173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4.5049999999999999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16.518333333333334</v>
      </c>
      <c r="H37" s="70">
        <f t="shared" si="1"/>
        <v>147.64566666666667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51.115600869817243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7.4285714285714288</v>
      </c>
      <c r="N37" s="14">
        <f>IF('Données projet'!$A$36&gt;35,N36+M37-V36,IF(A37&lt;'Données projet'!$A$36,$K$205^A37,IF(A37='Données projet'!$A$36,'Données projet'!$B$36,N36+M37-V36)))</f>
        <v>252.57142857142838</v>
      </c>
      <c r="O37" s="14">
        <f>N37*VLOOKUP('Données projet'!$B$9,Paramètres!$A$1:$I$89,3,0)*VLOOKUP('Données projet'!$B$9,Paramètres!$A$1:$I$89,5,0)</f>
        <v>118.20342857142849</v>
      </c>
      <c r="P37" s="14">
        <f t="shared" si="33"/>
        <v>31.25561135267116</v>
      </c>
      <c r="Q37" s="22">
        <f t="shared" si="53"/>
        <v>260.30782786780691</v>
      </c>
      <c r="R37" s="62">
        <f t="shared" si="0"/>
        <v>484.39836439047014</v>
      </c>
      <c r="S37" s="62">
        <f ca="1">AVERAGE(OFFSET($R$3,0,0,'Données projet'!$E$9+1,1))-AVERAGE(OFFSET($H$3,0,0,'Données projet'!$E$9+1,1))</f>
        <v>374.81775021423215</v>
      </c>
      <c r="T37" s="62">
        <f t="shared" si="34"/>
        <v>301.81248585467142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51.115600869817243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109.7148</v>
      </c>
      <c r="AK37" s="14">
        <f t="shared" si="35"/>
        <v>29.263779078727129</v>
      </c>
      <c r="AL37" s="22">
        <f t="shared" si="4"/>
        <v>242.05435856211645</v>
      </c>
      <c r="AM37" s="62">
        <f t="shared" si="5"/>
        <v>466.14489508477971</v>
      </c>
      <c r="AN37" s="62">
        <f ca="1">AVERAGE(OFFSET($AM$3,0,0,'Données projet'!$E$10+1,1))-AVERAGE(OFFSET($H$3,0,0,'Données projet'!$E$10+1,1))</f>
        <v>468.39960552661171</v>
      </c>
      <c r="AO37" s="62">
        <f t="shared" si="36"/>
        <v>291.1952427029787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2.707172395522027</v>
      </c>
      <c r="AW37" s="23">
        <f>EXP(-LN(2)/2)*AW36+(1-EXP(-LN(2)/2))/(LN(2)/2)*AQ37*AT37*VLOOKUP('Données projet'!$B$10,Paramètres!$A$1:$I$89,3,0)*0.475*44/12</f>
        <v>3.5160058709312492</v>
      </c>
      <c r="AX37" s="23">
        <f t="shared" si="6"/>
        <v>6.2231782664532762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51.115600869817243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10.6</v>
      </c>
      <c r="BD37" s="13">
        <f>IF('Données projet'!$A$88&gt;35,BD36+BC37-BL36,IF(A37&lt;'Données projet'!$A$88,$BA$205^A37,IF(A37='Données projet'!$A$88,'Données projet'!$B$88,BD36+BC37-BL36)))</f>
        <v>168.39999999999998</v>
      </c>
      <c r="BE37" s="14">
        <f>BD37*VLOOKUP('Données projet'!$B$11,Paramètres!$A$1:$I$89,3,0)*VLOOKUP('Données projet'!$B$11,Paramètres!$A$1:$I$89,5,0)</f>
        <v>147.11424</v>
      </c>
      <c r="BF37" s="14">
        <f t="shared" si="37"/>
        <v>37.922046712608186</v>
      </c>
      <c r="BG37" s="22">
        <f t="shared" si="7"/>
        <v>322.27153269112591</v>
      </c>
      <c r="BH37" s="62">
        <f t="shared" si="8"/>
        <v>546.36206921378914</v>
      </c>
      <c r="BI37" s="62">
        <f ca="1">AVERAGE(OFFSET($BH$3,0,0,'Données projet'!$E$11+1,1))-AVERAGE(OFFSET($H$3,0,0,'Données projet'!$E$11+1,1))</f>
        <v>373.50005214669716</v>
      </c>
      <c r="BJ37" s="62">
        <f t="shared" si="38"/>
        <v>383.60460086643036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14.181024352413708</v>
      </c>
      <c r="BR37" s="23">
        <f>EXP(-LN(2)/2)*BR36+(1-EXP(-LN(2)/2))/(LN(2)/2)*BL37*BO37*VLOOKUP('Données projet'!$B$11,Paramètres!$A$1:$I$89,3,0)*0.475*44/12</f>
        <v>3.723693656390231</v>
      </c>
      <c r="BS37" s="24">
        <f t="shared" si="9"/>
        <v>17.90471800880394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51.115600869817243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>
        <f>VLOOKUP(A37,'Données projet'!$A$113:$I$133,2,0)</f>
        <v>325</v>
      </c>
      <c r="BW37" s="13">
        <f>VLOOKUP(A37,'Données projet'!$A$113:$I$133,9,0)</f>
        <v>14</v>
      </c>
      <c r="BX37" s="13">
        <f t="array" ref="BX37">INDEX(BW:BW,MIN(IF(ISNUMBER(BW37:BW233),ROW(BW37:BW233),"")))</f>
        <v>14</v>
      </c>
      <c r="BY37" s="13">
        <f>IF('Données projet'!$A$114&gt;35,BY36+BX37-CG36,IF(A37&lt;'Données projet'!$A$114,$BV$205^A37,IF(A37='Données projet'!$A$114,'Données projet'!$B$114,BY36+BX37-CG36)))</f>
        <v>325</v>
      </c>
      <c r="BZ37" s="14">
        <f>BY37*VLOOKUP('Données projet'!$B$12,Paramètres!$A$1:$I$89,3,0)*VLOOKUP('Données projet'!$B$12,Paramètres!$A$1:$I$89,5,0)</f>
        <v>194.35</v>
      </c>
      <c r="CA37" s="14">
        <f t="shared" si="39"/>
        <v>48.500405405690429</v>
      </c>
      <c r="CB37" s="22">
        <f t="shared" si="10"/>
        <v>422.96445608157745</v>
      </c>
      <c r="CC37" s="62">
        <f t="shared" si="11"/>
        <v>647.05499260424062</v>
      </c>
      <c r="CD37" s="62">
        <f ca="1">AVERAGE(OFFSET($CC$3,0,0,'Données projet'!$E$12+1,1))-AVERAGE(OFFSET($H$3,0,0,'Données projet'!$E$12+1,1))</f>
        <v>210.13237351083279</v>
      </c>
      <c r="CE37" s="62">
        <f t="shared" si="40"/>
        <v>423.06475179432277</v>
      </c>
      <c r="CF37" s="16">
        <f>IF(ISNA(VLOOKUP(A37,'Données projet'!$A$113:$I$133,3,0)),0,VLOOKUP(A37,'Données projet'!$A$113:$I$133,3,0))</f>
        <v>5</v>
      </c>
      <c r="CG37" s="16">
        <f>IF(ISNA(VLOOKUP(A37,'Données projet'!$A$113:$I$133,4,0)),0,VLOOKUP(A37,'Données projet'!$A$113:$I$133,4,0))</f>
        <v>325</v>
      </c>
      <c r="CH37" s="17">
        <f>IF(ISNA(VLOOKUP(A37,'Données projet'!$A$113:$I$133,5,0)),0%,VLOOKUP(A37,'Données projet'!$A$113:$I$133,5,0)*VLOOKUP('Données projet'!$B$12,Paramètres!$A$1:$I$89,7,0))</f>
        <v>0.315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0.3</v>
      </c>
      <c r="CK37" s="23">
        <f>EXP(-LN(2)/35)*CK36+(1-EXP(-LN(2)/35))/(LN(2)/35)*CG37*CH37*VLOOKUP('Données projet'!$B$12,Paramètres!$A$1:$I$89,3,0)*0.475*44/12</f>
        <v>91.277527137483801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66.496235997763563</v>
      </c>
      <c r="CN37" s="24">
        <f t="shared" si="12"/>
        <v>157.77376313524735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51.115600869817243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10.8</v>
      </c>
      <c r="CT37" s="13">
        <f>IF('Données projet'!$A$140&gt;35,CT36+CS37-DB36,IF(A37&lt;'Données projet'!$A$140,$CQ$205^A37,IF(A37='Données projet'!$A$140,'Données projet'!$B$140,CT36+CS37-DB36)))</f>
        <v>136.20000000000005</v>
      </c>
      <c r="CU37" s="18">
        <f>CT37*VLOOKUP('Données projet'!$B$13,Paramètres!$A$1:$I$89,3,0)*VLOOKUP('Données projet'!$B$13,Paramètres!$A$1:$I$89,5,0)</f>
        <v>123.23376000000005</v>
      </c>
      <c r="CV37" s="14">
        <f t="shared" si="41"/>
        <v>32.428049504876491</v>
      </c>
      <c r="CW37" s="22">
        <f t="shared" si="13"/>
        <v>271.11098488765998</v>
      </c>
      <c r="CX37" s="62">
        <f t="shared" si="14"/>
        <v>495.20152141032321</v>
      </c>
      <c r="CY37" s="62">
        <f ca="1">AVERAGE(OFFSET($CX$3,0,0,'Données projet'!$E$13+1,1))-AVERAGE(OFFSET($H$3,0,0,'Données projet'!$E$13+1,1))</f>
        <v>493.89660144134291</v>
      </c>
      <c r="CZ37" s="62">
        <f t="shared" si="42"/>
        <v>312.97494624463229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8.171973290073673</v>
      </c>
      <c r="DH37" s="23">
        <f>EXP(-LN(2)/2)*DH36+(1-EXP(-LN(2)/2))/(LN(2)/2)*DB37*DE37*VLOOKUP('Données projet'!$B$13,Paramètres!$A$1:$I$89,3,0)*0.475*44/12</f>
        <v>3.7274436611394095</v>
      </c>
      <c r="DI37" s="24">
        <f t="shared" si="15"/>
        <v>11.899416951213082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51.115600869817243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>
        <f>VLOOKUP(A37,'Données projet'!$A$165:$I$185,2,0)</f>
        <v>325</v>
      </c>
      <c r="DM37" s="13">
        <f>VLOOKUP(A37,'Données projet'!$A$165:$I$185,9,0)</f>
        <v>14</v>
      </c>
      <c r="DN37" s="13">
        <f t="array" ref="DN37">INDEX(DM:DM,MIN(IF(ISNUMBER(DM37:DM233),ROW(DM37:DM233),"")))</f>
        <v>14</v>
      </c>
      <c r="DO37" s="13">
        <f>IF('Données projet'!$A$166&gt;35,DO36+DN37-DW36,IF(A37&lt;'Données projet'!$A$166,$DL$205^A37,IF(A37='Données projet'!$A$166,'Données projet'!$B$166,DO36+DN37-DW36)))</f>
        <v>325</v>
      </c>
      <c r="DP37" s="18">
        <f>DO37*VLOOKUP('Données projet'!$B$14,Paramètres!$A$1:$I$89,3,0)*VLOOKUP('Données projet'!$B$14,Paramètres!$A$1:$I$89,5,0)</f>
        <v>194.35</v>
      </c>
      <c r="DQ37" s="14">
        <f t="shared" si="43"/>
        <v>48.500405405690429</v>
      </c>
      <c r="DR37" s="22">
        <f t="shared" si="16"/>
        <v>422.96445608157745</v>
      </c>
      <c r="DS37" s="62">
        <f t="shared" si="17"/>
        <v>647.05499260424062</v>
      </c>
      <c r="DT37" s="62">
        <f ca="1">AVERAGE(OFFSET($DS$3,0,0,'Données projet'!$E$14+1,1))-AVERAGE(OFFSET($H$3,0,0,'Données projet'!$E$14+1,1))</f>
        <v>210.13237351083279</v>
      </c>
      <c r="DU37" s="62">
        <f t="shared" si="44"/>
        <v>423.06475179432277</v>
      </c>
      <c r="DV37" s="16">
        <f>IF(ISNA(VLOOKUP(A37,'Données projet'!$A$165:$I$185,3,0)),0,VLOOKUP(A37,'Données projet'!$A$165:$I$185,3,0))</f>
        <v>5</v>
      </c>
      <c r="DW37" s="16">
        <f>IF(ISNA(VLOOKUP(A37,'Données projet'!$A$165:$I$185,4,0)),0,VLOOKUP(A37,'Données projet'!$A$165:$I$185,4,0))</f>
        <v>325</v>
      </c>
      <c r="DX37" s="17">
        <f>IF(ISNA(VLOOKUP(A37,'Données projet'!$A$165:$I$185,5,0)),0%,VLOOKUP(A37,'Données projet'!$A$165:$I$185,5,0)*VLOOKUP('Données projet'!$B$14,Paramètres!$A$1:$I$89,7,0))</f>
        <v>0.315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0.3</v>
      </c>
      <c r="EA37" s="23">
        <f>EXP(-LN(2)/35)*EA36+(1-EXP(-LN(2)/35))/(LN(2)/35)*DW37*DX37*VLOOKUP('Données projet'!$B$14,Paramètres!$A$1:$I$89,3,0)*0.475*44/12</f>
        <v>91.277527137483801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66.496235997763563</v>
      </c>
      <c r="ED37" s="24">
        <f t="shared" si="18"/>
        <v>157.77376313524735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51.115600869817243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51.115600869817243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51.115600869817243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51.115600869817243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4.5049999999999999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16.518333333333334</v>
      </c>
      <c r="H38" s="70">
        <f t="shared" si="1"/>
        <v>147.64566666666667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51.443202975534348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7.4285714285714288</v>
      </c>
      <c r="N38" s="14">
        <f>IF('Données projet'!$A$36&gt;35,N37+M38-V37,IF(A38&lt;'Données projet'!$A$36,$K$205^A38,IF(A38='Données projet'!$A$36,'Données projet'!$B$36,N37+M38-V37)))</f>
        <v>259.99999999999983</v>
      </c>
      <c r="O38" s="14">
        <f>N38*VLOOKUP('Données projet'!$B$9,Paramètres!$A$1:$I$89,3,0)*VLOOKUP('Données projet'!$B$9,Paramètres!$A$1:$I$89,5,0)</f>
        <v>121.67999999999992</v>
      </c>
      <c r="P38" s="14">
        <f t="shared" si="33"/>
        <v>32.066514091456256</v>
      </c>
      <c r="Q38" s="22">
        <f t="shared" si="53"/>
        <v>267.77517870928608</v>
      </c>
      <c r="R38" s="62">
        <f t="shared" si="0"/>
        <v>493.06692295291202</v>
      </c>
      <c r="S38" s="62">
        <f ca="1">AVERAGE(OFFSET($R$3,0,0,'Données projet'!$E$9+1,1))-AVERAGE(OFFSET($H$3,0,0,'Données projet'!$E$9+1,1))</f>
        <v>374.81775021423215</v>
      </c>
      <c r="T38" s="62">
        <f t="shared" si="34"/>
        <v>301.81248585467142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51.443202975534348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117.624</v>
      </c>
      <c r="AK38" s="14">
        <f t="shared" si="35"/>
        <v>31.120192961985413</v>
      </c>
      <c r="AL38" s="22">
        <f t="shared" si="4"/>
        <v>259.06280274212457</v>
      </c>
      <c r="AM38" s="62">
        <f t="shared" si="5"/>
        <v>484.35454698575052</v>
      </c>
      <c r="AN38" s="62">
        <f ca="1">AVERAGE(OFFSET($AM$3,0,0,'Données projet'!$E$10+1,1))-AVERAGE(OFFSET($H$3,0,0,'Données projet'!$E$10+1,1))</f>
        <v>468.39960552661171</v>
      </c>
      <c r="AO38" s="62">
        <f t="shared" si="36"/>
        <v>291.1952427029787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2.6331446240024681</v>
      </c>
      <c r="AW38" s="23">
        <f>EXP(-LN(2)/2)*AW37+(1-EXP(-LN(2)/2))/(LN(2)/2)*AQ38*AT38*VLOOKUP('Données projet'!$B$10,Paramètres!$A$1:$I$89,3,0)*0.475*44/12</f>
        <v>2.4861915940271992</v>
      </c>
      <c r="AX38" s="23">
        <f t="shared" si="6"/>
        <v>5.1193362180296678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51.443202975534348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179</v>
      </c>
      <c r="BB38" s="13">
        <f>VLOOKUP(A38,'Données projet'!$A$87:$I$107,9,0)</f>
        <v>10.6</v>
      </c>
      <c r="BC38" s="13">
        <f t="array" ref="BC38">INDEX(BB:BB,MIN(IF(ISNUMBER(BB38:BB234),ROW(BB38:BB234),"")))</f>
        <v>10.6</v>
      </c>
      <c r="BD38" s="13">
        <f>IF('Données projet'!$A$88&gt;35,BD37+BC38-BL37,IF(A38&lt;'Données projet'!$A$88,$BA$205^A38,IF(A38='Données projet'!$A$88,'Données projet'!$B$88,BD37+BC38-BL37)))</f>
        <v>178.99999999999997</v>
      </c>
      <c r="BE38" s="14">
        <f>BD38*VLOOKUP('Données projet'!$B$11,Paramètres!$A$1:$I$89,3,0)*VLOOKUP('Données projet'!$B$11,Paramètres!$A$1:$I$89,5,0)</f>
        <v>156.37440000000001</v>
      </c>
      <c r="BF38" s="14">
        <f t="shared" si="37"/>
        <v>40.023663524293205</v>
      </c>
      <c r="BG38" s="22">
        <f t="shared" si="7"/>
        <v>342.05996063814399</v>
      </c>
      <c r="BH38" s="62">
        <f t="shared" si="8"/>
        <v>567.35170488176993</v>
      </c>
      <c r="BI38" s="62">
        <f ca="1">AVERAGE(OFFSET($BH$3,0,0,'Données projet'!$E$11+1,1))-AVERAGE(OFFSET($H$3,0,0,'Données projet'!$E$11+1,1))</f>
        <v>373.50005214669716</v>
      </c>
      <c r="BJ38" s="62">
        <f t="shared" si="38"/>
        <v>383.60460086643036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36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13.793243495749296</v>
      </c>
      <c r="BR38" s="23">
        <f>EXP(-LN(2)/2)*BR37+(1-EXP(-LN(2)/2))/(LN(2)/2)*BL38*BO38*VLOOKUP('Données projet'!$B$11,Paramètres!$A$1:$I$89,3,0)*0.475*44/12</f>
        <v>2.6330490354948624</v>
      </c>
      <c r="BS38" s="24">
        <f t="shared" si="9"/>
        <v>16.426292531244158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51.443202975534348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>
        <f>BY38*VLOOKUP('Données projet'!$B$12,Paramètres!$A$1:$I$89,3,0)*VLOOKUP('Données projet'!$B$12,Paramètres!$A$1:$I$89,5,0)</f>
        <v>0</v>
      </c>
      <c r="CA38" s="14" t="e">
        <f t="shared" si="39"/>
        <v>#NUM!</v>
      </c>
      <c r="CB38" s="22" t="e">
        <f t="shared" si="10"/>
        <v>#NUM!</v>
      </c>
      <c r="CC38" s="62" t="e">
        <f t="shared" si="11"/>
        <v>#NUM!</v>
      </c>
      <c r="CD38" s="62">
        <f ca="1">AVERAGE(OFFSET($CC$3,0,0,'Données projet'!$E$12+1,1))-AVERAGE(OFFSET($H$3,0,0,'Données projet'!$E$12+1,1))</f>
        <v>210.13237351083279</v>
      </c>
      <c r="CE38" s="62">
        <f t="shared" si="40"/>
        <v>423.06475179432277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89.487630504111962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47.019939397399625</v>
      </c>
      <c r="CN38" s="24">
        <f t="shared" si="12"/>
        <v>136.5075699015116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51.443202975534348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147</v>
      </c>
      <c r="CR38" s="13">
        <f>VLOOKUP(A38,'Données projet'!$A$139:$I$159,9,0)</f>
        <v>10.8</v>
      </c>
      <c r="CS38" s="13">
        <f t="array" ref="CS38">INDEX(CR:CR,MIN(IF(ISNUMBER(CR38:CR234),ROW(CR38:CR234),"")))</f>
        <v>10.8</v>
      </c>
      <c r="CT38" s="13">
        <f>IF('Données projet'!$A$140&gt;35,CT37+CS38-DB37,IF(A38&lt;'Données projet'!$A$140,$CQ$205^A38,IF(A38='Données projet'!$A$140,'Données projet'!$B$140,CT37+CS38-DB37)))</f>
        <v>147.00000000000006</v>
      </c>
      <c r="CU38" s="18">
        <f>CT38*VLOOKUP('Données projet'!$B$13,Paramètres!$A$1:$I$89,3,0)*VLOOKUP('Données projet'!$B$13,Paramètres!$A$1:$I$89,5,0)</f>
        <v>133.00560000000004</v>
      </c>
      <c r="CV38" s="14">
        <f t="shared" si="41"/>
        <v>34.689938673073549</v>
      </c>
      <c r="CW38" s="22">
        <f t="shared" si="13"/>
        <v>292.06972985560316</v>
      </c>
      <c r="CX38" s="62">
        <f t="shared" si="14"/>
        <v>517.3614740992291</v>
      </c>
      <c r="CY38" s="62">
        <f ca="1">AVERAGE(OFFSET($CX$3,0,0,'Données projet'!$E$13+1,1))-AVERAGE(OFFSET($H$3,0,0,'Données projet'!$E$13+1,1))</f>
        <v>493.89660144134291</v>
      </c>
      <c r="CZ38" s="62">
        <f t="shared" si="42"/>
        <v>312.97494624463229</v>
      </c>
      <c r="DA38" s="16">
        <f>IF(ISNA(VLOOKUP(A38,'Données projet'!$A$139:$I$159,3,0)),0,VLOOKUP(A38,'Données projet'!$A$139:$I$159,3,0))</f>
        <v>4</v>
      </c>
      <c r="DB38" s="16">
        <f>IF(ISNA(VLOOKUP(A38,'Données projet'!$A$139:$I$159,4,0)),0,VLOOKUP(A38,'Données projet'!$A$139:$I$159,4,0))</f>
        <v>28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7.9485102507112106</v>
      </c>
      <c r="DH38" s="23">
        <f>EXP(-LN(2)/2)*DH37+(1-EXP(-LN(2)/2))/(LN(2)/2)*DB38*DE38*VLOOKUP('Données projet'!$B$13,Paramètres!$A$1:$I$89,3,0)*0.475*44/12</f>
        <v>2.6357006892824884</v>
      </c>
      <c r="DI38" s="24">
        <f t="shared" si="15"/>
        <v>10.584210939993699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51.443202975534348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>
        <f>DO38*VLOOKUP('Données projet'!$B$14,Paramètres!$A$1:$I$89,3,0)*VLOOKUP('Données projet'!$B$14,Paramètres!$A$1:$I$89,5,0)</f>
        <v>0</v>
      </c>
      <c r="DQ38" s="14" t="e">
        <f t="shared" si="43"/>
        <v>#NUM!</v>
      </c>
      <c r="DR38" s="22" t="e">
        <f t="shared" si="16"/>
        <v>#NUM!</v>
      </c>
      <c r="DS38" s="62" t="e">
        <f t="shared" si="17"/>
        <v>#NUM!</v>
      </c>
      <c r="DT38" s="62">
        <f ca="1">AVERAGE(OFFSET($DS$3,0,0,'Données projet'!$E$14+1,1))-AVERAGE(OFFSET($H$3,0,0,'Données projet'!$E$14+1,1))</f>
        <v>210.13237351083279</v>
      </c>
      <c r="DU38" s="62">
        <f t="shared" si="44"/>
        <v>423.06475179432277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89.487630504111962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47.019939397399625</v>
      </c>
      <c r="ED38" s="24">
        <f t="shared" si="18"/>
        <v>136.5075699015116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51.443202975534348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51.443202975534348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51.443202975534348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51.443202975534348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4.5049999999999999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16.518333333333334</v>
      </c>
      <c r="H39" s="70">
        <f t="shared" si="1"/>
        <v>147.64566666666667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51.765121917125853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7.4285714285714288</v>
      </c>
      <c r="N39" s="14">
        <f>IF('Données projet'!$A$36&gt;35,N38+M39-V38,IF(A39&lt;'Données projet'!$A$36,$K$205^A39,IF(A39='Données projet'!$A$36,'Données projet'!$B$36,N38+M39-V38)))</f>
        <v>267.42857142857127</v>
      </c>
      <c r="O39" s="14">
        <f>N39*VLOOKUP('Données projet'!$B$9,Paramètres!$A$1:$I$89,3,0)*VLOOKUP('Données projet'!$B$9,Paramètres!$A$1:$I$89,5,0)</f>
        <v>125.15657142857135</v>
      </c>
      <c r="P39" s="14">
        <f t="shared" si="33"/>
        <v>32.874724091782426</v>
      </c>
      <c r="Q39" s="22">
        <f t="shared" si="53"/>
        <v>275.23783969794948</v>
      </c>
      <c r="R39" s="62">
        <f t="shared" si="0"/>
        <v>501.70995339407762</v>
      </c>
      <c r="S39" s="62">
        <f ca="1">AVERAGE(OFFSET($R$3,0,0,'Données projet'!$E$9+1,1))-AVERAGE(OFFSET($H$3,0,0,'Données projet'!$E$9+1,1))</f>
        <v>374.81775021423215</v>
      </c>
      <c r="T39" s="62">
        <f t="shared" si="34"/>
        <v>301.81248585467142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51.765121917125853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104.8476</v>
      </c>
      <c r="AK39" s="14">
        <f t="shared" si="35"/>
        <v>28.113670466115643</v>
      </c>
      <c r="AL39" s="22">
        <f t="shared" si="4"/>
        <v>231.57421272848475</v>
      </c>
      <c r="AM39" s="62">
        <f t="shared" si="5"/>
        <v>458.04632642461286</v>
      </c>
      <c r="AN39" s="62">
        <f ca="1">AVERAGE(OFFSET($AM$3,0,0,'Données projet'!$E$10+1,1))-AVERAGE(OFFSET($H$3,0,0,'Données projet'!$E$10+1,1))</f>
        <v>468.39960552661171</v>
      </c>
      <c r="AO39" s="62">
        <f t="shared" si="36"/>
        <v>291.1952427029787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2.5611411457880631</v>
      </c>
      <c r="AW39" s="23">
        <f>EXP(-LN(2)/2)*AW38+(1-EXP(-LN(2)/2))/(LN(2)/2)*AQ39*AT39*VLOOKUP('Données projet'!$B$10,Paramètres!$A$1:$I$89,3,0)*0.475*44/12</f>
        <v>1.7580029354656246</v>
      </c>
      <c r="AX39" s="23">
        <f t="shared" si="6"/>
        <v>4.3191440812536879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51.765121917125853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9.6</v>
      </c>
      <c r="BD39" s="13">
        <f>IF('Données projet'!$A$88&gt;35,BD38+BC39-BL38,IF(A39&lt;'Données projet'!$A$88,$BA$205^A39,IF(A39='Données projet'!$A$88,'Données projet'!$B$88,BD38+BC39-BL38)))</f>
        <v>152.59999999999997</v>
      </c>
      <c r="BE39" s="14">
        <f>BD39*VLOOKUP('Données projet'!$B$11,Paramètres!$A$1:$I$89,3,0)*VLOOKUP('Données projet'!$B$11,Paramètres!$A$1:$I$89,5,0)</f>
        <v>133.31135999999998</v>
      </c>
      <c r="BF39" s="14">
        <f t="shared" si="37"/>
        <v>34.760393689821633</v>
      </c>
      <c r="BG39" s="22">
        <f t="shared" si="7"/>
        <v>292.72497100977256</v>
      </c>
      <c r="BH39" s="62">
        <f t="shared" si="8"/>
        <v>519.19708470590069</v>
      </c>
      <c r="BI39" s="62">
        <f ca="1">AVERAGE(OFFSET($BH$3,0,0,'Données projet'!$E$11+1,1))-AVERAGE(OFFSET($H$3,0,0,'Données projet'!$E$11+1,1))</f>
        <v>373.50005214669716</v>
      </c>
      <c r="BJ39" s="62">
        <f t="shared" si="38"/>
        <v>383.60460086643036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13.416066527002881</v>
      </c>
      <c r="BR39" s="23">
        <f>EXP(-LN(2)/2)*BR38+(1-EXP(-LN(2)/2))/(LN(2)/2)*BL39*BO39*VLOOKUP('Données projet'!$B$11,Paramètres!$A$1:$I$89,3,0)*0.475*44/12</f>
        <v>1.8618468281951157</v>
      </c>
      <c r="BS39" s="24">
        <f t="shared" si="9"/>
        <v>15.277913355197997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51.765121917125853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>
        <f>BY39*VLOOKUP('Données projet'!$B$12,Paramètres!$A$1:$I$89,3,0)*VLOOKUP('Données projet'!$B$12,Paramètres!$A$1:$I$89,5,0)</f>
        <v>0</v>
      </c>
      <c r="CA39" s="14" t="e">
        <f t="shared" si="39"/>
        <v>#NUM!</v>
      </c>
      <c r="CB39" s="22" t="e">
        <f t="shared" si="10"/>
        <v>#NUM!</v>
      </c>
      <c r="CC39" s="62" t="e">
        <f t="shared" si="11"/>
        <v>#NUM!</v>
      </c>
      <c r="CD39" s="62">
        <f ca="1">AVERAGE(OFFSET($CC$3,0,0,'Données projet'!$E$12+1,1))-AVERAGE(OFFSET($H$3,0,0,'Données projet'!$E$12+1,1))</f>
        <v>210.13237351083279</v>
      </c>
      <c r="CE39" s="62">
        <f t="shared" si="40"/>
        <v>423.06475179432277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87.732832651991401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33.248117998881781</v>
      </c>
      <c r="CN39" s="24">
        <f t="shared" si="12"/>
        <v>120.98095065087318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51.765121917125853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11.2</v>
      </c>
      <c r="CT39" s="13">
        <f>IF('Données projet'!$A$140&gt;35,CT38+CS39-DB38,IF(A39&lt;'Données projet'!$A$140,$CQ$205^A39,IF(A39='Données projet'!$A$140,'Données projet'!$B$140,CT38+CS39-DB38)))</f>
        <v>130.20000000000005</v>
      </c>
      <c r="CU39" s="18">
        <f>CT39*VLOOKUP('Données projet'!$B$13,Paramètres!$A$1:$I$89,3,0)*VLOOKUP('Données projet'!$B$13,Paramètres!$A$1:$I$89,5,0)</f>
        <v>117.80496000000004</v>
      </c>
      <c r="CV39" s="14">
        <f t="shared" si="41"/>
        <v>31.162493487829593</v>
      </c>
      <c r="CW39" s="22">
        <f t="shared" si="13"/>
        <v>259.45164815796994</v>
      </c>
      <c r="CX39" s="62">
        <f t="shared" si="14"/>
        <v>485.92376185409807</v>
      </c>
      <c r="CY39" s="62">
        <f ca="1">AVERAGE(OFFSET($CX$3,0,0,'Données projet'!$E$13+1,1))-AVERAGE(OFFSET($H$3,0,0,'Données projet'!$E$13+1,1))</f>
        <v>493.89660144134291</v>
      </c>
      <c r="CZ39" s="62">
        <f t="shared" si="42"/>
        <v>312.97494624463229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7.731157819911525</v>
      </c>
      <c r="DH39" s="23">
        <f>EXP(-LN(2)/2)*DH38+(1-EXP(-LN(2)/2))/(LN(2)/2)*DB39*DE39*VLOOKUP('Données projet'!$B$13,Paramètres!$A$1:$I$89,3,0)*0.475*44/12</f>
        <v>1.8637218305697052</v>
      </c>
      <c r="DI39" s="24">
        <f t="shared" si="15"/>
        <v>9.5948796504812304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51.765121917125853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>
        <f>DO39*VLOOKUP('Données projet'!$B$14,Paramètres!$A$1:$I$89,3,0)*VLOOKUP('Données projet'!$B$14,Paramètres!$A$1:$I$89,5,0)</f>
        <v>0</v>
      </c>
      <c r="DQ39" s="14" t="e">
        <f t="shared" si="43"/>
        <v>#NUM!</v>
      </c>
      <c r="DR39" s="22" t="e">
        <f t="shared" si="16"/>
        <v>#NUM!</v>
      </c>
      <c r="DS39" s="62" t="e">
        <f t="shared" si="17"/>
        <v>#NUM!</v>
      </c>
      <c r="DT39" s="62">
        <f ca="1">AVERAGE(OFFSET($DS$3,0,0,'Données projet'!$E$14+1,1))-AVERAGE(OFFSET($H$3,0,0,'Données projet'!$E$14+1,1))</f>
        <v>210.13237351083279</v>
      </c>
      <c r="DU39" s="62">
        <f t="shared" si="44"/>
        <v>423.06475179432277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87.732832651991401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33.248117998881781</v>
      </c>
      <c r="ED39" s="24">
        <f t="shared" si="18"/>
        <v>120.98095065087318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51.765121917125853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51.765121917125853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51.765121917125853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51.765121917125853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4.5049999999999999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16.518333333333334</v>
      </c>
      <c r="H40" s="70">
        <f t="shared" si="1"/>
        <v>147.64566666666667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52.081456284783684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7.4285714285714288</v>
      </c>
      <c r="N40" s="14">
        <f>IF('Données projet'!$A$36&gt;35,N39+M40-V39,IF(A40&lt;'Données projet'!$A$36,$K$205^A40,IF(A40='Données projet'!$A$36,'Données projet'!$B$36,N39+M40-V39)))</f>
        <v>274.85714285714272</v>
      </c>
      <c r="O40" s="14">
        <f>N40*VLOOKUP('Données projet'!$B$9,Paramètres!$A$1:$I$89,3,0)*VLOOKUP('Données projet'!$B$9,Paramètres!$A$1:$I$89,5,0)</f>
        <v>128.63314285714279</v>
      </c>
      <c r="P40" s="14">
        <f t="shared" si="33"/>
        <v>33.68032474533139</v>
      </c>
      <c r="Q40" s="22">
        <f t="shared" si="53"/>
        <v>282.69595607430921</v>
      </c>
      <c r="R40" s="62">
        <f t="shared" si="0"/>
        <v>510.32796245184937</v>
      </c>
      <c r="S40" s="62">
        <f ca="1">AVERAGE(OFFSET($R$3,0,0,'Données projet'!$E$9+1,1))-AVERAGE(OFFSET($H$3,0,0,'Données projet'!$E$9+1,1))</f>
        <v>374.81775021423215</v>
      </c>
      <c r="T40" s="62">
        <f t="shared" si="34"/>
        <v>301.81248585467142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52.081456284783684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113.3652</v>
      </c>
      <c r="AK40" s="14">
        <f t="shared" si="35"/>
        <v>30.122456058687586</v>
      </c>
      <c r="AL40" s="22">
        <f t="shared" si="4"/>
        <v>249.90766763554748</v>
      </c>
      <c r="AM40" s="62">
        <f t="shared" si="5"/>
        <v>477.53967401308762</v>
      </c>
      <c r="AN40" s="62">
        <f ca="1">AVERAGE(OFFSET($AM$3,0,0,'Données projet'!$E$10+1,1))-AVERAGE(OFFSET($H$3,0,0,'Données projet'!$E$10+1,1))</f>
        <v>468.39960552661171</v>
      </c>
      <c r="AO40" s="62">
        <f t="shared" si="36"/>
        <v>291.1952427029787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2.4911066064719294</v>
      </c>
      <c r="AW40" s="23">
        <f>EXP(-LN(2)/2)*AW39+(1-EXP(-LN(2)/2))/(LN(2)/2)*AQ40*AT40*VLOOKUP('Données projet'!$B$10,Paramètres!$A$1:$I$89,3,0)*0.475*44/12</f>
        <v>1.2430957970135996</v>
      </c>
      <c r="AX40" s="23">
        <f t="shared" si="6"/>
        <v>3.7342024034855292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52.081456284783684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9.6</v>
      </c>
      <c r="BD40" s="13">
        <f>IF('Données projet'!$A$88&gt;35,BD39+BC40-BL39,IF(A40&lt;'Données projet'!$A$88,$BA$205^A40,IF(A40='Données projet'!$A$88,'Données projet'!$B$88,BD39+BC40-BL39)))</f>
        <v>162.19999999999996</v>
      </c>
      <c r="BE40" s="14">
        <f>BD40*VLOOKUP('Données projet'!$B$11,Paramètres!$A$1:$I$89,3,0)*VLOOKUP('Données projet'!$B$11,Paramètres!$A$1:$I$89,5,0)</f>
        <v>141.69791999999998</v>
      </c>
      <c r="BF40" s="14">
        <f t="shared" si="37"/>
        <v>36.685701801209362</v>
      </c>
      <c r="BG40" s="22">
        <f t="shared" si="7"/>
        <v>310.68480797043964</v>
      </c>
      <c r="BH40" s="62">
        <f t="shared" si="8"/>
        <v>538.31681434797974</v>
      </c>
      <c r="BI40" s="62">
        <f ca="1">AVERAGE(OFFSET($BH$3,0,0,'Données projet'!$E$11+1,1))-AVERAGE(OFFSET($H$3,0,0,'Données projet'!$E$11+1,1))</f>
        <v>373.50005214669716</v>
      </c>
      <c r="BJ40" s="62">
        <f t="shared" si="38"/>
        <v>383.60460086643036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13.049203482301712</v>
      </c>
      <c r="BR40" s="23">
        <f>EXP(-LN(2)/2)*BR39+(1-EXP(-LN(2)/2))/(LN(2)/2)*BL40*BO40*VLOOKUP('Données projet'!$B$11,Paramètres!$A$1:$I$89,3,0)*0.475*44/12</f>
        <v>1.3165245177474314</v>
      </c>
      <c r="BS40" s="24">
        <f t="shared" si="9"/>
        <v>14.365728000049144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52.081456284783684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>
        <f>BY40*VLOOKUP('Données projet'!$B$12,Paramètres!$A$1:$I$89,3,0)*VLOOKUP('Données projet'!$B$12,Paramètres!$A$1:$I$89,5,0)</f>
        <v>0</v>
      </c>
      <c r="CA40" s="14" t="e">
        <f t="shared" si="39"/>
        <v>#NUM!</v>
      </c>
      <c r="CB40" s="22" t="e">
        <f t="shared" si="10"/>
        <v>#NUM!</v>
      </c>
      <c r="CC40" s="62" t="e">
        <f t="shared" si="11"/>
        <v>#NUM!</v>
      </c>
      <c r="CD40" s="62">
        <f ca="1">AVERAGE(OFFSET($CC$3,0,0,'Données projet'!$E$12+1,1))-AVERAGE(OFFSET($H$3,0,0,'Données projet'!$E$12+1,1))</f>
        <v>210.13237351083279</v>
      </c>
      <c r="CE40" s="62">
        <f t="shared" si="40"/>
        <v>423.06475179432277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86.012445315429929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23.509969698699813</v>
      </c>
      <c r="CN40" s="24">
        <f t="shared" si="12"/>
        <v>109.52241501412973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52.081456284783684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11.2</v>
      </c>
      <c r="CT40" s="13">
        <f>IF('Données projet'!$A$140&gt;35,CT39+CS40-DB39,IF(A40&lt;'Données projet'!$A$140,$CQ$205^A40,IF(A40='Données projet'!$A$140,'Données projet'!$B$140,CT39+CS40-DB39)))</f>
        <v>141.40000000000003</v>
      </c>
      <c r="CU40" s="18">
        <f>CT40*VLOOKUP('Données projet'!$B$13,Paramètres!$A$1:$I$89,3,0)*VLOOKUP('Données projet'!$B$13,Paramètres!$A$1:$I$89,5,0)</f>
        <v>127.93872000000003</v>
      </c>
      <c r="CV40" s="14">
        <f t="shared" si="41"/>
        <v>33.519615889545641</v>
      </c>
      <c r="CW40" s="22">
        <f t="shared" si="13"/>
        <v>281.20660167429202</v>
      </c>
      <c r="CX40" s="62">
        <f t="shared" si="14"/>
        <v>508.83860805183218</v>
      </c>
      <c r="CY40" s="62">
        <f ca="1">AVERAGE(OFFSET($CX$3,0,0,'Données projet'!$E$13+1,1))-AVERAGE(OFFSET($H$3,0,0,'Données projet'!$E$13+1,1))</f>
        <v>493.89660144134291</v>
      </c>
      <c r="CZ40" s="62">
        <f t="shared" si="42"/>
        <v>312.97494624463229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7.5197489027621245</v>
      </c>
      <c r="DH40" s="23">
        <f>EXP(-LN(2)/2)*DH39+(1-EXP(-LN(2)/2))/(LN(2)/2)*DB40*DE40*VLOOKUP('Données projet'!$B$13,Paramètres!$A$1:$I$89,3,0)*0.475*44/12</f>
        <v>1.3178503446412444</v>
      </c>
      <c r="DI40" s="24">
        <f t="shared" si="15"/>
        <v>8.837599247403368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52.081456284783684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>
        <f>DO40*VLOOKUP('Données projet'!$B$14,Paramètres!$A$1:$I$89,3,0)*VLOOKUP('Données projet'!$B$14,Paramètres!$A$1:$I$89,5,0)</f>
        <v>0</v>
      </c>
      <c r="DQ40" s="14" t="e">
        <f t="shared" si="43"/>
        <v>#NUM!</v>
      </c>
      <c r="DR40" s="22" t="e">
        <f t="shared" si="16"/>
        <v>#NUM!</v>
      </c>
      <c r="DS40" s="62" t="e">
        <f t="shared" si="17"/>
        <v>#NUM!</v>
      </c>
      <c r="DT40" s="62">
        <f ca="1">AVERAGE(OFFSET($DS$3,0,0,'Données projet'!$E$14+1,1))-AVERAGE(OFFSET($H$3,0,0,'Données projet'!$E$14+1,1))</f>
        <v>210.13237351083279</v>
      </c>
      <c r="DU40" s="62">
        <f t="shared" si="44"/>
        <v>423.06475179432277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86.012445315429929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23.509969698699813</v>
      </c>
      <c r="ED40" s="24">
        <f t="shared" si="18"/>
        <v>109.52241501412973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52.081456284783684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52.081456284783684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52.081456284783684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52.081456284783684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4.5049999999999999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16.518333333333334</v>
      </c>
      <c r="H41" s="70">
        <f t="shared" si="1"/>
        <v>147.64566666666667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52.392302958380334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7.4285714285714288</v>
      </c>
      <c r="N41" s="14">
        <f>IF('Données projet'!$A$36&gt;35,N40+M41-V40,IF(A41&lt;'Données projet'!$A$36,$K$205^A41,IF(A41='Données projet'!$A$36,'Données projet'!$B$36,N40+M41-V40)))</f>
        <v>282.28571428571416</v>
      </c>
      <c r="O41" s="14">
        <f>N41*VLOOKUP('Données projet'!$B$9,Paramètres!$A$1:$I$89,3,0)*VLOOKUP('Données projet'!$B$9,Paramètres!$A$1:$I$89,5,0)</f>
        <v>132.10971428571423</v>
      </c>
      <c r="P41" s="14">
        <f t="shared" si="33"/>
        <v>34.483394679523492</v>
      </c>
      <c r="Q41" s="22">
        <f t="shared" si="53"/>
        <v>290.14966478112234</v>
      </c>
      <c r="R41" s="62">
        <f t="shared" si="0"/>
        <v>518.92144229518362</v>
      </c>
      <c r="S41" s="62">
        <f ca="1">AVERAGE(OFFSET($R$3,0,0,'Données projet'!$E$9+1,1))-AVERAGE(OFFSET($H$3,0,0,'Données projet'!$E$9+1,1))</f>
        <v>374.81775021423215</v>
      </c>
      <c r="T41" s="62">
        <f t="shared" si="34"/>
        <v>301.81248585467142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52.392302958380334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121.88280000000002</v>
      </c>
      <c r="AK41" s="14">
        <f t="shared" si="35"/>
        <v>32.113732800054677</v>
      </c>
      <c r="AL41" s="22">
        <f t="shared" si="4"/>
        <v>268.21062796009522</v>
      </c>
      <c r="AM41" s="62">
        <f t="shared" si="5"/>
        <v>496.98240547415645</v>
      </c>
      <c r="AN41" s="62">
        <f ca="1">AVERAGE(OFFSET($AM$3,0,0,'Données projet'!$E$10+1,1))-AVERAGE(OFFSET($H$3,0,0,'Données projet'!$E$10+1,1))</f>
        <v>468.39960552661171</v>
      </c>
      <c r="AO41" s="62">
        <f t="shared" si="36"/>
        <v>291.1952427029787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2.4229871653163517</v>
      </c>
      <c r="AW41" s="23">
        <f>EXP(-LN(2)/2)*AW40+(1-EXP(-LN(2)/2))/(LN(2)/2)*AQ41*AT41*VLOOKUP('Données projet'!$B$10,Paramètres!$A$1:$I$89,3,0)*0.475*44/12</f>
        <v>0.87900146773281229</v>
      </c>
      <c r="AX41" s="23">
        <f t="shared" si="6"/>
        <v>3.3019886330491639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52.392302958380334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9.6</v>
      </c>
      <c r="BD41" s="13">
        <f>IF('Données projet'!$A$88&gt;35,BD40+BC41-BL40,IF(A41&lt;'Données projet'!$A$88,$BA$205^A41,IF(A41='Données projet'!$A$88,'Données projet'!$B$88,BD40+BC41-BL40)))</f>
        <v>171.79999999999995</v>
      </c>
      <c r="BE41" s="14">
        <f>BD41*VLOOKUP('Données projet'!$B$11,Paramètres!$A$1:$I$89,3,0)*VLOOKUP('Données projet'!$B$11,Paramètres!$A$1:$I$89,5,0)</f>
        <v>150.08447999999999</v>
      </c>
      <c r="BF41" s="14">
        <f t="shared" si="37"/>
        <v>38.597783374841299</v>
      </c>
      <c r="BG41" s="22">
        <f t="shared" si="7"/>
        <v>328.62160871118186</v>
      </c>
      <c r="BH41" s="62">
        <f t="shared" si="8"/>
        <v>557.39338622524315</v>
      </c>
      <c r="BI41" s="62">
        <f ca="1">AVERAGE(OFFSET($BH$3,0,0,'Données projet'!$E$11+1,1))-AVERAGE(OFFSET($H$3,0,0,'Données projet'!$E$11+1,1))</f>
        <v>373.50005214669716</v>
      </c>
      <c r="BJ41" s="62">
        <f t="shared" si="38"/>
        <v>383.60460086643036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12.692372326850384</v>
      </c>
      <c r="BR41" s="23">
        <f>EXP(-LN(2)/2)*BR40+(1-EXP(-LN(2)/2))/(LN(2)/2)*BL41*BO41*VLOOKUP('Données projet'!$B$11,Paramètres!$A$1:$I$89,3,0)*0.475*44/12</f>
        <v>0.93092341409755808</v>
      </c>
      <c r="BS41" s="24">
        <f t="shared" si="9"/>
        <v>13.623295740947942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52.392302958380334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>
        <f>BY41*VLOOKUP('Données projet'!$B$12,Paramètres!$A$1:$I$89,3,0)*VLOOKUP('Données projet'!$B$12,Paramètres!$A$1:$I$89,5,0)</f>
        <v>0</v>
      </c>
      <c r="CA41" s="14" t="e">
        <f t="shared" si="39"/>
        <v>#NUM!</v>
      </c>
      <c r="CB41" s="22" t="e">
        <f t="shared" si="10"/>
        <v>#NUM!</v>
      </c>
      <c r="CC41" s="62" t="e">
        <f t="shared" si="11"/>
        <v>#NUM!</v>
      </c>
      <c r="CD41" s="62">
        <f ca="1">AVERAGE(OFFSET($CC$3,0,0,'Données projet'!$E$12+1,1))-AVERAGE(OFFSET($H$3,0,0,'Données projet'!$E$12+1,1))</f>
        <v>210.13237351083279</v>
      </c>
      <c r="CE41" s="62">
        <f t="shared" si="40"/>
        <v>423.06475179432277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84.325793725205756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16.624058999440891</v>
      </c>
      <c r="CN41" s="24">
        <f t="shared" si="12"/>
        <v>100.94985272464665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52.392302958380334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11.2</v>
      </c>
      <c r="CT41" s="13">
        <f>IF('Données projet'!$A$140&gt;35,CT40+CS41-DB40,IF(A41&lt;'Données projet'!$A$140,$CQ$205^A41,IF(A41='Données projet'!$A$140,'Données projet'!$B$140,CT40+CS41-DB40)))</f>
        <v>152.60000000000002</v>
      </c>
      <c r="CU41" s="18">
        <f>CT41*VLOOKUP('Données projet'!$B$13,Paramètres!$A$1:$I$89,3,0)*VLOOKUP('Données projet'!$B$13,Paramètres!$A$1:$I$89,5,0)</f>
        <v>138.07248000000001</v>
      </c>
      <c r="CV41" s="14">
        <f t="shared" si="41"/>
        <v>35.85508207677799</v>
      </c>
      <c r="CW41" s="22">
        <f t="shared" si="13"/>
        <v>302.9238372837217</v>
      </c>
      <c r="CX41" s="62">
        <f t="shared" si="14"/>
        <v>531.69561479778292</v>
      </c>
      <c r="CY41" s="62">
        <f ca="1">AVERAGE(OFFSET($CX$3,0,0,'Données projet'!$E$13+1,1))-AVERAGE(OFFSET($H$3,0,0,'Données projet'!$E$13+1,1))</f>
        <v>493.89660144134291</v>
      </c>
      <c r="CZ41" s="62">
        <f t="shared" si="42"/>
        <v>312.97494624463229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7.3141209735696862</v>
      </c>
      <c r="DH41" s="23">
        <f>EXP(-LN(2)/2)*DH40+(1-EXP(-LN(2)/2))/(LN(2)/2)*DB41*DE41*VLOOKUP('Données projet'!$B$13,Paramètres!$A$1:$I$89,3,0)*0.475*44/12</f>
        <v>0.93186091528485271</v>
      </c>
      <c r="DI41" s="24">
        <f t="shared" si="15"/>
        <v>8.2459818888545389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52.392302958380334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>
        <f>DO41*VLOOKUP('Données projet'!$B$14,Paramètres!$A$1:$I$89,3,0)*VLOOKUP('Données projet'!$B$14,Paramètres!$A$1:$I$89,5,0)</f>
        <v>0</v>
      </c>
      <c r="DQ41" s="14" t="e">
        <f t="shared" si="43"/>
        <v>#NUM!</v>
      </c>
      <c r="DR41" s="22" t="e">
        <f t="shared" si="16"/>
        <v>#NUM!</v>
      </c>
      <c r="DS41" s="62" t="e">
        <f t="shared" si="17"/>
        <v>#NUM!</v>
      </c>
      <c r="DT41" s="62">
        <f ca="1">AVERAGE(OFFSET($DS$3,0,0,'Données projet'!$E$14+1,1))-AVERAGE(OFFSET($H$3,0,0,'Données projet'!$E$14+1,1))</f>
        <v>210.13237351083279</v>
      </c>
      <c r="DU41" s="62">
        <f t="shared" si="44"/>
        <v>423.06475179432277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84.325793725205756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16.624058999440891</v>
      </c>
      <c r="ED41" s="24">
        <f t="shared" si="18"/>
        <v>100.94985272464665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52.392302958380334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52.392302958380334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52.392302958380334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52.392302958380334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4.5049999999999999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16.518333333333334</v>
      </c>
      <c r="H42" s="70">
        <f t="shared" si="1"/>
        <v>147.64566666666667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52.697757137139142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7.4285714285714288</v>
      </c>
      <c r="N42" s="14">
        <f>IF('Données projet'!$A$36&gt;35,N41+M42-V41,IF(A42&lt;'Données projet'!$A$36,$K$205^A42,IF(A42='Données projet'!$A$36,'Données projet'!$B$36,N41+M42-V41)))</f>
        <v>289.71428571428561</v>
      </c>
      <c r="O42" s="14">
        <f>N42*VLOOKUP('Données projet'!$B$9,Paramètres!$A$1:$I$89,3,0)*VLOOKUP('Données projet'!$B$9,Paramètres!$A$1:$I$89,5,0)</f>
        <v>135.58628571428568</v>
      </c>
      <c r="P42" s="14">
        <f t="shared" si="33"/>
        <v>35.284008147821943</v>
      </c>
      <c r="Q42" s="22">
        <f t="shared" si="53"/>
        <v>297.59909514317076</v>
      </c>
      <c r="R42" s="62">
        <f t="shared" si="0"/>
        <v>527.49087131268095</v>
      </c>
      <c r="S42" s="62">
        <f ca="1">AVERAGE(OFFSET($R$3,0,0,'Données projet'!$E$9+1,1))-AVERAGE(OFFSET($H$3,0,0,'Données projet'!$E$9+1,1))</f>
        <v>374.81775021423215</v>
      </c>
      <c r="T42" s="62">
        <f t="shared" si="34"/>
        <v>301.81248585467142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52.697757137139142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130.40040000000002</v>
      </c>
      <c r="AK42" s="14">
        <f t="shared" si="35"/>
        <v>34.088863450406919</v>
      </c>
      <c r="AL42" s="22">
        <f t="shared" si="4"/>
        <v>286.48546717612544</v>
      </c>
      <c r="AM42" s="62">
        <f t="shared" si="5"/>
        <v>516.37724334563563</v>
      </c>
      <c r="AN42" s="62">
        <f ca="1">AVERAGE(OFFSET($AM$3,0,0,'Données projet'!$E$10+1,1))-AVERAGE(OFFSET($H$3,0,0,'Données projet'!$E$10+1,1))</f>
        <v>468.39960552661171</v>
      </c>
      <c r="AO42" s="62">
        <f t="shared" si="36"/>
        <v>291.1952427029787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2.3567304538614189</v>
      </c>
      <c r="AW42" s="23">
        <f>EXP(-LN(2)/2)*AW41+(1-EXP(-LN(2)/2))/(LN(2)/2)*AQ42*AT42*VLOOKUP('Données projet'!$B$10,Paramètres!$A$1:$I$89,3,0)*0.475*44/12</f>
        <v>0.62154789850679981</v>
      </c>
      <c r="AX42" s="23">
        <f t="shared" si="6"/>
        <v>2.9782783523682186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52.697757137139142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9.6</v>
      </c>
      <c r="BD42" s="13">
        <f>IF('Données projet'!$A$88&gt;35,BD41+BC42-BL41,IF(A42&lt;'Données projet'!$A$88,$BA$205^A42,IF(A42='Données projet'!$A$88,'Données projet'!$B$88,BD41+BC42-BL41)))</f>
        <v>181.39999999999995</v>
      </c>
      <c r="BE42" s="14">
        <f>BD42*VLOOKUP('Données projet'!$B$11,Paramètres!$A$1:$I$89,3,0)*VLOOKUP('Données projet'!$B$11,Paramètres!$A$1:$I$89,5,0)</f>
        <v>158.47103999999996</v>
      </c>
      <c r="BF42" s="14">
        <f t="shared" si="37"/>
        <v>40.497461727609561</v>
      </c>
      <c r="BG42" s="22">
        <f t="shared" si="7"/>
        <v>346.53680717558655</v>
      </c>
      <c r="BH42" s="62">
        <f t="shared" si="8"/>
        <v>576.42858334509674</v>
      </c>
      <c r="BI42" s="62">
        <f ca="1">AVERAGE(OFFSET($BH$3,0,0,'Données projet'!$E$11+1,1))-AVERAGE(OFFSET($H$3,0,0,'Données projet'!$E$11+1,1))</f>
        <v>373.50005214669716</v>
      </c>
      <c r="BJ42" s="62">
        <f t="shared" si="38"/>
        <v>383.60460086643036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12.345298738109808</v>
      </c>
      <c r="BR42" s="23">
        <f>EXP(-LN(2)/2)*BR41+(1-EXP(-LN(2)/2))/(LN(2)/2)*BL42*BO42*VLOOKUP('Données projet'!$B$11,Paramètres!$A$1:$I$89,3,0)*0.475*44/12</f>
        <v>0.65826225887371581</v>
      </c>
      <c r="BS42" s="24">
        <f t="shared" si="9"/>
        <v>13.003560996983524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52.697757137139142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>
        <f>BY42*VLOOKUP('Données projet'!$B$12,Paramètres!$A$1:$I$89,3,0)*VLOOKUP('Données projet'!$B$12,Paramètres!$A$1:$I$89,5,0)</f>
        <v>0</v>
      </c>
      <c r="CA42" s="14" t="e">
        <f t="shared" si="39"/>
        <v>#NUM!</v>
      </c>
      <c r="CB42" s="22" t="e">
        <f t="shared" si="10"/>
        <v>#NUM!</v>
      </c>
      <c r="CC42" s="62" t="e">
        <f t="shared" si="11"/>
        <v>#NUM!</v>
      </c>
      <c r="CD42" s="62">
        <f ca="1">AVERAGE(OFFSET($CC$3,0,0,'Données projet'!$E$12+1,1))-AVERAGE(OFFSET($H$3,0,0,'Données projet'!$E$12+1,1))</f>
        <v>210.13237351083279</v>
      </c>
      <c r="CE42" s="62">
        <f t="shared" si="40"/>
        <v>423.06475179432277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82.672216343909994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11.754984849349906</v>
      </c>
      <c r="CN42" s="24">
        <f t="shared" si="12"/>
        <v>94.427201193259904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52.697757137139142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11.2</v>
      </c>
      <c r="CT42" s="13">
        <f>IF('Données projet'!$A$140&gt;35,CT41+CS42-DB41,IF(A42&lt;'Données projet'!$A$140,$CQ$205^A42,IF(A42='Données projet'!$A$140,'Données projet'!$B$140,CT41+CS42-DB41)))</f>
        <v>163.80000000000001</v>
      </c>
      <c r="CU42" s="18">
        <f>CT42*VLOOKUP('Données projet'!$B$13,Paramètres!$A$1:$I$89,3,0)*VLOOKUP('Données projet'!$B$13,Paramètres!$A$1:$I$89,5,0)</f>
        <v>148.20624000000001</v>
      </c>
      <c r="CV42" s="14">
        <f t="shared" si="41"/>
        <v>38.170662245893794</v>
      </c>
      <c r="CW42" s="22">
        <f t="shared" si="13"/>
        <v>324.60643807826506</v>
      </c>
      <c r="CX42" s="62">
        <f t="shared" si="14"/>
        <v>554.49821424777519</v>
      </c>
      <c r="CY42" s="62">
        <f ca="1">AVERAGE(OFFSET($CX$3,0,0,'Données projet'!$E$13+1,1))-AVERAGE(OFFSET($H$3,0,0,'Données projet'!$E$13+1,1))</f>
        <v>493.89660144134291</v>
      </c>
      <c r="CZ42" s="62">
        <f t="shared" si="42"/>
        <v>312.97494624463229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7.1141159509145178</v>
      </c>
      <c r="DH42" s="23">
        <f>EXP(-LN(2)/2)*DH41+(1-EXP(-LN(2)/2))/(LN(2)/2)*DB42*DE42*VLOOKUP('Données projet'!$B$13,Paramètres!$A$1:$I$89,3,0)*0.475*44/12</f>
        <v>0.65892517232062231</v>
      </c>
      <c r="DI42" s="24">
        <f t="shared" si="15"/>
        <v>7.7730411232351404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52.697757137139142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>
        <f>DO42*VLOOKUP('Données projet'!$B$14,Paramètres!$A$1:$I$89,3,0)*VLOOKUP('Données projet'!$B$14,Paramètres!$A$1:$I$89,5,0)</f>
        <v>0</v>
      </c>
      <c r="DQ42" s="14" t="e">
        <f t="shared" si="43"/>
        <v>#NUM!</v>
      </c>
      <c r="DR42" s="22" t="e">
        <f t="shared" si="16"/>
        <v>#NUM!</v>
      </c>
      <c r="DS42" s="62" t="e">
        <f t="shared" si="17"/>
        <v>#NUM!</v>
      </c>
      <c r="DT42" s="62">
        <f ca="1">AVERAGE(OFFSET($DS$3,0,0,'Données projet'!$E$14+1,1))-AVERAGE(OFFSET($H$3,0,0,'Données projet'!$E$14+1,1))</f>
        <v>210.13237351083279</v>
      </c>
      <c r="DU42" s="62">
        <f t="shared" si="44"/>
        <v>423.06475179432277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82.672216343909994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11.754984849349906</v>
      </c>
      <c r="ED42" s="24">
        <f t="shared" si="18"/>
        <v>94.427201193259904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52.697757137139142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52.697757137139142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52.697757137139142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52.697757137139142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4.5049999999999999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16.518333333333334</v>
      </c>
      <c r="H43" s="70">
        <f t="shared" si="1"/>
        <v>147.64566666666667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52.997912368789727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7.4285714285714288</v>
      </c>
      <c r="N43" s="14">
        <f>IF('Données projet'!$A$36&gt;35,N42+M43-V42,IF(A43&lt;'Données projet'!$A$36,$K$205^A43,IF(A43='Données projet'!$A$36,'Données projet'!$B$36,N42+M43-V42)))</f>
        <v>297.14285714285705</v>
      </c>
      <c r="O43" s="14">
        <f>N43*VLOOKUP('Données projet'!$B$9,Paramètres!$A$1:$I$89,3,0)*VLOOKUP('Données projet'!$B$9,Paramètres!$A$1:$I$89,5,0)</f>
        <v>139.0628571428571</v>
      </c>
      <c r="P43" s="14">
        <f t="shared" si="33"/>
        <v>36.08223537887865</v>
      </c>
      <c r="Q43" s="22">
        <f t="shared" si="53"/>
        <v>305.04436947535646</v>
      </c>
      <c r="R43" s="62">
        <f t="shared" si="0"/>
        <v>536.03671482758546</v>
      </c>
      <c r="S43" s="62">
        <f ca="1">AVERAGE(OFFSET($R$3,0,0,'Données projet'!$E$9+1,1))-AVERAGE(OFFSET($H$3,0,0,'Données projet'!$E$9+1,1))</f>
        <v>374.81775021423215</v>
      </c>
      <c r="T43" s="62">
        <f t="shared" si="34"/>
        <v>301.81248585467142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52.997912368789727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138.91800000000001</v>
      </c>
      <c r="AK43" s="14">
        <f t="shared" si="35"/>
        <v>36.049022673886341</v>
      </c>
      <c r="AL43" s="22">
        <f t="shared" si="4"/>
        <v>304.73423115701871</v>
      </c>
      <c r="AM43" s="62">
        <f t="shared" si="5"/>
        <v>535.72657650924771</v>
      </c>
      <c r="AN43" s="62">
        <f ca="1">AVERAGE(OFFSET($AM$3,0,0,'Données projet'!$E$10+1,1))-AVERAGE(OFFSET($H$3,0,0,'Données projet'!$E$10+1,1))</f>
        <v>468.39960552661171</v>
      </c>
      <c r="AO43" s="62">
        <f t="shared" si="36"/>
        <v>291.1952427029787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2.2922855356655103</v>
      </c>
      <c r="AW43" s="23">
        <f>EXP(-LN(2)/2)*AW42+(1-EXP(-LN(2)/2))/(LN(2)/2)*AQ43*AT43*VLOOKUP('Données projet'!$B$10,Paramètres!$A$1:$I$89,3,0)*0.475*44/12</f>
        <v>0.43950073386640615</v>
      </c>
      <c r="AX43" s="23">
        <f t="shared" si="6"/>
        <v>2.7317862695319164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52.997912368789727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191</v>
      </c>
      <c r="BB43" s="13">
        <f>VLOOKUP(A43,'Données projet'!$A$87:$I$107,9,0)</f>
        <v>9.6</v>
      </c>
      <c r="BC43" s="13">
        <f t="array" ref="BC43">INDEX(BB:BB,MIN(IF(ISNUMBER(BB43:BB239),ROW(BB43:BB239),"")))</f>
        <v>9.6</v>
      </c>
      <c r="BD43" s="13">
        <f>IF('Données projet'!$A$88&gt;35,BD42+BC43-BL42,IF(A43&lt;'Données projet'!$A$88,$BA$205^A43,IF(A43='Données projet'!$A$88,'Données projet'!$B$88,BD42+BC43-BL42)))</f>
        <v>190.99999999999994</v>
      </c>
      <c r="BE43" s="14">
        <f>BD43*VLOOKUP('Données projet'!$B$11,Paramètres!$A$1:$I$89,3,0)*VLOOKUP('Données projet'!$B$11,Paramètres!$A$1:$I$89,5,0)</f>
        <v>166.85759999999996</v>
      </c>
      <c r="BF43" s="14">
        <f t="shared" si="37"/>
        <v>42.385468111966098</v>
      </c>
      <c r="BG43" s="22">
        <f t="shared" si="7"/>
        <v>364.43167696167421</v>
      </c>
      <c r="BH43" s="62">
        <f t="shared" si="8"/>
        <v>595.42402231390315</v>
      </c>
      <c r="BI43" s="62">
        <f ca="1">AVERAGE(OFFSET($BH$3,0,0,'Données projet'!$E$11+1,1))-AVERAGE(OFFSET($H$3,0,0,'Données projet'!$E$11+1,1))</f>
        <v>373.50005214669716</v>
      </c>
      <c r="BJ43" s="62">
        <f t="shared" si="38"/>
        <v>383.60460086643036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33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12.00771589490515</v>
      </c>
      <c r="BR43" s="23">
        <f>EXP(-LN(2)/2)*BR42+(1-EXP(-LN(2)/2))/(LN(2)/2)*BL43*BO43*VLOOKUP('Données projet'!$B$11,Paramètres!$A$1:$I$89,3,0)*0.475*44/12</f>
        <v>0.46546170704877909</v>
      </c>
      <c r="BS43" s="24">
        <f t="shared" si="9"/>
        <v>12.47317760195393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52.997912368789727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>
        <f>BY43*VLOOKUP('Données projet'!$B$12,Paramètres!$A$1:$I$89,3,0)*VLOOKUP('Données projet'!$B$12,Paramètres!$A$1:$I$89,5,0)</f>
        <v>0</v>
      </c>
      <c r="CA43" s="14" t="e">
        <f t="shared" si="39"/>
        <v>#NUM!</v>
      </c>
      <c r="CB43" s="22" t="e">
        <f t="shared" si="10"/>
        <v>#NUM!</v>
      </c>
      <c r="CC43" s="62" t="e">
        <f t="shared" si="11"/>
        <v>#NUM!</v>
      </c>
      <c r="CD43" s="62">
        <f ca="1">AVERAGE(OFFSET($CC$3,0,0,'Données projet'!$E$12+1,1))-AVERAGE(OFFSET($H$3,0,0,'Données projet'!$E$12+1,1))</f>
        <v>210.13237351083279</v>
      </c>
      <c r="CE43" s="62">
        <f t="shared" si="40"/>
        <v>423.06475179432277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81.051064606478832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8.3120294997204454</v>
      </c>
      <c r="CN43" s="24">
        <f t="shared" si="12"/>
        <v>89.36309410619927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52.997912368789727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175</v>
      </c>
      <c r="CR43" s="13">
        <f>VLOOKUP(A43,'Données projet'!$A$139:$I$159,9,0)</f>
        <v>11.2</v>
      </c>
      <c r="CS43" s="13">
        <f t="array" ref="CS43">INDEX(CR:CR,MIN(IF(ISNUMBER(CR43:CR239),ROW(CR43:CR239),"")))</f>
        <v>11.2</v>
      </c>
      <c r="CT43" s="13">
        <f>IF('Données projet'!$A$140&gt;35,CT42+CS43-DB42,IF(A43&lt;'Données projet'!$A$140,$CQ$205^A43,IF(A43='Données projet'!$A$140,'Données projet'!$B$140,CT42+CS43-DB42)))</f>
        <v>175</v>
      </c>
      <c r="CU43" s="18">
        <f>CT43*VLOOKUP('Données projet'!$B$13,Paramètres!$A$1:$I$89,3,0)*VLOOKUP('Données projet'!$B$13,Paramètres!$A$1:$I$89,5,0)</f>
        <v>158.34</v>
      </c>
      <c r="CV43" s="14">
        <f t="shared" si="41"/>
        <v>40.467870812652819</v>
      </c>
      <c r="CW43" s="22">
        <f t="shared" si="13"/>
        <v>346.25704166537031</v>
      </c>
      <c r="CX43" s="62">
        <f t="shared" si="14"/>
        <v>577.24938701759925</v>
      </c>
      <c r="CY43" s="62">
        <f ca="1">AVERAGE(OFFSET($CX$3,0,0,'Données projet'!$E$13+1,1))-AVERAGE(OFFSET($H$3,0,0,'Données projet'!$E$13+1,1))</f>
        <v>493.89660144134291</v>
      </c>
      <c r="CZ43" s="62">
        <f t="shared" si="42"/>
        <v>312.97494624463229</v>
      </c>
      <c r="DA43" s="16">
        <f>IF(ISNA(VLOOKUP(A43,'Données projet'!$A$139:$I$159,3,0)),0,VLOOKUP(A43,'Données projet'!$A$139:$I$159,3,0))</f>
        <v>5</v>
      </c>
      <c r="DB43" s="16">
        <f>IF(ISNA(VLOOKUP(A43,'Données projet'!$A$139:$I$159,4,0)),0,VLOOKUP(A43,'Données projet'!$A$139:$I$159,4,0))</f>
        <v>28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6.9195800761216617</v>
      </c>
      <c r="DH43" s="23">
        <f>EXP(-LN(2)/2)*DH42+(1-EXP(-LN(2)/2))/(LN(2)/2)*DB43*DE43*VLOOKUP('Données projet'!$B$13,Paramètres!$A$1:$I$89,3,0)*0.475*44/12</f>
        <v>0.46593045764242641</v>
      </c>
      <c r="DI43" s="24">
        <f t="shared" si="15"/>
        <v>7.3855105337640881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52.997912368789727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>
        <f>DO43*VLOOKUP('Données projet'!$B$14,Paramètres!$A$1:$I$89,3,0)*VLOOKUP('Données projet'!$B$14,Paramètres!$A$1:$I$89,5,0)</f>
        <v>0</v>
      </c>
      <c r="DQ43" s="14" t="e">
        <f t="shared" si="43"/>
        <v>#NUM!</v>
      </c>
      <c r="DR43" s="22" t="e">
        <f t="shared" si="16"/>
        <v>#NUM!</v>
      </c>
      <c r="DS43" s="62" t="e">
        <f t="shared" si="17"/>
        <v>#NUM!</v>
      </c>
      <c r="DT43" s="62">
        <f ca="1">AVERAGE(OFFSET($DS$3,0,0,'Données projet'!$E$14+1,1))-AVERAGE(OFFSET($H$3,0,0,'Données projet'!$E$14+1,1))</f>
        <v>210.13237351083279</v>
      </c>
      <c r="DU43" s="62">
        <f t="shared" si="44"/>
        <v>423.06475179432277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81.051064606478832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8.3120294997204454</v>
      </c>
      <c r="ED43" s="24">
        <f t="shared" si="18"/>
        <v>89.36309410619927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52.997912368789727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52.997912368789727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52.997912368789727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52.997912368789727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4.5049999999999999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16.518333333333334</v>
      </c>
      <c r="H44" s="70">
        <f t="shared" si="1"/>
        <v>147.64566666666667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53.292860578217734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7.4285714285714288</v>
      </c>
      <c r="N44" s="14">
        <f>IF('Données projet'!$A$36&gt;35,N43+M44-V43,IF(A44&lt;'Données projet'!$A$36,$K$205^A44,IF(A44='Données projet'!$A$36,'Données projet'!$B$36,N43+M44-V43)))</f>
        <v>304.5714285714285</v>
      </c>
      <c r="O44" s="14">
        <f>N44*VLOOKUP('Données projet'!$B$9,Paramètres!$A$1:$I$89,3,0)*VLOOKUP('Données projet'!$B$9,Paramètres!$A$1:$I$89,5,0)</f>
        <v>142.53942857142852</v>
      </c>
      <c r="P44" s="14">
        <f t="shared" si="33"/>
        <v>36.878142889783405</v>
      </c>
      <c r="Q44" s="22">
        <f t="shared" si="53"/>
        <v>312.48560362827743</v>
      </c>
      <c r="R44" s="62">
        <f t="shared" si="0"/>
        <v>544.55942574840913</v>
      </c>
      <c r="S44" s="62">
        <f ca="1">AVERAGE(OFFSET($R$3,0,0,'Données projet'!$E$9+1,1))-AVERAGE(OFFSET($H$3,0,0,'Données projet'!$E$9+1,1))</f>
        <v>374.81775021423215</v>
      </c>
      <c r="T44" s="62">
        <f t="shared" si="34"/>
        <v>301.81248585467142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53.292860578217734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126.1416</v>
      </c>
      <c r="AK44" s="14">
        <f t="shared" si="35"/>
        <v>33.10323903126482</v>
      </c>
      <c r="AL44" s="22">
        <f t="shared" si="4"/>
        <v>277.35142797945286</v>
      </c>
      <c r="AM44" s="62">
        <f t="shared" si="5"/>
        <v>509.42525009958456</v>
      </c>
      <c r="AN44" s="62">
        <f ca="1">AVERAGE(OFFSET($AM$3,0,0,'Données projet'!$E$10+1,1))-AVERAGE(OFFSET($H$3,0,0,'Données projet'!$E$10+1,1))</f>
        <v>468.39960552661171</v>
      </c>
      <c r="AO44" s="62">
        <f t="shared" si="36"/>
        <v>291.1952427029787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2.2296028671466797</v>
      </c>
      <c r="AW44" s="23">
        <f>EXP(-LN(2)/2)*AW43+(1-EXP(-LN(2)/2))/(LN(2)/2)*AQ44*AT44*VLOOKUP('Données projet'!$B$10,Paramètres!$A$1:$I$89,3,0)*0.475*44/12</f>
        <v>0.31077394925339991</v>
      </c>
      <c r="AX44" s="23">
        <f t="shared" si="6"/>
        <v>2.5403768164000797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53.292860578217734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8.6</v>
      </c>
      <c r="BD44" s="13">
        <f>IF('Données projet'!$A$88&gt;35,BD43+BC44-BL43,IF(A44&lt;'Données projet'!$A$88,$BA$205^A44,IF(A44='Données projet'!$A$88,'Données projet'!$B$88,BD43+BC44-BL43)))</f>
        <v>166.59999999999994</v>
      </c>
      <c r="BE44" s="14">
        <f>BD44*VLOOKUP('Données projet'!$B$11,Paramètres!$A$1:$I$89,3,0)*VLOOKUP('Données projet'!$B$11,Paramètres!$A$1:$I$89,5,0)</f>
        <v>145.54175999999998</v>
      </c>
      <c r="BF44" s="14">
        <f t="shared" si="37"/>
        <v>37.563662342876064</v>
      </c>
      <c r="BG44" s="22">
        <f t="shared" si="7"/>
        <v>318.90861058050911</v>
      </c>
      <c r="BH44" s="62">
        <f t="shared" si="8"/>
        <v>550.98243270064086</v>
      </c>
      <c r="BI44" s="62">
        <f ca="1">AVERAGE(OFFSET($BH$3,0,0,'Données projet'!$E$11+1,1))-AVERAGE(OFFSET($H$3,0,0,'Données projet'!$E$11+1,1))</f>
        <v>373.50005214669716</v>
      </c>
      <c r="BJ44" s="62">
        <f t="shared" si="38"/>
        <v>383.60460086643036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11.679364272300633</v>
      </c>
      <c r="BR44" s="23">
        <f>EXP(-LN(2)/2)*BR43+(1-EXP(-LN(2)/2))/(LN(2)/2)*BL44*BO44*VLOOKUP('Données projet'!$B$11,Paramètres!$A$1:$I$89,3,0)*0.475*44/12</f>
        <v>0.32913112943685796</v>
      </c>
      <c r="BS44" s="24">
        <f t="shared" si="9"/>
        <v>12.008495401737491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53.292860578217734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>
        <f>BY44*VLOOKUP('Données projet'!$B$12,Paramètres!$A$1:$I$89,3,0)*VLOOKUP('Données projet'!$B$12,Paramètres!$A$1:$I$89,5,0)</f>
        <v>0</v>
      </c>
      <c r="CA44" s="14" t="e">
        <f t="shared" si="39"/>
        <v>#NUM!</v>
      </c>
      <c r="CB44" s="22" t="e">
        <f t="shared" si="10"/>
        <v>#NUM!</v>
      </c>
      <c r="CC44" s="62" t="e">
        <f t="shared" si="11"/>
        <v>#NUM!</v>
      </c>
      <c r="CD44" s="62">
        <f ca="1">AVERAGE(OFFSET($CC$3,0,0,'Données projet'!$E$12+1,1))-AVERAGE(OFFSET($H$3,0,0,'Données projet'!$E$12+1,1))</f>
        <v>210.13237351083279</v>
      </c>
      <c r="CE44" s="62">
        <f t="shared" si="40"/>
        <v>423.06475179432277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79.46170266581376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5.8774924246749531</v>
      </c>
      <c r="CN44" s="24">
        <f t="shared" si="12"/>
        <v>85.339195090488715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53.292860578217734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11.4</v>
      </c>
      <c r="CT44" s="13">
        <f>IF('Données projet'!$A$140&gt;35,CT43+CS44-DB43,IF(A44&lt;'Données projet'!$A$140,$CQ$205^A44,IF(A44='Données projet'!$A$140,'Données projet'!$B$140,CT43+CS44-DB43)))</f>
        <v>158.4</v>
      </c>
      <c r="CU44" s="18">
        <f>CT44*VLOOKUP('Données projet'!$B$13,Paramètres!$A$1:$I$89,3,0)*VLOOKUP('Données projet'!$B$13,Paramètres!$A$1:$I$89,5,0)</f>
        <v>143.32032000000001</v>
      </c>
      <c r="CV44" s="14">
        <f t="shared" si="41"/>
        <v>37.056603420232349</v>
      </c>
      <c r="CW44" s="22">
        <f t="shared" si="13"/>
        <v>314.15647495690467</v>
      </c>
      <c r="CX44" s="62">
        <f t="shared" si="14"/>
        <v>546.23029707703631</v>
      </c>
      <c r="CY44" s="62">
        <f ca="1">AVERAGE(OFFSET($CX$3,0,0,'Données projet'!$E$13+1,1))-AVERAGE(OFFSET($H$3,0,0,'Données projet'!$E$13+1,1))</f>
        <v>493.89660144134291</v>
      </c>
      <c r="CZ44" s="62">
        <f t="shared" si="42"/>
        <v>312.97494624463229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6.7303637950552133</v>
      </c>
      <c r="DH44" s="23">
        <f>EXP(-LN(2)/2)*DH43+(1-EXP(-LN(2)/2))/(LN(2)/2)*DB44*DE44*VLOOKUP('Données projet'!$B$13,Paramètres!$A$1:$I$89,3,0)*0.475*44/12</f>
        <v>0.32946258616031121</v>
      </c>
      <c r="DI44" s="24">
        <f t="shared" si="15"/>
        <v>7.0598263812155242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53.292860578217734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>
        <f>DO44*VLOOKUP('Données projet'!$B$14,Paramètres!$A$1:$I$89,3,0)*VLOOKUP('Données projet'!$B$14,Paramètres!$A$1:$I$89,5,0)</f>
        <v>0</v>
      </c>
      <c r="DQ44" s="14" t="e">
        <f t="shared" si="43"/>
        <v>#NUM!</v>
      </c>
      <c r="DR44" s="22" t="e">
        <f t="shared" si="16"/>
        <v>#NUM!</v>
      </c>
      <c r="DS44" s="62" t="e">
        <f t="shared" si="17"/>
        <v>#NUM!</v>
      </c>
      <c r="DT44" s="62">
        <f ca="1">AVERAGE(OFFSET($DS$3,0,0,'Données projet'!$E$14+1,1))-AVERAGE(OFFSET($H$3,0,0,'Données projet'!$E$14+1,1))</f>
        <v>210.13237351083279</v>
      </c>
      <c r="DU44" s="62">
        <f t="shared" si="44"/>
        <v>423.06475179432277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79.46170266581376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5.8774924246749531</v>
      </c>
      <c r="ED44" s="24">
        <f t="shared" si="18"/>
        <v>85.339195090488715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53.292860578217734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53.292860578217734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53.292860578217734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53.292860578217734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4.5049999999999999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16.518333333333334</v>
      </c>
      <c r="H45" s="70">
        <f t="shared" si="1"/>
        <v>147.64566666666667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53.582692095617574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7.4285714285714288</v>
      </c>
      <c r="N45" s="14">
        <f>IF('Données projet'!$A$36&gt;35,N44+M45-V44,IF(A45&lt;'Données projet'!$A$36,$K$205^A45,IF(A45='Données projet'!$A$36,'Données projet'!$B$36,N44+M45-V44)))</f>
        <v>311.99999999999994</v>
      </c>
      <c r="O45" s="14">
        <f>N45*VLOOKUP('Données projet'!$B$9,Paramètres!$A$1:$I$89,3,0)*VLOOKUP('Données projet'!$B$9,Paramètres!$A$1:$I$89,5,0)</f>
        <v>146.01599999999999</v>
      </c>
      <c r="P45" s="14">
        <f t="shared" si="33"/>
        <v>37.671793767891103</v>
      </c>
      <c r="Q45" s="22">
        <f t="shared" si="53"/>
        <v>319.92290747907697</v>
      </c>
      <c r="R45" s="62">
        <f t="shared" si="0"/>
        <v>553.05944516300804</v>
      </c>
      <c r="S45" s="62">
        <f ca="1">AVERAGE(OFFSET($R$3,0,0,'Données projet'!$E$9+1,1))-AVERAGE(OFFSET($H$3,0,0,'Données projet'!$E$9+1,1))</f>
        <v>374.81775021423215</v>
      </c>
      <c r="T45" s="62">
        <f t="shared" si="34"/>
        <v>301.81248585467142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53.582692095617574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134.65920000000003</v>
      </c>
      <c r="AK45" s="14">
        <f t="shared" si="35"/>
        <v>35.07074737441733</v>
      </c>
      <c r="AL45" s="22">
        <f t="shared" si="4"/>
        <v>295.61299167711019</v>
      </c>
      <c r="AM45" s="62">
        <f t="shared" si="5"/>
        <v>528.74952936104125</v>
      </c>
      <c r="AN45" s="62">
        <f ca="1">AVERAGE(OFFSET($AM$3,0,0,'Données projet'!$E$10+1,1))-AVERAGE(OFFSET($H$3,0,0,'Données projet'!$E$10+1,1))</f>
        <v>468.39960552661171</v>
      </c>
      <c r="AO45" s="62">
        <f t="shared" si="36"/>
        <v>291.1952427029787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2.1686342594948349</v>
      </c>
      <c r="AW45" s="23">
        <f>EXP(-LN(2)/2)*AW44+(1-EXP(-LN(2)/2))/(LN(2)/2)*AQ45*AT45*VLOOKUP('Données projet'!$B$10,Paramètres!$A$1:$I$89,3,0)*0.475*44/12</f>
        <v>0.21975036693320307</v>
      </c>
      <c r="AX45" s="23">
        <f t="shared" si="6"/>
        <v>2.3883846264280382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53.582692095617574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8.6</v>
      </c>
      <c r="BD45" s="13">
        <f>IF('Données projet'!$A$88&gt;35,BD44+BC45-BL44,IF(A45&lt;'Données projet'!$A$88,$BA$205^A45,IF(A45='Données projet'!$A$88,'Données projet'!$B$88,BD44+BC45-BL44)))</f>
        <v>175.19999999999993</v>
      </c>
      <c r="BE45" s="14">
        <f>BD45*VLOOKUP('Données projet'!$B$11,Paramètres!$A$1:$I$89,3,0)*VLOOKUP('Données projet'!$B$11,Paramètres!$A$1:$I$89,5,0)</f>
        <v>153.05471999999995</v>
      </c>
      <c r="BF45" s="14">
        <f t="shared" si="37"/>
        <v>39.271965088385166</v>
      </c>
      <c r="BG45" s="22">
        <f t="shared" si="7"/>
        <v>334.96897652893739</v>
      </c>
      <c r="BH45" s="62">
        <f t="shared" si="8"/>
        <v>568.10551421286846</v>
      </c>
      <c r="BI45" s="62">
        <f ca="1">AVERAGE(OFFSET($BH$3,0,0,'Données projet'!$E$11+1,1))-AVERAGE(OFFSET($H$3,0,0,'Données projet'!$E$11+1,1))</f>
        <v>373.50005214669716</v>
      </c>
      <c r="BJ45" s="62">
        <f t="shared" si="38"/>
        <v>383.60460086643036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11.3599914420835</v>
      </c>
      <c r="BR45" s="23">
        <f>EXP(-LN(2)/2)*BR44+(1-EXP(-LN(2)/2))/(LN(2)/2)*BL45*BO45*VLOOKUP('Données projet'!$B$11,Paramètres!$A$1:$I$89,3,0)*0.475*44/12</f>
        <v>0.2327308535243896</v>
      </c>
      <c r="BS45" s="24">
        <f t="shared" si="9"/>
        <v>11.592722295607889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53.582692095617574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>
        <f>BY45*VLOOKUP('Données projet'!$B$12,Paramètres!$A$1:$I$89,3,0)*VLOOKUP('Données projet'!$B$12,Paramètres!$A$1:$I$89,5,0)</f>
        <v>0</v>
      </c>
      <c r="CA45" s="14" t="e">
        <f t="shared" si="39"/>
        <v>#NUM!</v>
      </c>
      <c r="CB45" s="22" t="e">
        <f t="shared" si="10"/>
        <v>#NUM!</v>
      </c>
      <c r="CC45" s="62" t="e">
        <f t="shared" si="11"/>
        <v>#NUM!</v>
      </c>
      <c r="CD45" s="62">
        <f ca="1">AVERAGE(OFFSET($CC$3,0,0,'Données projet'!$E$12+1,1))-AVERAGE(OFFSET($H$3,0,0,'Données projet'!$E$12+1,1))</f>
        <v>210.13237351083279</v>
      </c>
      <c r="CE45" s="62">
        <f t="shared" si="40"/>
        <v>423.06475179432277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77.903507143390073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4.1560147498602227</v>
      </c>
      <c r="CN45" s="24">
        <f t="shared" si="12"/>
        <v>82.059521893250292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53.582692095617574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11.4</v>
      </c>
      <c r="CT45" s="13">
        <f>IF('Données projet'!$A$140&gt;35,CT44+CS45-DB44,IF(A45&lt;'Données projet'!$A$140,$CQ$205^A45,IF(A45='Données projet'!$A$140,'Données projet'!$B$140,CT44+CS45-DB44)))</f>
        <v>169.8</v>
      </c>
      <c r="CU45" s="18">
        <f>CT45*VLOOKUP('Données projet'!$B$13,Paramètres!$A$1:$I$89,3,0)*VLOOKUP('Données projet'!$B$13,Paramètres!$A$1:$I$89,5,0)</f>
        <v>153.63504</v>
      </c>
      <c r="CV45" s="14">
        <f t="shared" si="41"/>
        <v>39.403506785222667</v>
      </c>
      <c r="CW45" s="22">
        <f t="shared" si="13"/>
        <v>336.20880231759617</v>
      </c>
      <c r="CX45" s="62">
        <f t="shared" si="14"/>
        <v>569.34534000152723</v>
      </c>
      <c r="CY45" s="62">
        <f ca="1">AVERAGE(OFFSET($CX$3,0,0,'Données projet'!$E$13+1,1))-AVERAGE(OFFSET($H$3,0,0,'Données projet'!$E$13+1,1))</f>
        <v>493.89660144134291</v>
      </c>
      <c r="CZ45" s="62">
        <f t="shared" si="42"/>
        <v>312.97494624463229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6.5463216431449789</v>
      </c>
      <c r="DH45" s="23">
        <f>EXP(-LN(2)/2)*DH44+(1-EXP(-LN(2)/2))/(LN(2)/2)*DB45*DE45*VLOOKUP('Données projet'!$B$13,Paramètres!$A$1:$I$89,3,0)*0.475*44/12</f>
        <v>0.23296522882121326</v>
      </c>
      <c r="DI45" s="24">
        <f t="shared" si="15"/>
        <v>6.7792868719661925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53.582692095617574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>
        <f>DO45*VLOOKUP('Données projet'!$B$14,Paramètres!$A$1:$I$89,3,0)*VLOOKUP('Données projet'!$B$14,Paramètres!$A$1:$I$89,5,0)</f>
        <v>0</v>
      </c>
      <c r="DQ45" s="14" t="e">
        <f t="shared" si="43"/>
        <v>#NUM!</v>
      </c>
      <c r="DR45" s="22" t="e">
        <f t="shared" si="16"/>
        <v>#NUM!</v>
      </c>
      <c r="DS45" s="62" t="e">
        <f t="shared" si="17"/>
        <v>#NUM!</v>
      </c>
      <c r="DT45" s="62">
        <f ca="1">AVERAGE(OFFSET($DS$3,0,0,'Données projet'!$E$14+1,1))-AVERAGE(OFFSET($H$3,0,0,'Données projet'!$E$14+1,1))</f>
        <v>210.13237351083279</v>
      </c>
      <c r="DU45" s="62">
        <f t="shared" si="44"/>
        <v>423.06475179432277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77.903507143390073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4.1560147498602227</v>
      </c>
      <c r="ED45" s="24">
        <f t="shared" si="18"/>
        <v>82.059521893250292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53.582692095617574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53.582692095617574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53.582692095617574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53.582692095617574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4.5049999999999999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16.518333333333334</v>
      </c>
      <c r="H46" s="70">
        <f t="shared" si="1"/>
        <v>147.64566666666667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53.867495684156729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7.4285714285714288</v>
      </c>
      <c r="N46" s="14">
        <f>IF('Données projet'!$A$36&gt;35,N45+M46-V45,IF(A46&lt;'Données projet'!$A$36,$K$205^A46,IF(A46='Données projet'!$A$36,'Données projet'!$B$36,N45+M46-V45)))</f>
        <v>319.42857142857139</v>
      </c>
      <c r="O46" s="14">
        <f>N46*VLOOKUP('Données projet'!$B$9,Paramètres!$A$1:$I$89,3,0)*VLOOKUP('Données projet'!$B$9,Paramètres!$A$1:$I$89,5,0)</f>
        <v>149.49257142857141</v>
      </c>
      <c r="P46" s="14">
        <f t="shared" si="33"/>
        <v>38.463247925052471</v>
      </c>
      <c r="Q46" s="22">
        <f t="shared" si="53"/>
        <v>327.3563853742283</v>
      </c>
      <c r="R46" s="62">
        <f t="shared" si="0"/>
        <v>561.53720288280294</v>
      </c>
      <c r="S46" s="62">
        <f ca="1">AVERAGE(OFFSET($R$3,0,0,'Données projet'!$E$9+1,1))-AVERAGE(OFFSET($H$3,0,0,'Données projet'!$E$9+1,1))</f>
        <v>374.81775021423215</v>
      </c>
      <c r="T46" s="62">
        <f t="shared" si="34"/>
        <v>301.81248585467142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53.867495684156729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2">
        <f t="shared" si="5"/>
        <v>548.03021791669971</v>
      </c>
      <c r="AN46" s="62">
        <f ca="1">AVERAGE(OFFSET($AM$3,0,0,'Données projet'!$E$10+1,1))-AVERAGE(OFFSET($H$3,0,0,'Données projet'!$E$10+1,1))</f>
        <v>468.39960552661171</v>
      </c>
      <c r="AO46" s="62">
        <f t="shared" si="36"/>
        <v>291.1952427029787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2.1093328416254296</v>
      </c>
      <c r="AW46" s="23">
        <f>EXP(-LN(2)/2)*AW45+(1-EXP(-LN(2)/2))/(LN(2)/2)*AQ46*AT46*VLOOKUP('Données projet'!$B$10,Paramètres!$A$1:$I$89,3,0)*0.475*44/12</f>
        <v>0.15538697462669995</v>
      </c>
      <c r="AX46" s="23">
        <f t="shared" si="6"/>
        <v>2.2647198162521294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53.867495684156729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8.6</v>
      </c>
      <c r="BD46" s="13">
        <f>IF('Données projet'!$A$88&gt;35,BD45+BC46-BL45,IF(A46&lt;'Données projet'!$A$88,$BA$205^A46,IF(A46='Données projet'!$A$88,'Données projet'!$B$88,BD45+BC46-BL45)))</f>
        <v>183.79999999999993</v>
      </c>
      <c r="BE46" s="14">
        <f>BD46*VLOOKUP('Données projet'!$B$11,Paramètres!$A$1:$I$89,3,0)*VLOOKUP('Données projet'!$B$11,Paramètres!$A$1:$I$89,5,0)</f>
        <v>160.56767999999997</v>
      </c>
      <c r="BF46" s="14">
        <f t="shared" si="37"/>
        <v>40.970530810309882</v>
      </c>
      <c r="BG46" s="22">
        <f t="shared" si="7"/>
        <v>351.01238382795628</v>
      </c>
      <c r="BH46" s="62">
        <f t="shared" si="8"/>
        <v>585.19320133653093</v>
      </c>
      <c r="BI46" s="62">
        <f ca="1">AVERAGE(OFFSET($BH$3,0,0,'Données projet'!$E$11+1,1))-AVERAGE(OFFSET($H$3,0,0,'Données projet'!$E$11+1,1))</f>
        <v>373.50005214669716</v>
      </c>
      <c r="BJ46" s="62">
        <f t="shared" si="38"/>
        <v>383.60460086643036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11.049351878703741</v>
      </c>
      <c r="BR46" s="23">
        <f>EXP(-LN(2)/2)*BR45+(1-EXP(-LN(2)/2))/(LN(2)/2)*BL46*BO46*VLOOKUP('Données projet'!$B$11,Paramètres!$A$1:$I$89,3,0)*0.475*44/12</f>
        <v>0.16456556471842901</v>
      </c>
      <c r="BS46" s="24">
        <f t="shared" si="9"/>
        <v>11.21391744342217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53.867495684156729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>
        <f>BY46*VLOOKUP('Données projet'!$B$12,Paramètres!$A$1:$I$89,3,0)*VLOOKUP('Données projet'!$B$12,Paramètres!$A$1:$I$89,5,0)</f>
        <v>0</v>
      </c>
      <c r="CA46" s="14" t="e">
        <f t="shared" si="39"/>
        <v>#NUM!</v>
      </c>
      <c r="CB46" s="22" t="e">
        <f t="shared" si="10"/>
        <v>#NUM!</v>
      </c>
      <c r="CC46" s="62" t="e">
        <f t="shared" si="11"/>
        <v>#NUM!</v>
      </c>
      <c r="CD46" s="62">
        <f ca="1">AVERAGE(OFFSET($CC$3,0,0,'Données projet'!$E$12+1,1))-AVERAGE(OFFSET($H$3,0,0,'Données projet'!$E$12+1,1))</f>
        <v>210.13237351083279</v>
      </c>
      <c r="CE46" s="62">
        <f t="shared" si="40"/>
        <v>423.06475179432277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76.375866884755695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2.9387462123374766</v>
      </c>
      <c r="CN46" s="24">
        <f t="shared" si="12"/>
        <v>79.314613097093172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53.867495684156729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11.4</v>
      </c>
      <c r="CT46" s="13">
        <f>IF('Données projet'!$A$140&gt;35,CT45+CS46-DB45,IF(A46&lt;'Données projet'!$A$140,$CQ$205^A46,IF(A46='Données projet'!$A$140,'Données projet'!$B$140,CT45+CS46-DB45)))</f>
        <v>181.20000000000002</v>
      </c>
      <c r="CU46" s="18">
        <f>CT46*VLOOKUP('Données projet'!$B$13,Paramètres!$A$1:$I$89,3,0)*VLOOKUP('Données projet'!$B$13,Paramètres!$A$1:$I$89,5,0)</f>
        <v>163.94976</v>
      </c>
      <c r="CV46" s="14">
        <f t="shared" si="41"/>
        <v>41.732126457893308</v>
      </c>
      <c r="CW46" s="22">
        <f t="shared" si="13"/>
        <v>358.22928558083089</v>
      </c>
      <c r="CX46" s="62">
        <f t="shared" si="14"/>
        <v>592.41010308940554</v>
      </c>
      <c r="CY46" s="62">
        <f ca="1">AVERAGE(OFFSET($CX$3,0,0,'Données projet'!$E$13+1,1))-AVERAGE(OFFSET($H$3,0,0,'Données projet'!$E$13+1,1))</f>
        <v>493.89660144134291</v>
      </c>
      <c r="CZ46" s="62">
        <f t="shared" si="42"/>
        <v>312.97494624463229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6.3673121335570864</v>
      </c>
      <c r="DH46" s="23">
        <f>EXP(-LN(2)/2)*DH45+(1-EXP(-LN(2)/2))/(LN(2)/2)*DB46*DE46*VLOOKUP('Données projet'!$B$13,Paramètres!$A$1:$I$89,3,0)*0.475*44/12</f>
        <v>0.16473129308015563</v>
      </c>
      <c r="DI46" s="24">
        <f t="shared" si="15"/>
        <v>6.5320434266372418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53.867495684156729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>
        <f>DO46*VLOOKUP('Données projet'!$B$14,Paramètres!$A$1:$I$89,3,0)*VLOOKUP('Données projet'!$B$14,Paramètres!$A$1:$I$89,5,0)</f>
        <v>0</v>
      </c>
      <c r="DQ46" s="14" t="e">
        <f t="shared" si="43"/>
        <v>#NUM!</v>
      </c>
      <c r="DR46" s="22" t="e">
        <f t="shared" si="16"/>
        <v>#NUM!</v>
      </c>
      <c r="DS46" s="62" t="e">
        <f t="shared" si="17"/>
        <v>#NUM!</v>
      </c>
      <c r="DT46" s="62">
        <f ca="1">AVERAGE(OFFSET($DS$3,0,0,'Données projet'!$E$14+1,1))-AVERAGE(OFFSET($H$3,0,0,'Données projet'!$E$14+1,1))</f>
        <v>210.13237351083279</v>
      </c>
      <c r="DU46" s="62">
        <f t="shared" si="44"/>
        <v>423.06475179432277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76.375866884755695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2.9387462123374766</v>
      </c>
      <c r="ED46" s="24">
        <f t="shared" si="18"/>
        <v>79.314613097093172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53.867495684156729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53.867495684156729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53.867495684156729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53.867495684156729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4.5049999999999999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16.518333333333334</v>
      </c>
      <c r="H47" s="70">
        <f t="shared" si="1"/>
        <v>147.64566666666667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54.147358567160175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7.4285714285714288</v>
      </c>
      <c r="N47" s="14">
        <f>IF('Données projet'!$A$36&gt;35,N46+M47-V46,IF(A47&lt;'Données projet'!$A$36,$K$205^A47,IF(A47='Données projet'!$A$36,'Données projet'!$B$36,N46+M47-V46)))</f>
        <v>326.85714285714283</v>
      </c>
      <c r="O47" s="14">
        <f>N47*VLOOKUP('Données projet'!$B$9,Paramètres!$A$1:$I$89,3,0)*VLOOKUP('Données projet'!$B$9,Paramètres!$A$1:$I$89,5,0)</f>
        <v>152.96914285714283</v>
      </c>
      <c r="P47" s="14">
        <f t="shared" si="33"/>
        <v>39.252562327529084</v>
      </c>
      <c r="Q47" s="22">
        <f t="shared" si="53"/>
        <v>334.78613652997024</v>
      </c>
      <c r="R47" s="62">
        <f t="shared" si="0"/>
        <v>569.99311794289088</v>
      </c>
      <c r="S47" s="62">
        <f ca="1">AVERAGE(OFFSET($R$3,0,0,'Données projet'!$E$9+1,1))-AVERAGE(OFFSET($H$3,0,0,'Données projet'!$E$9+1,1))</f>
        <v>374.81775021423215</v>
      </c>
      <c r="T47" s="62">
        <f t="shared" si="34"/>
        <v>301.81248585467142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54.147358567160175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151.69440000000003</v>
      </c>
      <c r="AK47" s="14">
        <f t="shared" si="35"/>
        <v>38.963392010880654</v>
      </c>
      <c r="AL47" s="22">
        <f t="shared" si="4"/>
        <v>332.06232108561716</v>
      </c>
      <c r="AM47" s="62">
        <f t="shared" si="5"/>
        <v>567.26930249853785</v>
      </c>
      <c r="AN47" s="62">
        <f ca="1">AVERAGE(OFFSET($AM$3,0,0,'Données projet'!$E$10+1,1))-AVERAGE(OFFSET($H$3,0,0,'Données projet'!$E$10+1,1))</f>
        <v>468.39960552661171</v>
      </c>
      <c r="AO47" s="62">
        <f t="shared" si="36"/>
        <v>291.1952427029787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2.051653024146189</v>
      </c>
      <c r="AW47" s="23">
        <f>EXP(-LN(2)/2)*AW46+(1-EXP(-LN(2)/2))/(LN(2)/2)*AQ47*AT47*VLOOKUP('Données projet'!$B$10,Paramètres!$A$1:$I$89,3,0)*0.475*44/12</f>
        <v>0.10987518346660154</v>
      </c>
      <c r="AX47" s="23">
        <f t="shared" si="6"/>
        <v>2.1615282076127906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54.147358567160175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8.6</v>
      </c>
      <c r="BD47" s="13">
        <f>IF('Données projet'!$A$88&gt;35,BD46+BC47-BL46,IF(A47&lt;'Données projet'!$A$88,$BA$205^A47,IF(A47='Données projet'!$A$88,'Données projet'!$B$88,BD46+BC47-BL46)))</f>
        <v>192.39999999999992</v>
      </c>
      <c r="BE47" s="14">
        <f>BD47*VLOOKUP('Données projet'!$B$11,Paramètres!$A$1:$I$89,3,0)*VLOOKUP('Données projet'!$B$11,Paramètres!$A$1:$I$89,5,0)</f>
        <v>168.08063999999996</v>
      </c>
      <c r="BF47" s="14">
        <f t="shared" si="37"/>
        <v>42.659867131343425</v>
      </c>
      <c r="BG47" s="22">
        <f t="shared" si="7"/>
        <v>367.03971658708974</v>
      </c>
      <c r="BH47" s="62">
        <f t="shared" si="8"/>
        <v>602.24669800001038</v>
      </c>
      <c r="BI47" s="62">
        <f ca="1">AVERAGE(OFFSET($BH$3,0,0,'Données projet'!$E$11+1,1))-AVERAGE(OFFSET($H$3,0,0,'Données projet'!$E$11+1,1))</f>
        <v>373.50005214669716</v>
      </c>
      <c r="BJ47" s="62">
        <f t="shared" si="38"/>
        <v>383.60460086643036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10.747206770520425</v>
      </c>
      <c r="BR47" s="23">
        <f>EXP(-LN(2)/2)*BR46+(1-EXP(-LN(2)/2))/(LN(2)/2)*BL47*BO47*VLOOKUP('Données projet'!$B$11,Paramètres!$A$1:$I$89,3,0)*0.475*44/12</f>
        <v>0.11636542676219482</v>
      </c>
      <c r="BS47" s="24">
        <f t="shared" si="9"/>
        <v>10.86357219728262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54.147358567160175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>
        <f>BY47*VLOOKUP('Données projet'!$B$12,Paramètres!$A$1:$I$89,3,0)*VLOOKUP('Données projet'!$B$12,Paramètres!$A$1:$I$89,5,0)</f>
        <v>0</v>
      </c>
      <c r="CA47" s="14" t="e">
        <f t="shared" si="39"/>
        <v>#NUM!</v>
      </c>
      <c r="CB47" s="22" t="e">
        <f t="shared" si="10"/>
        <v>#NUM!</v>
      </c>
      <c r="CC47" s="62" t="e">
        <f t="shared" si="11"/>
        <v>#NUM!</v>
      </c>
      <c r="CD47" s="62">
        <f ca="1">AVERAGE(OFFSET($CC$3,0,0,'Données projet'!$E$12+1,1))-AVERAGE(OFFSET($H$3,0,0,'Données projet'!$E$12+1,1))</f>
        <v>210.13237351083279</v>
      </c>
      <c r="CE47" s="62">
        <f t="shared" si="40"/>
        <v>423.06475179432277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74.878182719824579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2.0780073749301113</v>
      </c>
      <c r="CN47" s="24">
        <f t="shared" si="12"/>
        <v>76.956190094754689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54.147358567160175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11.4</v>
      </c>
      <c r="CT47" s="13">
        <f>IF('Données projet'!$A$140&gt;35,CT46+CS47-DB46,IF(A47&lt;'Données projet'!$A$140,$CQ$205^A47,IF(A47='Données projet'!$A$140,'Données projet'!$B$140,CT46+CS47-DB46)))</f>
        <v>192.60000000000002</v>
      </c>
      <c r="CU47" s="18">
        <f>CT47*VLOOKUP('Données projet'!$B$13,Paramètres!$A$1:$I$89,3,0)*VLOOKUP('Données projet'!$B$13,Paramètres!$A$1:$I$89,5,0)</f>
        <v>174.26447999999999</v>
      </c>
      <c r="CV47" s="14">
        <f t="shared" si="41"/>
        <v>44.043743683739521</v>
      </c>
      <c r="CW47" s="22">
        <f t="shared" si="13"/>
        <v>380.22015624917964</v>
      </c>
      <c r="CX47" s="62">
        <f t="shared" si="14"/>
        <v>615.42713766210034</v>
      </c>
      <c r="CY47" s="62">
        <f ca="1">AVERAGE(OFFSET($CX$3,0,0,'Données projet'!$E$13+1,1))-AVERAGE(OFFSET($H$3,0,0,'Données projet'!$E$13+1,1))</f>
        <v>493.89660144134291</v>
      </c>
      <c r="CZ47" s="62">
        <f t="shared" si="42"/>
        <v>312.97494624463229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6.1931976484225757</v>
      </c>
      <c r="DH47" s="23">
        <f>EXP(-LN(2)/2)*DH46+(1-EXP(-LN(2)/2))/(LN(2)/2)*DB47*DE47*VLOOKUP('Données projet'!$B$13,Paramètres!$A$1:$I$89,3,0)*0.475*44/12</f>
        <v>0.11648261441060664</v>
      </c>
      <c r="DI47" s="24">
        <f t="shared" si="15"/>
        <v>6.3096802628331821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54.147358567160175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>
        <f>DO47*VLOOKUP('Données projet'!$B$14,Paramètres!$A$1:$I$89,3,0)*VLOOKUP('Données projet'!$B$14,Paramètres!$A$1:$I$89,5,0)</f>
        <v>0</v>
      </c>
      <c r="DQ47" s="14" t="e">
        <f t="shared" si="43"/>
        <v>#NUM!</v>
      </c>
      <c r="DR47" s="22" t="e">
        <f t="shared" si="16"/>
        <v>#NUM!</v>
      </c>
      <c r="DS47" s="62" t="e">
        <f t="shared" si="17"/>
        <v>#NUM!</v>
      </c>
      <c r="DT47" s="62">
        <f ca="1">AVERAGE(OFFSET($DS$3,0,0,'Données projet'!$E$14+1,1))-AVERAGE(OFFSET($H$3,0,0,'Données projet'!$E$14+1,1))</f>
        <v>210.13237351083279</v>
      </c>
      <c r="DU47" s="62">
        <f t="shared" si="44"/>
        <v>423.06475179432277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74.878182719824579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2.0780073749301113</v>
      </c>
      <c r="ED47" s="24">
        <f t="shared" si="18"/>
        <v>76.956190094754689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54.147358567160175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54.147358567160175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54.147358567160175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54.147358567160175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4.5049999999999999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16.518333333333334</v>
      </c>
      <c r="H48" s="70">
        <f t="shared" si="1"/>
        <v>147.64566666666667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54.422366454823184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7.4285714285714288</v>
      </c>
      <c r="N48" s="14">
        <f>IF('Données projet'!$A$36&gt;35,N47+M48-V47,IF(A48&lt;'Données projet'!$A$36,$K$205^A48,IF(A48='Données projet'!$A$36,'Données projet'!$B$36,N47+M48-V47)))</f>
        <v>334.28571428571428</v>
      </c>
      <c r="O48" s="14">
        <f>N48*VLOOKUP('Données projet'!$B$9,Paramètres!$A$1:$I$89,3,0)*VLOOKUP('Données projet'!$B$9,Paramètres!$A$1:$I$89,5,0)</f>
        <v>156.4457142857143</v>
      </c>
      <c r="P48" s="14">
        <f t="shared" si="33"/>
        <v>40.039791204417888</v>
      </c>
      <c r="Q48" s="22">
        <f t="shared" si="53"/>
        <v>342.21225539531355</v>
      </c>
      <c r="R48" s="62">
        <f t="shared" si="0"/>
        <v>578.42759906299852</v>
      </c>
      <c r="S48" s="62">
        <f ca="1">AVERAGE(OFFSET($R$3,0,0,'Données projet'!$E$9+1,1))-AVERAGE(OFFSET($H$3,0,0,'Données projet'!$E$9+1,1))</f>
        <v>374.81775021423215</v>
      </c>
      <c r="T48" s="62">
        <f t="shared" si="34"/>
        <v>301.81248585467142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54.422366454823184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160.21200000000005</v>
      </c>
      <c r="AK48" s="14">
        <f t="shared" si="35"/>
        <v>40.890328912852695</v>
      </c>
      <c r="AL48" s="22">
        <f t="shared" si="4"/>
        <v>350.25322285655176</v>
      </c>
      <c r="AM48" s="62">
        <f t="shared" si="5"/>
        <v>586.46856652423685</v>
      </c>
      <c r="AN48" s="62">
        <f ca="1">AVERAGE(OFFSET($AM$3,0,0,'Données projet'!$E$10+1,1))-AVERAGE(OFFSET($H$3,0,0,'Données projet'!$E$10+1,1))</f>
        <v>468.39960552661171</v>
      </c>
      <c r="AO48" s="62">
        <f t="shared" si="36"/>
        <v>291.1952427029787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1.9955504643091679</v>
      </c>
      <c r="AW48" s="23">
        <f>EXP(-LN(2)/2)*AW47+(1-EXP(-LN(2)/2))/(LN(2)/2)*AQ48*AT48*VLOOKUP('Données projet'!$B$10,Paramètres!$A$1:$I$89,3,0)*0.475*44/12</f>
        <v>7.7693487313349976E-2</v>
      </c>
      <c r="AX48" s="23">
        <f t="shared" si="6"/>
        <v>2.0732439516225178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54.422366454823184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201</v>
      </c>
      <c r="BB48" s="13">
        <f>VLOOKUP(A48,'Données projet'!$A$87:$I$107,9,0)</f>
        <v>8.6</v>
      </c>
      <c r="BC48" s="13">
        <f t="array" ref="BC48">INDEX(BB:BB,MIN(IF(ISNUMBER(BB48:BB244),ROW(BB48:BB244),"")))</f>
        <v>8.6</v>
      </c>
      <c r="BD48" s="13">
        <f>IF('Données projet'!$A$88&gt;35,BD47+BC48-BL47,IF(A48&lt;'Données projet'!$A$88,$BA$205^A48,IF(A48='Données projet'!$A$88,'Données projet'!$B$88,BD47+BC48-BL47)))</f>
        <v>200.99999999999991</v>
      </c>
      <c r="BE48" s="14">
        <f>BD48*VLOOKUP('Données projet'!$B$11,Paramètres!$A$1:$I$89,3,0)*VLOOKUP('Données projet'!$B$11,Paramètres!$A$1:$I$89,5,0)</f>
        <v>175.59359999999995</v>
      </c>
      <c r="BF48" s="14">
        <f t="shared" si="37"/>
        <v>44.340433728638573</v>
      </c>
      <c r="BG48" s="22">
        <f t="shared" si="7"/>
        <v>383.05177541071203</v>
      </c>
      <c r="BH48" s="62">
        <f t="shared" si="8"/>
        <v>619.26711907839706</v>
      </c>
      <c r="BI48" s="62">
        <f ca="1">AVERAGE(OFFSET($BH$3,0,0,'Données projet'!$E$11+1,1))-AVERAGE(OFFSET($H$3,0,0,'Données projet'!$E$11+1,1))</f>
        <v>373.50005214669716</v>
      </c>
      <c r="BJ48" s="62">
        <f t="shared" si="38"/>
        <v>383.60460086643036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31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10.453323836209503</v>
      </c>
      <c r="BR48" s="23">
        <f>EXP(-LN(2)/2)*BR47+(1-EXP(-LN(2)/2))/(LN(2)/2)*BL48*BO48*VLOOKUP('Données projet'!$B$11,Paramètres!$A$1:$I$89,3,0)*0.475*44/12</f>
        <v>8.2282782359214518E-2</v>
      </c>
      <c r="BS48" s="24">
        <f t="shared" si="9"/>
        <v>10.535606618568718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54.422366454823184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>
        <f>BY48*VLOOKUP('Données projet'!$B$12,Paramètres!$A$1:$I$89,3,0)*VLOOKUP('Données projet'!$B$12,Paramètres!$A$1:$I$89,5,0)</f>
        <v>0</v>
      </c>
      <c r="CA48" s="14" t="e">
        <f t="shared" si="39"/>
        <v>#NUM!</v>
      </c>
      <c r="CB48" s="22" t="e">
        <f t="shared" si="10"/>
        <v>#NUM!</v>
      </c>
      <c r="CC48" s="62" t="e">
        <f t="shared" si="11"/>
        <v>#NUM!</v>
      </c>
      <c r="CD48" s="62">
        <f ca="1">AVERAGE(OFFSET($CC$3,0,0,'Données projet'!$E$12+1,1))-AVERAGE(OFFSET($H$3,0,0,'Données projet'!$E$12+1,1))</f>
        <v>210.13237351083279</v>
      </c>
      <c r="CE48" s="62">
        <f t="shared" si="40"/>
        <v>423.06475179432277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73.40986722787062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1.4693731061687383</v>
      </c>
      <c r="CN48" s="24">
        <f t="shared" si="12"/>
        <v>74.879240334039352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54.422366454823184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204</v>
      </c>
      <c r="CR48" s="13">
        <f>VLOOKUP(A48,'Données projet'!$A$139:$I$159,9,0)</f>
        <v>11.4</v>
      </c>
      <c r="CS48" s="13">
        <f t="array" ref="CS48">INDEX(CR:CR,MIN(IF(ISNUMBER(CR48:CR244),ROW(CR48:CR244),"")))</f>
        <v>11.4</v>
      </c>
      <c r="CT48" s="13">
        <f>IF('Données projet'!$A$140&gt;35,CT47+CS48-DB47,IF(A48&lt;'Données projet'!$A$140,$CQ$205^A48,IF(A48='Données projet'!$A$140,'Données projet'!$B$140,CT47+CS48-DB47)))</f>
        <v>204.00000000000003</v>
      </c>
      <c r="CU48" s="18">
        <f>CT48*VLOOKUP('Données projet'!$B$13,Paramètres!$A$1:$I$89,3,0)*VLOOKUP('Données projet'!$B$13,Paramètres!$A$1:$I$89,5,0)</f>
        <v>184.57920000000001</v>
      </c>
      <c r="CV48" s="14">
        <f t="shared" si="41"/>
        <v>46.339479465836661</v>
      </c>
      <c r="CW48" s="22">
        <f t="shared" si="13"/>
        <v>402.18336673633218</v>
      </c>
      <c r="CX48" s="62">
        <f t="shared" si="14"/>
        <v>638.39871040401727</v>
      </c>
      <c r="CY48" s="62">
        <f ca="1">AVERAGE(OFFSET($CX$3,0,0,'Données projet'!$E$13+1,1))-AVERAGE(OFFSET($H$3,0,0,'Données projet'!$E$13+1,1))</f>
        <v>493.89660144134291</v>
      </c>
      <c r="CZ48" s="62">
        <f t="shared" si="42"/>
        <v>312.97494624463229</v>
      </c>
      <c r="DA48" s="16">
        <f>IF(ISNA(VLOOKUP(A48,'Données projet'!$A$139:$I$159,3,0)),0,VLOOKUP(A48,'Données projet'!$A$139:$I$159,3,0))</f>
        <v>6</v>
      </c>
      <c r="DB48" s="16">
        <f>IF(ISNA(VLOOKUP(A48,'Données projet'!$A$139:$I$159,4,0)),0,VLOOKUP(A48,'Données projet'!$A$139:$I$159,4,0))</f>
        <v>28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6.0238443330403504</v>
      </c>
      <c r="DH48" s="23">
        <f>EXP(-LN(2)/2)*DH47+(1-EXP(-LN(2)/2))/(LN(2)/2)*DB48*DE48*VLOOKUP('Données projet'!$B$13,Paramètres!$A$1:$I$89,3,0)*0.475*44/12</f>
        <v>8.236564654007783E-2</v>
      </c>
      <c r="DI48" s="24">
        <f t="shared" si="15"/>
        <v>6.1062099795804281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54.422366454823184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>
        <f>DO48*VLOOKUP('Données projet'!$B$14,Paramètres!$A$1:$I$89,3,0)*VLOOKUP('Données projet'!$B$14,Paramètres!$A$1:$I$89,5,0)</f>
        <v>0</v>
      </c>
      <c r="DQ48" s="14" t="e">
        <f t="shared" si="43"/>
        <v>#NUM!</v>
      </c>
      <c r="DR48" s="22" t="e">
        <f t="shared" si="16"/>
        <v>#NUM!</v>
      </c>
      <c r="DS48" s="62" t="e">
        <f t="shared" si="17"/>
        <v>#NUM!</v>
      </c>
      <c r="DT48" s="62">
        <f ca="1">AVERAGE(OFFSET($DS$3,0,0,'Données projet'!$E$14+1,1))-AVERAGE(OFFSET($H$3,0,0,'Données projet'!$E$14+1,1))</f>
        <v>210.13237351083279</v>
      </c>
      <c r="DU48" s="62">
        <f t="shared" si="44"/>
        <v>423.06475179432277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73.40986722787062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1.4693731061687383</v>
      </c>
      <c r="ED48" s="24">
        <f t="shared" si="18"/>
        <v>74.879240334039352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54.422366454823184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54.422366454823184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54.422366454823184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54.422366454823184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4.5049999999999999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16.518333333333334</v>
      </c>
      <c r="H49" s="70">
        <f t="shared" si="1"/>
        <v>147.64566666666667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54.692603570460754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7.4285714285714288</v>
      </c>
      <c r="N49" s="14">
        <f>IF('Données projet'!$A$36&gt;35,N48+M49-V48,IF(A49&lt;'Données projet'!$A$36,$K$205^A49,IF(A49='Données projet'!$A$36,'Données projet'!$B$36,N48+M49-V48)))</f>
        <v>341.71428571428572</v>
      </c>
      <c r="O49" s="14">
        <f>N49*VLOOKUP('Données projet'!$B$9,Paramètres!$A$1:$I$89,3,0)*VLOOKUP('Données projet'!$B$9,Paramètres!$A$1:$I$89,5,0)</f>
        <v>159.92228571428572</v>
      </c>
      <c r="P49" s="14">
        <f t="shared" si="33"/>
        <v>40.82498623702633</v>
      </c>
      <c r="Q49" s="22">
        <f t="shared" si="53"/>
        <v>349.6348319818685</v>
      </c>
      <c r="R49" s="62">
        <f t="shared" si="0"/>
        <v>586.84104507355801</v>
      </c>
      <c r="S49" s="62">
        <f ca="1">AVERAGE(OFFSET($R$3,0,0,'Données projet'!$E$9+1,1))-AVERAGE(OFFSET($H$3,0,0,'Données projet'!$E$9+1,1))</f>
        <v>374.81775021423215</v>
      </c>
      <c r="T49" s="62">
        <f t="shared" si="34"/>
        <v>301.81248585467142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54.692603570460754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147.43560000000002</v>
      </c>
      <c r="AK49" s="14">
        <f t="shared" si="35"/>
        <v>37.99523294834102</v>
      </c>
      <c r="AL49" s="22">
        <f t="shared" si="4"/>
        <v>322.95870071836066</v>
      </c>
      <c r="AM49" s="62">
        <f t="shared" si="5"/>
        <v>560.16491381005017</v>
      </c>
      <c r="AN49" s="62">
        <f ca="1">AVERAGE(OFFSET($AM$3,0,0,'Données projet'!$E$10+1,1))-AVERAGE(OFFSET($H$3,0,0,'Données projet'!$E$10+1,1))</f>
        <v>468.39960552661171</v>
      </c>
      <c r="AO49" s="62">
        <f t="shared" si="36"/>
        <v>291.1952427029787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1.9409820319211957</v>
      </c>
      <c r="AW49" s="23">
        <f>EXP(-LN(2)/2)*AW48+(1-EXP(-LN(2)/2))/(LN(2)/2)*AQ49*AT49*VLOOKUP('Données projet'!$B$10,Paramètres!$A$1:$I$89,3,0)*0.475*44/12</f>
        <v>5.4937591733300768E-2</v>
      </c>
      <c r="AX49" s="23">
        <f t="shared" si="6"/>
        <v>1.9959196236544965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54.692603570460754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7.8</v>
      </c>
      <c r="BD49" s="13">
        <f>IF('Données projet'!$A$88&gt;35,BD48+BC49-BL48,IF(A49&lt;'Données projet'!$A$88,$BA$205^A49,IF(A49='Données projet'!$A$88,'Données projet'!$B$88,BD48+BC49-BL48)))</f>
        <v>177.79999999999993</v>
      </c>
      <c r="BE49" s="14">
        <f>BD49*VLOOKUP('Données projet'!$B$11,Paramètres!$A$1:$I$89,3,0)*VLOOKUP('Données projet'!$B$11,Paramètres!$A$1:$I$89,5,0)</f>
        <v>155.32607999999996</v>
      </c>
      <c r="BF49" s="14">
        <f t="shared" si="37"/>
        <v>39.786487601092411</v>
      </c>
      <c r="BG49" s="22">
        <f t="shared" si="7"/>
        <v>339.82105523856922</v>
      </c>
      <c r="BH49" s="62">
        <f t="shared" si="8"/>
        <v>577.02726833025872</v>
      </c>
      <c r="BI49" s="62">
        <f ca="1">AVERAGE(OFFSET($BH$3,0,0,'Données projet'!$E$11+1,1))-AVERAGE(OFFSET($H$3,0,0,'Données projet'!$E$11+1,1))</f>
        <v>373.50005214669716</v>
      </c>
      <c r="BJ49" s="62">
        <f t="shared" si="38"/>
        <v>383.60460086643036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10.167477146191946</v>
      </c>
      <c r="BR49" s="23">
        <f>EXP(-LN(2)/2)*BR48+(1-EXP(-LN(2)/2))/(LN(2)/2)*BL49*BO49*VLOOKUP('Données projet'!$B$11,Paramètres!$A$1:$I$89,3,0)*0.475*44/12</f>
        <v>5.8182713381097415E-2</v>
      </c>
      <c r="BS49" s="24">
        <f t="shared" si="9"/>
        <v>10.225659859573042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54.692603570460754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>
        <f>BY49*VLOOKUP('Données projet'!$B$12,Paramètres!$A$1:$I$89,3,0)*VLOOKUP('Données projet'!$B$12,Paramètres!$A$1:$I$89,5,0)</f>
        <v>0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210.13237351083279</v>
      </c>
      <c r="CE49" s="62">
        <f t="shared" si="40"/>
        <v>423.06475179432277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71.970344507129866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1.0390036874650557</v>
      </c>
      <c r="CN49" s="24">
        <f t="shared" si="12"/>
        <v>73.009348194594921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54.692603570460754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</v>
      </c>
      <c r="CT49" s="13">
        <f>IF('Données projet'!$A$140&gt;35,CT48+CS49-DB48,IF(A49&lt;'Données projet'!$A$140,$CQ$205^A49,IF(A49='Données projet'!$A$140,'Données projet'!$B$140,CT48+CS49-DB48)))</f>
        <v>187.00000000000003</v>
      </c>
      <c r="CU49" s="18">
        <f>CT49*VLOOKUP('Données projet'!$B$13,Paramètres!$A$1:$I$89,3,0)*VLOOKUP('Données projet'!$B$13,Paramètres!$A$1:$I$89,5,0)</f>
        <v>169.19760000000002</v>
      </c>
      <c r="CV49" s="14">
        <f t="shared" si="41"/>
        <v>42.910263223432885</v>
      </c>
      <c r="CW49" s="22">
        <f t="shared" si="13"/>
        <v>369.42119511414558</v>
      </c>
      <c r="CX49" s="62">
        <f t="shared" si="14"/>
        <v>606.62740820583508</v>
      </c>
      <c r="CY49" s="62">
        <f ca="1">AVERAGE(OFFSET($CX$3,0,0,'Données projet'!$E$13+1,1))-AVERAGE(OFFSET($H$3,0,0,'Données projet'!$E$13+1,1))</f>
        <v>493.89660144134291</v>
      </c>
      <c r="CZ49" s="62">
        <f t="shared" si="42"/>
        <v>312.97494624463229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5.8591219929731562</v>
      </c>
      <c r="DH49" s="23">
        <f>EXP(-LN(2)/2)*DH48+(1-EXP(-LN(2)/2))/(LN(2)/2)*DB49*DE49*VLOOKUP('Données projet'!$B$13,Paramètres!$A$1:$I$89,3,0)*0.475*44/12</f>
        <v>5.8241307205303336E-2</v>
      </c>
      <c r="DI49" s="24">
        <f t="shared" si="15"/>
        <v>5.9173633001784598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54.692603570460754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>
        <f>DO49*VLOOKUP('Données projet'!$B$14,Paramètres!$A$1:$I$89,3,0)*VLOOKUP('Données projet'!$B$14,Paramètres!$A$1:$I$89,5,0)</f>
        <v>0</v>
      </c>
      <c r="DQ49" s="14" t="e">
        <f t="shared" si="43"/>
        <v>#NUM!</v>
      </c>
      <c r="DR49" s="22" t="e">
        <f t="shared" si="16"/>
        <v>#NUM!</v>
      </c>
      <c r="DS49" s="62" t="e">
        <f t="shared" si="17"/>
        <v>#NUM!</v>
      </c>
      <c r="DT49" s="62">
        <f ca="1">AVERAGE(OFFSET($DS$3,0,0,'Données projet'!$E$14+1,1))-AVERAGE(OFFSET($H$3,0,0,'Données projet'!$E$14+1,1))</f>
        <v>210.13237351083279</v>
      </c>
      <c r="DU49" s="62">
        <f t="shared" si="44"/>
        <v>423.06475179432277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71.970344507129866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1.0390036874650557</v>
      </c>
      <c r="ED49" s="24">
        <f t="shared" si="18"/>
        <v>73.009348194594921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54.692603570460754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54.692603570460754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54.692603570460754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54.692603570460754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4.5049999999999999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16.518333333333334</v>
      </c>
      <c r="H50" s="70">
        <f t="shared" si="1"/>
        <v>147.64566666666667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54.958152676301708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7.4285714285714288</v>
      </c>
      <c r="N50" s="14">
        <f>IF('Données projet'!$A$36&gt;35,N49+M50-V49,IF(A50&lt;'Données projet'!$A$36,$K$205^A50,IF(A50='Données projet'!$A$36,'Données projet'!$B$36,N49+M50-V49)))</f>
        <v>349.14285714285717</v>
      </c>
      <c r="O50" s="14">
        <f>N50*VLOOKUP('Données projet'!$B$9,Paramètres!$A$1:$I$89,3,0)*VLOOKUP('Données projet'!$B$9,Paramètres!$A$1:$I$89,5,0)</f>
        <v>163.39885714285714</v>
      </c>
      <c r="P50" s="14">
        <f t="shared" si="33"/>
        <v>41.608196731316134</v>
      </c>
      <c r="Q50" s="22">
        <f t="shared" si="53"/>
        <v>357.05395216418509</v>
      </c>
      <c r="R50" s="62">
        <f t="shared" si="0"/>
        <v>595.2338453106247</v>
      </c>
      <c r="S50" s="62">
        <f ca="1">AVERAGE(OFFSET($R$3,0,0,'Données projet'!$E$9+1,1))-AVERAGE(OFFSET($H$3,0,0,'Données projet'!$E$9+1,1))</f>
        <v>374.81775021423215</v>
      </c>
      <c r="T50" s="62">
        <f t="shared" si="34"/>
        <v>301.81248585467142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54.958152676301708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155.95320000000004</v>
      </c>
      <c r="AK50" s="14">
        <f t="shared" si="35"/>
        <v>39.928391937903875</v>
      </c>
      <c r="AL50" s="22">
        <f t="shared" si="4"/>
        <v>341.16043929184929</v>
      </c>
      <c r="AM50" s="62">
        <f t="shared" si="5"/>
        <v>579.3403324382889</v>
      </c>
      <c r="AN50" s="62">
        <f ca="1">AVERAGE(OFFSET($AM$3,0,0,'Données projet'!$E$10+1,1))-AVERAGE(OFFSET($H$3,0,0,'Données projet'!$E$10+1,1))</f>
        <v>468.39960552661171</v>
      </c>
      <c r="AO50" s="62">
        <f t="shared" si="36"/>
        <v>291.1952427029787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1.8879057761865017</v>
      </c>
      <c r="AW50" s="23">
        <f>EXP(-LN(2)/2)*AW49+(1-EXP(-LN(2)/2))/(LN(2)/2)*AQ50*AT50*VLOOKUP('Données projet'!$B$10,Paramètres!$A$1:$I$89,3,0)*0.475*44/12</f>
        <v>3.8846743656674988E-2</v>
      </c>
      <c r="AX50" s="23">
        <f t="shared" si="6"/>
        <v>1.9267525198431767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54.958152676301708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7.8</v>
      </c>
      <c r="BD50" s="13">
        <f>IF('Données projet'!$A$88&gt;35,BD49+BC50-BL49,IF(A50&lt;'Données projet'!$A$88,$BA$205^A50,IF(A50='Données projet'!$A$88,'Données projet'!$B$88,BD49+BC50-BL49)))</f>
        <v>185.59999999999994</v>
      </c>
      <c r="BE50" s="14">
        <f>BD50*VLOOKUP('Données projet'!$B$11,Paramètres!$A$1:$I$89,3,0)*VLOOKUP('Données projet'!$B$11,Paramètres!$A$1:$I$89,5,0)</f>
        <v>162.14015999999998</v>
      </c>
      <c r="BF50" s="14">
        <f t="shared" si="37"/>
        <v>41.324860537333677</v>
      </c>
      <c r="BG50" s="22">
        <f t="shared" si="7"/>
        <v>354.36824410252279</v>
      </c>
      <c r="BH50" s="62">
        <f t="shared" si="8"/>
        <v>592.54813724896235</v>
      </c>
      <c r="BI50" s="62">
        <f ca="1">AVERAGE(OFFSET($BH$3,0,0,'Données projet'!$E$11+1,1))-AVERAGE(OFFSET($H$3,0,0,'Données projet'!$E$11+1,1))</f>
        <v>373.50005214669716</v>
      </c>
      <c r="BJ50" s="62">
        <f t="shared" si="38"/>
        <v>383.60460086643036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9.8894469489449417</v>
      </c>
      <c r="BR50" s="23">
        <f>EXP(-LN(2)/2)*BR49+(1-EXP(-LN(2)/2))/(LN(2)/2)*BL50*BO50*VLOOKUP('Données projet'!$B$11,Paramètres!$A$1:$I$89,3,0)*0.475*44/12</f>
        <v>4.1141391179607266E-2</v>
      </c>
      <c r="BS50" s="24">
        <f t="shared" si="9"/>
        <v>9.9305883401245492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54.958152676301708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>
        <f>BY50*VLOOKUP('Données projet'!$B$12,Paramètres!$A$1:$I$89,3,0)*VLOOKUP('Données projet'!$B$12,Paramètres!$A$1:$I$89,5,0)</f>
        <v>0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210.13237351083279</v>
      </c>
      <c r="CE50" s="62">
        <f t="shared" si="40"/>
        <v>423.06475179432277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70.559049948920674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0.73468655308436914</v>
      </c>
      <c r="CN50" s="24">
        <f t="shared" si="12"/>
        <v>71.293736502005046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54.958152676301708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</v>
      </c>
      <c r="CT50" s="13">
        <f>IF('Données projet'!$A$140&gt;35,CT49+CS50-DB49,IF(A50&lt;'Données projet'!$A$140,$CQ$205^A50,IF(A50='Données projet'!$A$140,'Données projet'!$B$140,CT49+CS50-DB49)))</f>
        <v>198.00000000000003</v>
      </c>
      <c r="CU50" s="18">
        <f>CT50*VLOOKUP('Données projet'!$B$13,Paramètres!$A$1:$I$89,3,0)*VLOOKUP('Données projet'!$B$13,Paramètres!$A$1:$I$89,5,0)</f>
        <v>179.15040000000002</v>
      </c>
      <c r="CV50" s="14">
        <f t="shared" si="41"/>
        <v>45.133113803437304</v>
      </c>
      <c r="CW50" s="22">
        <f t="shared" si="13"/>
        <v>390.62711987431999</v>
      </c>
      <c r="CX50" s="62">
        <f t="shared" si="14"/>
        <v>628.80701302075954</v>
      </c>
      <c r="CY50" s="62">
        <f ca="1">AVERAGE(OFFSET($CX$3,0,0,'Données projet'!$E$13+1,1))-AVERAGE(OFFSET($H$3,0,0,'Données projet'!$E$13+1,1))</f>
        <v>493.89660144134291</v>
      </c>
      <c r="CZ50" s="62">
        <f t="shared" si="42"/>
        <v>312.97494624463229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5.6989039939574706</v>
      </c>
      <c r="DH50" s="23">
        <f>EXP(-LN(2)/2)*DH49+(1-EXP(-LN(2)/2))/(LN(2)/2)*DB50*DE50*VLOOKUP('Données projet'!$B$13,Paramètres!$A$1:$I$89,3,0)*0.475*44/12</f>
        <v>4.1182823270038922E-2</v>
      </c>
      <c r="DI50" s="24">
        <f t="shared" si="15"/>
        <v>5.7400868172275095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54.958152676301708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>
        <f>DO50*VLOOKUP('Données projet'!$B$14,Paramètres!$A$1:$I$89,3,0)*VLOOKUP('Données projet'!$B$14,Paramètres!$A$1:$I$89,5,0)</f>
        <v>0</v>
      </c>
      <c r="DQ50" s="14" t="e">
        <f t="shared" si="43"/>
        <v>#NUM!</v>
      </c>
      <c r="DR50" s="22" t="e">
        <f t="shared" si="16"/>
        <v>#NUM!</v>
      </c>
      <c r="DS50" s="62" t="e">
        <f t="shared" si="17"/>
        <v>#NUM!</v>
      </c>
      <c r="DT50" s="62">
        <f ca="1">AVERAGE(OFFSET($DS$3,0,0,'Données projet'!$E$14+1,1))-AVERAGE(OFFSET($H$3,0,0,'Données projet'!$E$14+1,1))</f>
        <v>210.13237351083279</v>
      </c>
      <c r="DU50" s="62">
        <f t="shared" si="44"/>
        <v>423.06475179432277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70.559049948920674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0.73468655308436914</v>
      </c>
      <c r="ED50" s="24">
        <f t="shared" si="18"/>
        <v>71.293736502005046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54.958152676301708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54.958152676301708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54.958152676301708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54.958152676301708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4.5049999999999999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16.518333333333334</v>
      </c>
      <c r="H51" s="70">
        <f t="shared" si="1"/>
        <v>147.64566666666667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55.219095098835169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7.4285714285714288</v>
      </c>
      <c r="N51" s="14">
        <f>IF('Données projet'!$A$36&gt;35,N50+M51-V50,IF(A51&lt;'Données projet'!$A$36,$K$205^A51,IF(A51='Données projet'!$A$36,'Données projet'!$B$36,N50+M51-V50)))</f>
        <v>356.57142857142861</v>
      </c>
      <c r="O51" s="14">
        <f>N51*VLOOKUP('Données projet'!$B$9,Paramètres!$A$1:$I$89,3,0)*VLOOKUP('Données projet'!$B$9,Paramètres!$A$1:$I$89,5,0)</f>
        <v>166.87542857142859</v>
      </c>
      <c r="P51" s="14">
        <f t="shared" si="33"/>
        <v>42.389469775256472</v>
      </c>
      <c r="Q51" s="22">
        <f t="shared" si="53"/>
        <v>364.46969795380983</v>
      </c>
      <c r="R51" s="62">
        <f t="shared" si="0"/>
        <v>603.60637998287211</v>
      </c>
      <c r="S51" s="62">
        <f ca="1">AVERAGE(OFFSET($R$3,0,0,'Données projet'!$E$9+1,1))-AVERAGE(OFFSET($H$3,0,0,'Données projet'!$E$9+1,1))</f>
        <v>374.81775021423215</v>
      </c>
      <c r="T51" s="62">
        <f t="shared" si="34"/>
        <v>301.81248585467142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55.219095098835169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164.47080000000005</v>
      </c>
      <c r="AK51" s="14">
        <f t="shared" si="35"/>
        <v>41.849293714451377</v>
      </c>
      <c r="AL51" s="22">
        <f t="shared" si="4"/>
        <v>359.34082988600289</v>
      </c>
      <c r="AM51" s="62">
        <f t="shared" si="5"/>
        <v>598.47751191506518</v>
      </c>
      <c r="AN51" s="62">
        <f ca="1">AVERAGE(OFFSET($AM$3,0,0,'Données projet'!$E$10+1,1))-AVERAGE(OFFSET($H$3,0,0,'Données projet'!$E$10+1,1))</f>
        <v>468.39960552661171</v>
      </c>
      <c r="AO51" s="62">
        <f t="shared" si="36"/>
        <v>291.1952427029787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1.836280893456032</v>
      </c>
      <c r="AW51" s="23">
        <f>EXP(-LN(2)/2)*AW50+(1-EXP(-LN(2)/2))/(LN(2)/2)*AQ51*AT51*VLOOKUP('Données projet'!$B$10,Paramètres!$A$1:$I$89,3,0)*0.475*44/12</f>
        <v>2.7468795866650384E-2</v>
      </c>
      <c r="AX51" s="23">
        <f t="shared" si="6"/>
        <v>1.8637496893226824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55.219095098835169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7.8</v>
      </c>
      <c r="BD51" s="13">
        <f>IF('Données projet'!$A$88&gt;35,BD50+BC51-BL50,IF(A51&lt;'Données projet'!$A$88,$BA$205^A51,IF(A51='Données projet'!$A$88,'Données projet'!$B$88,BD50+BC51-BL50)))</f>
        <v>193.39999999999995</v>
      </c>
      <c r="BE51" s="14">
        <f>BD51*VLOOKUP('Données projet'!$B$11,Paramètres!$A$1:$I$89,3,0)*VLOOKUP('Données projet'!$B$11,Paramètres!$A$1:$I$89,5,0)</f>
        <v>168.95424</v>
      </c>
      <c r="BF51" s="14">
        <f t="shared" si="37"/>
        <v>42.855724087026708</v>
      </c>
      <c r="BG51" s="22">
        <f t="shared" si="7"/>
        <v>368.90235411823818</v>
      </c>
      <c r="BH51" s="62">
        <f t="shared" si="8"/>
        <v>608.03903614730052</v>
      </c>
      <c r="BI51" s="62">
        <f ca="1">AVERAGE(OFFSET($BH$3,0,0,'Données projet'!$E$11+1,1))-AVERAGE(OFFSET($H$3,0,0,'Données projet'!$E$11+1,1))</f>
        <v>373.50005214669716</v>
      </c>
      <c r="BJ51" s="62">
        <f t="shared" si="38"/>
        <v>383.60460086643036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9.6190195020626295</v>
      </c>
      <c r="BR51" s="23">
        <f>EXP(-LN(2)/2)*BR50+(1-EXP(-LN(2)/2))/(LN(2)/2)*BL51*BO51*VLOOKUP('Données projet'!$B$11,Paramètres!$A$1:$I$89,3,0)*0.475*44/12</f>
        <v>2.9091356690548714E-2</v>
      </c>
      <c r="BS51" s="24">
        <f t="shared" si="9"/>
        <v>9.6481108587531779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55.219095098835169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>
        <f>BY51*VLOOKUP('Données projet'!$B$12,Paramètres!$A$1:$I$89,3,0)*VLOOKUP('Données projet'!$B$12,Paramètres!$A$1:$I$89,5,0)</f>
        <v>0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210.13237351083279</v>
      </c>
      <c r="CE51" s="62">
        <f t="shared" si="40"/>
        <v>423.06475179432277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69.175430016193275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0.51950184373252783</v>
      </c>
      <c r="CN51" s="24">
        <f t="shared" si="12"/>
        <v>69.694931859925802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55.219095098835169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</v>
      </c>
      <c r="CT51" s="13">
        <f>IF('Données projet'!$A$140&gt;35,CT50+CS51-DB50,IF(A51&lt;'Données projet'!$A$140,$CQ$205^A51,IF(A51='Données projet'!$A$140,'Données projet'!$B$140,CT50+CS51-DB50)))</f>
        <v>209.00000000000003</v>
      </c>
      <c r="CU51" s="18">
        <f>CT51*VLOOKUP('Données projet'!$B$13,Paramètres!$A$1:$I$89,3,0)*VLOOKUP('Données projet'!$B$13,Paramètres!$A$1:$I$89,5,0)</f>
        <v>189.10320000000002</v>
      </c>
      <c r="CV51" s="14">
        <f t="shared" si="41"/>
        <v>47.34162854278712</v>
      </c>
      <c r="CW51" s="22">
        <f t="shared" si="13"/>
        <v>411.80807637868764</v>
      </c>
      <c r="CX51" s="62">
        <f t="shared" si="14"/>
        <v>650.94475840774999</v>
      </c>
      <c r="CY51" s="62">
        <f ca="1">AVERAGE(OFFSET($CX$3,0,0,'Données projet'!$E$13+1,1))-AVERAGE(OFFSET($H$3,0,0,'Données projet'!$E$13+1,1))</f>
        <v>493.89660144134291</v>
      </c>
      <c r="CZ51" s="62">
        <f t="shared" si="42"/>
        <v>312.97494624463229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5.5430671645503677</v>
      </c>
      <c r="DH51" s="23">
        <f>EXP(-LN(2)/2)*DH50+(1-EXP(-LN(2)/2))/(LN(2)/2)*DB51*DE51*VLOOKUP('Données projet'!$B$13,Paramètres!$A$1:$I$89,3,0)*0.475*44/12</f>
        <v>2.9120653602651671E-2</v>
      </c>
      <c r="DI51" s="24">
        <f t="shared" si="15"/>
        <v>5.5721878181530196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55.219095098835169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>
        <f>DO51*VLOOKUP('Données projet'!$B$14,Paramètres!$A$1:$I$89,3,0)*VLOOKUP('Données projet'!$B$14,Paramètres!$A$1:$I$89,5,0)</f>
        <v>0</v>
      </c>
      <c r="DQ51" s="14" t="e">
        <f t="shared" si="43"/>
        <v>#NUM!</v>
      </c>
      <c r="DR51" s="22" t="e">
        <f t="shared" si="16"/>
        <v>#NUM!</v>
      </c>
      <c r="DS51" s="62" t="e">
        <f t="shared" si="17"/>
        <v>#NUM!</v>
      </c>
      <c r="DT51" s="62">
        <f ca="1">AVERAGE(OFFSET($DS$3,0,0,'Données projet'!$E$14+1,1))-AVERAGE(OFFSET($H$3,0,0,'Données projet'!$E$14+1,1))</f>
        <v>210.13237351083279</v>
      </c>
      <c r="DU51" s="62">
        <f t="shared" si="44"/>
        <v>423.06475179432277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69.175430016193275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0.51950184373252783</v>
      </c>
      <c r="ED51" s="24">
        <f t="shared" si="18"/>
        <v>69.694931859925802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55.219095098835169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55.219095098835169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55.219095098835169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55.219095098835169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4.5049999999999999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16.518333333333334</v>
      </c>
      <c r="H52" s="70">
        <f t="shared" si="1"/>
        <v>147.64566666666667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55.475510753717543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364</v>
      </c>
      <c r="L52" s="13">
        <f>VLOOKUP(A52,'Données projet'!$A$35:$I$55,9,0)</f>
        <v>7.4285714285714288</v>
      </c>
      <c r="M52" s="13">
        <f t="array" ref="M52">INDEX(L:L,MIN(IF(ISNUMBER(L52:L248),ROW(L52:L248),"")))</f>
        <v>7.4285714285714288</v>
      </c>
      <c r="N52" s="14">
        <f>IF('Données projet'!$A$36&gt;35,N51+M52-V51,IF(A52&lt;'Données projet'!$A$36,$K$205^A52,IF(A52='Données projet'!$A$36,'Données projet'!$B$36,N51+M52-V51)))</f>
        <v>364.00000000000006</v>
      </c>
      <c r="O52" s="14">
        <f>N52*VLOOKUP('Données projet'!$B$9,Paramètres!$A$1:$I$89,3,0)*VLOOKUP('Données projet'!$B$9,Paramètres!$A$1:$I$89,5,0)</f>
        <v>170.35200000000003</v>
      </c>
      <c r="P52" s="14">
        <f t="shared" si="33"/>
        <v>43.168850382694487</v>
      </c>
      <c r="Q52" s="22">
        <f t="shared" si="53"/>
        <v>371.88214774985954</v>
      </c>
      <c r="R52" s="62">
        <f t="shared" si="0"/>
        <v>611.95902051349049</v>
      </c>
      <c r="S52" s="62">
        <f ca="1">AVERAGE(OFFSET($R$3,0,0,'Données projet'!$E$9+1,1))-AVERAGE(OFFSET($H$3,0,0,'Données projet'!$E$9+1,1))</f>
        <v>374.81775021423215</v>
      </c>
      <c r="T52" s="62">
        <f t="shared" si="34"/>
        <v>301.81248585467142</v>
      </c>
      <c r="U52" s="16">
        <f>IF(ISNA(VLOOKUP(A52,'Données projet'!$A$35:$I$55,3,0)),0,VLOOKUP(A52,'Données projet'!$A$35:$I$55,3,0))</f>
        <v>1</v>
      </c>
      <c r="V52" s="16">
        <f>IF(ISNA(VLOOKUP(A52,'Données projet'!$A$35:$I$55,4,0)),0,VLOOKUP(A52,'Données projet'!$A$35:$I$55,4,0))</f>
        <v>105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55.475510753717543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172.98840000000007</v>
      </c>
      <c r="AK52" s="14">
        <f t="shared" si="35"/>
        <v>43.758645457754092</v>
      </c>
      <c r="AL52" s="22">
        <f t="shared" si="4"/>
        <v>377.50110417225511</v>
      </c>
      <c r="AM52" s="62">
        <f t="shared" si="5"/>
        <v>617.57797693588611</v>
      </c>
      <c r="AN52" s="62">
        <f ca="1">AVERAGE(OFFSET($AM$3,0,0,'Données projet'!$E$10+1,1))-AVERAGE(OFFSET($H$3,0,0,'Données projet'!$E$10+1,1))</f>
        <v>468.39960552661171</v>
      </c>
      <c r="AO52" s="62">
        <f t="shared" si="36"/>
        <v>291.1952427029787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1.7860676958586614</v>
      </c>
      <c r="AW52" s="23">
        <f>EXP(-LN(2)/2)*AW51+(1-EXP(-LN(2)/2))/(LN(2)/2)*AQ52*AT52*VLOOKUP('Données projet'!$B$10,Paramètres!$A$1:$I$89,3,0)*0.475*44/12</f>
        <v>1.9423371828337494E-2</v>
      </c>
      <c r="AX52" s="23">
        <f t="shared" si="6"/>
        <v>1.8054910676869989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55.475510753717543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7.8</v>
      </c>
      <c r="BD52" s="13">
        <f>IF('Données projet'!$A$88&gt;35,BD51+BC52-BL51,IF(A52&lt;'Données projet'!$A$88,$BA$205^A52,IF(A52='Données projet'!$A$88,'Données projet'!$B$88,BD51+BC52-BL51)))</f>
        <v>201.19999999999996</v>
      </c>
      <c r="BE52" s="14">
        <f>BD52*VLOOKUP('Données projet'!$B$11,Paramètres!$A$1:$I$89,3,0)*VLOOKUP('Données projet'!$B$11,Paramètres!$A$1:$I$89,5,0)</f>
        <v>175.76831999999999</v>
      </c>
      <c r="BF52" s="14">
        <f t="shared" si="37"/>
        <v>44.379415757690168</v>
      </c>
      <c r="BG52" s="22">
        <f t="shared" si="7"/>
        <v>383.42397311131032</v>
      </c>
      <c r="BH52" s="62">
        <f t="shared" si="8"/>
        <v>623.50084587494132</v>
      </c>
      <c r="BI52" s="62">
        <f ca="1">AVERAGE(OFFSET($BH$3,0,0,'Données projet'!$E$11+1,1))-AVERAGE(OFFSET($H$3,0,0,'Données projet'!$E$11+1,1))</f>
        <v>373.50005214669716</v>
      </c>
      <c r="BJ52" s="62">
        <f t="shared" si="38"/>
        <v>383.60460086643036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9.3559869079364759</v>
      </c>
      <c r="BR52" s="23">
        <f>EXP(-LN(2)/2)*BR51+(1-EXP(-LN(2)/2))/(LN(2)/2)*BL52*BO52*VLOOKUP('Données projet'!$B$11,Paramètres!$A$1:$I$89,3,0)*0.475*44/12</f>
        <v>2.0570695589803636E-2</v>
      </c>
      <c r="BS52" s="24">
        <f t="shared" si="9"/>
        <v>9.3765576035262796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55.475510753717543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>
        <f>BY52*VLOOKUP('Données projet'!$B$12,Paramètres!$A$1:$I$89,3,0)*VLOOKUP('Données projet'!$B$12,Paramètres!$A$1:$I$89,5,0)</f>
        <v>0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210.13237351083279</v>
      </c>
      <c r="CE52" s="62">
        <f t="shared" si="40"/>
        <v>423.06475179432277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67.818942026421837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0.36734327654218457</v>
      </c>
      <c r="CN52" s="24">
        <f t="shared" si="12"/>
        <v>68.186285302964023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55.475510753717543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</v>
      </c>
      <c r="CT52" s="13">
        <f>IF('Données projet'!$A$140&gt;35,CT51+CS52-DB51,IF(A52&lt;'Données projet'!$A$140,$CQ$205^A52,IF(A52='Données projet'!$A$140,'Données projet'!$B$140,CT51+CS52-DB51)))</f>
        <v>220.00000000000003</v>
      </c>
      <c r="CU52" s="18">
        <f>CT52*VLOOKUP('Données projet'!$B$13,Paramètres!$A$1:$I$89,3,0)*VLOOKUP('Données projet'!$B$13,Paramètres!$A$1:$I$89,5,0)</f>
        <v>199.05600000000001</v>
      </c>
      <c r="CV52" s="14">
        <f t="shared" si="41"/>
        <v>49.536648006253934</v>
      </c>
      <c r="CW52" s="22">
        <f t="shared" si="13"/>
        <v>432.96552861089231</v>
      </c>
      <c r="CX52" s="62">
        <f t="shared" si="14"/>
        <v>673.04240137452325</v>
      </c>
      <c r="CY52" s="62">
        <f ca="1">AVERAGE(OFFSET($CX$3,0,0,'Données projet'!$E$13+1,1))-AVERAGE(OFFSET($H$3,0,0,'Données projet'!$E$13+1,1))</f>
        <v>493.89660144134291</v>
      </c>
      <c r="CZ52" s="62">
        <f t="shared" si="42"/>
        <v>312.97494624463229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5.3914917014385049</v>
      </c>
      <c r="DH52" s="23">
        <f>EXP(-LN(2)/2)*DH51+(1-EXP(-LN(2)/2))/(LN(2)/2)*DB52*DE52*VLOOKUP('Données projet'!$B$13,Paramètres!$A$1:$I$89,3,0)*0.475*44/12</f>
        <v>2.0591411635019465E-2</v>
      </c>
      <c r="DI52" s="24">
        <f t="shared" si="15"/>
        <v>5.4120831130735247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55.475510753717543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>
        <f>DO52*VLOOKUP('Données projet'!$B$14,Paramètres!$A$1:$I$89,3,0)*VLOOKUP('Données projet'!$B$14,Paramètres!$A$1:$I$89,5,0)</f>
        <v>0</v>
      </c>
      <c r="DQ52" s="14" t="e">
        <f t="shared" si="43"/>
        <v>#NUM!</v>
      </c>
      <c r="DR52" s="22" t="e">
        <f t="shared" si="16"/>
        <v>#NUM!</v>
      </c>
      <c r="DS52" s="62" t="e">
        <f t="shared" si="17"/>
        <v>#NUM!</v>
      </c>
      <c r="DT52" s="62">
        <f ca="1">AVERAGE(OFFSET($DS$3,0,0,'Données projet'!$E$14+1,1))-AVERAGE(OFFSET($H$3,0,0,'Données projet'!$E$14+1,1))</f>
        <v>210.13237351083279</v>
      </c>
      <c r="DU52" s="62">
        <f t="shared" si="44"/>
        <v>423.06475179432277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67.818942026421837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0.36734327654218457</v>
      </c>
      <c r="ED52" s="24">
        <f t="shared" si="18"/>
        <v>68.186285302964023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55.475510753717543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55.475510753717543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55.475510753717543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55.475510753717543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4.5049999999999999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16.518333333333334</v>
      </c>
      <c r="H53" s="70">
        <f t="shared" si="1"/>
        <v>147.64566666666667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55.727478170247231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16</v>
      </c>
      <c r="N53" s="14">
        <f>IF('Données projet'!$A$36&gt;35,N52+M53-V52,IF(A53&lt;'Données projet'!$A$36,$K$205^A53,IF(A53='Données projet'!$A$36,'Données projet'!$B$36,N52+M53-V52)))</f>
        <v>275.00000000000006</v>
      </c>
      <c r="O53" s="14">
        <f>N53*VLOOKUP('Données projet'!$B$9,Paramètres!$A$1:$I$89,3,0)*VLOOKUP('Données projet'!$B$9,Paramètres!$A$1:$I$89,5,0)</f>
        <v>128.70000000000002</v>
      </c>
      <c r="P53" s="14">
        <f t="shared" si="33"/>
        <v>33.695792019186115</v>
      </c>
      <c r="Q53" s="22">
        <f t="shared" si="53"/>
        <v>282.83933776674917</v>
      </c>
      <c r="R53" s="62">
        <f t="shared" si="0"/>
        <v>523.84009105765563</v>
      </c>
      <c r="S53" s="62">
        <f ca="1">AVERAGE(OFFSET($R$3,0,0,'Données projet'!$E$9+1,1))-AVERAGE(OFFSET($H$3,0,0,'Données projet'!$E$9+1,1))</f>
        <v>374.81775021423215</v>
      </c>
      <c r="T53" s="62">
        <f t="shared" si="34"/>
        <v>301.81248585467142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55.727478170247231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181.50600000000006</v>
      </c>
      <c r="AK53" s="14">
        <f t="shared" si="35"/>
        <v>45.657080773122978</v>
      </c>
      <c r="AL53" s="22">
        <f t="shared" si="4"/>
        <v>395.64236567985591</v>
      </c>
      <c r="AM53" s="62">
        <f t="shared" si="5"/>
        <v>636.64311897076243</v>
      </c>
      <c r="AN53" s="62">
        <f ca="1">AVERAGE(OFFSET($AM$3,0,0,'Données projet'!$E$10+1,1))-AVERAGE(OFFSET($H$3,0,0,'Données projet'!$E$10+1,1))</f>
        <v>468.39960552661171</v>
      </c>
      <c r="AO53" s="62">
        <f t="shared" si="36"/>
        <v>291.1952427029787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1.7372275807901882</v>
      </c>
      <c r="AW53" s="23">
        <f>EXP(-LN(2)/2)*AW52+(1-EXP(-LN(2)/2))/(LN(2)/2)*AQ53*AT53*VLOOKUP('Données projet'!$B$10,Paramètres!$A$1:$I$89,3,0)*0.475*44/12</f>
        <v>1.3734397933325192E-2</v>
      </c>
      <c r="AX53" s="23">
        <f t="shared" si="6"/>
        <v>1.7509619787235133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55.727478170247231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209</v>
      </c>
      <c r="BB53" s="13">
        <f>VLOOKUP(A53,'Données projet'!$A$87:$I$107,9,0)</f>
        <v>7.8</v>
      </c>
      <c r="BC53" s="13">
        <f t="array" ref="BC53">INDEX(BB:BB,MIN(IF(ISNUMBER(BB53:BB249),ROW(BB53:BB249),"")))</f>
        <v>7.8</v>
      </c>
      <c r="BD53" s="13">
        <f>IF('Données projet'!$A$88&gt;35,BD52+BC53-BL52,IF(A53&lt;'Données projet'!$A$88,$BA$205^A53,IF(A53='Données projet'!$A$88,'Données projet'!$B$88,BD52+BC53-BL52)))</f>
        <v>208.99999999999997</v>
      </c>
      <c r="BE53" s="14">
        <f>BD53*VLOOKUP('Données projet'!$B$11,Paramètres!$A$1:$I$89,3,0)*VLOOKUP('Données projet'!$B$11,Paramètres!$A$1:$I$89,5,0)</f>
        <v>182.58240000000001</v>
      </c>
      <c r="BF53" s="14">
        <f t="shared" si="37"/>
        <v>45.896245406460288</v>
      </c>
      <c r="BG53" s="22">
        <f t="shared" si="7"/>
        <v>397.93364074958498</v>
      </c>
      <c r="BH53" s="62">
        <f t="shared" si="8"/>
        <v>638.9343940404915</v>
      </c>
      <c r="BI53" s="62">
        <f ca="1">AVERAGE(OFFSET($BH$3,0,0,'Données projet'!$E$11+1,1))-AVERAGE(OFFSET($H$3,0,0,'Données projet'!$E$11+1,1))</f>
        <v>373.50005214669716</v>
      </c>
      <c r="BJ53" s="62">
        <f t="shared" si="38"/>
        <v>383.60460086643036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9.1001469539289843</v>
      </c>
      <c r="BR53" s="23">
        <f>EXP(-LN(2)/2)*BR52+(1-EXP(-LN(2)/2))/(LN(2)/2)*BL53*BO53*VLOOKUP('Données projet'!$B$11,Paramètres!$A$1:$I$89,3,0)*0.475*44/12</f>
        <v>1.4545678345274359E-2</v>
      </c>
      <c r="BS53" s="24">
        <f t="shared" si="9"/>
        <v>9.1146926322742594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55.727478170247231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>
        <f>BY53*VLOOKUP('Données projet'!$B$12,Paramètres!$A$1:$I$89,3,0)*VLOOKUP('Données projet'!$B$12,Paramètres!$A$1:$I$89,5,0)</f>
        <v>0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210.13237351083279</v>
      </c>
      <c r="CE53" s="62">
        <f t="shared" si="40"/>
        <v>423.06475179432277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66.489053938753841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0.25975092186626392</v>
      </c>
      <c r="CN53" s="24">
        <f t="shared" si="12"/>
        <v>66.748804860620112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55.727478170247231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231</v>
      </c>
      <c r="CR53" s="13">
        <f>VLOOKUP(A53,'Données projet'!$A$139:$I$159,9,0)</f>
        <v>11</v>
      </c>
      <c r="CS53" s="13">
        <f t="array" ref="CS53">INDEX(CR:CR,MIN(IF(ISNUMBER(CR53:CR249),ROW(CR53:CR249),"")))</f>
        <v>11</v>
      </c>
      <c r="CT53" s="13">
        <f>IF('Données projet'!$A$140&gt;35,CT52+CS53-DB52,IF(A53&lt;'Données projet'!$A$140,$CQ$205^A53,IF(A53='Données projet'!$A$140,'Données projet'!$B$140,CT52+CS53-DB52)))</f>
        <v>231.00000000000003</v>
      </c>
      <c r="CU53" s="18">
        <f>CT53*VLOOKUP('Données projet'!$B$13,Paramètres!$A$1:$I$89,3,0)*VLOOKUP('Données projet'!$B$13,Paramètres!$A$1:$I$89,5,0)</f>
        <v>209.00880000000004</v>
      </c>
      <c r="CV53" s="14">
        <f t="shared" si="41"/>
        <v>51.718923953824252</v>
      </c>
      <c r="CW53" s="22">
        <f t="shared" si="13"/>
        <v>454.10078588624395</v>
      </c>
      <c r="CX53" s="62">
        <f t="shared" si="14"/>
        <v>695.10153917715047</v>
      </c>
      <c r="CY53" s="62">
        <f ca="1">AVERAGE(OFFSET($CX$3,0,0,'Données projet'!$E$13+1,1))-AVERAGE(OFFSET($H$3,0,0,'Données projet'!$E$13+1,1))</f>
        <v>493.89660144134291</v>
      </c>
      <c r="CZ53" s="62">
        <f t="shared" si="42"/>
        <v>312.97494624463229</v>
      </c>
      <c r="DA53" s="16">
        <f>IF(ISNA(VLOOKUP(A53,'Données projet'!$A$139:$I$159,3,0)),0,VLOOKUP(A53,'Données projet'!$A$139:$I$159,3,0))</f>
        <v>7</v>
      </c>
      <c r="DB53" s="16">
        <f>IF(ISNA(VLOOKUP(A53,'Données projet'!$A$139:$I$159,4,0)),0,VLOOKUP(A53,'Données projet'!$A$139:$I$159,4,0))</f>
        <v>28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5.2440610773364424</v>
      </c>
      <c r="DH53" s="23">
        <f>EXP(-LN(2)/2)*DH52+(1-EXP(-LN(2)/2))/(LN(2)/2)*DB53*DE53*VLOOKUP('Données projet'!$B$13,Paramètres!$A$1:$I$89,3,0)*0.475*44/12</f>
        <v>1.4560326801325837E-2</v>
      </c>
      <c r="DI53" s="24">
        <f t="shared" si="15"/>
        <v>5.2586214041377684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55.727478170247231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>
        <f>DO53*VLOOKUP('Données projet'!$B$14,Paramètres!$A$1:$I$89,3,0)*VLOOKUP('Données projet'!$B$14,Paramètres!$A$1:$I$89,5,0)</f>
        <v>0</v>
      </c>
      <c r="DQ53" s="14" t="e">
        <f t="shared" si="43"/>
        <v>#NUM!</v>
      </c>
      <c r="DR53" s="22" t="e">
        <f t="shared" si="16"/>
        <v>#NUM!</v>
      </c>
      <c r="DS53" s="62" t="e">
        <f t="shared" si="17"/>
        <v>#NUM!</v>
      </c>
      <c r="DT53" s="62">
        <f ca="1">AVERAGE(OFFSET($DS$3,0,0,'Données projet'!$E$14+1,1))-AVERAGE(OFFSET($H$3,0,0,'Données projet'!$E$14+1,1))</f>
        <v>210.13237351083279</v>
      </c>
      <c r="DU53" s="62">
        <f t="shared" si="44"/>
        <v>423.06475179432277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66.489053938753841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0.25975092186626392</v>
      </c>
      <c r="ED53" s="24">
        <f t="shared" si="18"/>
        <v>66.748804860620112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55.727478170247231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55.727478170247231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55.727478170247231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55.727478170247231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4.5049999999999999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16.518333333333334</v>
      </c>
      <c r="H54" s="70">
        <f t="shared" si="1"/>
        <v>147.64566666666667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55.975074515414882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16</v>
      </c>
      <c r="N54" s="14">
        <f>IF('Données projet'!$A$36&gt;35,N53+M54-V53,IF(A54&lt;'Données projet'!$A$36,$K$205^A54,IF(A54='Données projet'!$A$36,'Données projet'!$B$36,N53+M54-V53)))</f>
        <v>291.00000000000006</v>
      </c>
      <c r="O54" s="14">
        <f>N54*VLOOKUP('Données projet'!$B$9,Paramètres!$A$1:$I$89,3,0)*VLOOKUP('Données projet'!$B$9,Paramètres!$A$1:$I$89,5,0)</f>
        <v>136.18800000000002</v>
      </c>
      <c r="P54" s="14">
        <f t="shared" si="33"/>
        <v>35.42233171450318</v>
      </c>
      <c r="Q54" s="22">
        <f t="shared" si="53"/>
        <v>298.88799440275972</v>
      </c>
      <c r="R54" s="62">
        <f t="shared" si="0"/>
        <v>540.79660095928102</v>
      </c>
      <c r="S54" s="62">
        <f ca="1">AVERAGE(OFFSET($R$3,0,0,'Données projet'!$E$9+1,1))-AVERAGE(OFFSET($H$3,0,0,'Données projet'!$E$9+1,1))</f>
        <v>374.81775021423215</v>
      </c>
      <c r="T54" s="62">
        <f t="shared" si="34"/>
        <v>301.81248585467142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55.975074515414882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168.32400000000007</v>
      </c>
      <c r="AK54" s="14">
        <f t="shared" si="35"/>
        <v>42.71443916408608</v>
      </c>
      <c r="AL54" s="22">
        <f t="shared" si="4"/>
        <v>367.55861487745005</v>
      </c>
      <c r="AM54" s="62">
        <f t="shared" si="5"/>
        <v>609.4672214339713</v>
      </c>
      <c r="AN54" s="62">
        <f ca="1">AVERAGE(OFFSET($AM$3,0,0,'Données projet'!$E$10+1,1))-AVERAGE(OFFSET($H$3,0,0,'Données projet'!$E$10+1,1))</f>
        <v>468.39960552661171</v>
      </c>
      <c r="AO54" s="62">
        <f t="shared" si="36"/>
        <v>291.1952427029787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1.6897230012366526</v>
      </c>
      <c r="AW54" s="23">
        <f>EXP(-LN(2)/2)*AW53+(1-EXP(-LN(2)/2))/(LN(2)/2)*AQ54*AT54*VLOOKUP('Données projet'!$B$10,Paramètres!$A$1:$I$89,3,0)*0.475*44/12</f>
        <v>9.7116859141687471E-3</v>
      </c>
      <c r="AX54" s="23">
        <f t="shared" si="6"/>
        <v>1.6994346871508215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55.975074515414882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6.8</v>
      </c>
      <c r="BD54" s="13">
        <f>IF('Données projet'!$A$88&gt;35,BD53+BC54-BL53,IF(A54&lt;'Données projet'!$A$88,$BA$205^A54,IF(A54='Données projet'!$A$88,'Données projet'!$B$88,BD53+BC54-BL53)))</f>
        <v>187.79999999999998</v>
      </c>
      <c r="BE54" s="14">
        <f>BD54*VLOOKUP('Données projet'!$B$11,Paramètres!$A$1:$I$89,3,0)*VLOOKUP('Données projet'!$B$11,Paramètres!$A$1:$I$89,5,0)</f>
        <v>164.06208000000001</v>
      </c>
      <c r="BF54" s="14">
        <f t="shared" si="37"/>
        <v>41.75738773013461</v>
      </c>
      <c r="BG54" s="22">
        <f t="shared" si="7"/>
        <v>358.46890629665108</v>
      </c>
      <c r="BH54" s="62">
        <f t="shared" si="8"/>
        <v>600.37751285317233</v>
      </c>
      <c r="BI54" s="62">
        <f ca="1">AVERAGE(OFFSET($BH$3,0,0,'Données projet'!$E$11+1,1))-AVERAGE(OFFSET($H$3,0,0,'Données projet'!$E$11+1,1))</f>
        <v>373.50005214669716</v>
      </c>
      <c r="BJ54" s="62">
        <f t="shared" si="38"/>
        <v>383.60460086643036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8.8513029569178663</v>
      </c>
      <c r="BR54" s="23">
        <f>EXP(-LN(2)/2)*BR53+(1-EXP(-LN(2)/2))/(LN(2)/2)*BL54*BO54*VLOOKUP('Données projet'!$B$11,Paramètres!$A$1:$I$89,3,0)*0.475*44/12</f>
        <v>1.028534779490182E-2</v>
      </c>
      <c r="BS54" s="24">
        <f t="shared" si="9"/>
        <v>8.8615883047127681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55.975074515414882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projet'!$B$12,Paramètres!$A$1:$I$89,3,0)*VLOOKUP('Données projet'!$B$12,Paramètres!$A$1:$I$89,5,0)</f>
        <v>0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210.13237351083279</v>
      </c>
      <c r="CE54" s="62">
        <f t="shared" si="40"/>
        <v>423.06475179432277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65.185244145333371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0.18367163827109229</v>
      </c>
      <c r="CN54" s="24">
        <f t="shared" si="12"/>
        <v>65.368915783604464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55.975074515414882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10.199999999999999</v>
      </c>
      <c r="CT54" s="13">
        <f>IF('Données projet'!$A$140&gt;35,CT53+CS54-DB53,IF(A54&lt;'Données projet'!$A$140,$CQ$205^A54,IF(A54='Données projet'!$A$140,'Données projet'!$B$140,CT53+CS54-DB53)))</f>
        <v>213.20000000000002</v>
      </c>
      <c r="CU54" s="18">
        <f>CT54*VLOOKUP('Données projet'!$B$13,Paramètres!$A$1:$I$89,3,0)*VLOOKUP('Données projet'!$B$13,Paramètres!$A$1:$I$89,5,0)</f>
        <v>192.90336000000002</v>
      </c>
      <c r="CV54" s="14">
        <f t="shared" si="41"/>
        <v>48.181276881765257</v>
      </c>
      <c r="CW54" s="22">
        <f t="shared" si="13"/>
        <v>419.88907590240791</v>
      </c>
      <c r="CX54" s="62">
        <f t="shared" si="14"/>
        <v>661.7976824589291</v>
      </c>
      <c r="CY54" s="62">
        <f ca="1">AVERAGE(OFFSET($CX$3,0,0,'Données projet'!$E$13+1,1))-AVERAGE(OFFSET($H$3,0,0,'Données projet'!$E$13+1,1))</f>
        <v>493.89660144134291</v>
      </c>
      <c r="CZ54" s="62">
        <f t="shared" si="42"/>
        <v>312.97494624463229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5.1006619514034908</v>
      </c>
      <c r="DH54" s="23">
        <f>EXP(-LN(2)/2)*DH53+(1-EXP(-LN(2)/2))/(LN(2)/2)*DB54*DE54*VLOOKUP('Données projet'!$B$13,Paramètres!$A$1:$I$89,3,0)*0.475*44/12</f>
        <v>1.0295705817509732E-2</v>
      </c>
      <c r="DI54" s="24">
        <f t="shared" si="15"/>
        <v>5.1109576572210003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55.975074515414882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>
        <f>DO54*VLOOKUP('Données projet'!$B$14,Paramètres!$A$1:$I$89,3,0)*VLOOKUP('Données projet'!$B$14,Paramètres!$A$1:$I$89,5,0)</f>
        <v>0</v>
      </c>
      <c r="DQ54" s="14" t="e">
        <f t="shared" si="43"/>
        <v>#NUM!</v>
      </c>
      <c r="DR54" s="22" t="e">
        <f t="shared" si="16"/>
        <v>#NUM!</v>
      </c>
      <c r="DS54" s="62" t="e">
        <f t="shared" si="17"/>
        <v>#NUM!</v>
      </c>
      <c r="DT54" s="62">
        <f ca="1">AVERAGE(OFFSET($DS$3,0,0,'Données projet'!$E$14+1,1))-AVERAGE(OFFSET($H$3,0,0,'Données projet'!$E$14+1,1))</f>
        <v>210.13237351083279</v>
      </c>
      <c r="DU54" s="62">
        <f t="shared" si="44"/>
        <v>423.06475179432277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65.185244145333371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0.18367163827109229</v>
      </c>
      <c r="ED54" s="24">
        <f t="shared" si="18"/>
        <v>65.368915783604464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55.975074515414882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55.975074515414882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55.975074515414882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55.975074515414882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4.5049999999999999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16.518333333333334</v>
      </c>
      <c r="H55" s="70">
        <f t="shared" si="1"/>
        <v>147.64566666666667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56.218375617536374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16</v>
      </c>
      <c r="N55" s="14">
        <f>IF('Données projet'!$A$36&gt;35,N54+M55-V54,IF(A55&lt;'Données projet'!$A$36,$K$205^A55,IF(A55='Données projet'!$A$36,'Données projet'!$B$36,N54+M55-V54)))</f>
        <v>307.00000000000006</v>
      </c>
      <c r="O55" s="14">
        <f>N55*VLOOKUP('Données projet'!$B$9,Paramètres!$A$1:$I$89,3,0)*VLOOKUP('Données projet'!$B$9,Paramètres!$A$1:$I$89,5,0)</f>
        <v>143.67600000000002</v>
      </c>
      <c r="P55" s="14">
        <f t="shared" si="33"/>
        <v>37.137850978646654</v>
      </c>
      <c r="Q55" s="22">
        <f t="shared" si="53"/>
        <v>314.91745712114295</v>
      </c>
      <c r="R55" s="62">
        <f t="shared" si="0"/>
        <v>557.71816771877627</v>
      </c>
      <c r="S55" s="62">
        <f ca="1">AVERAGE(OFFSET($R$3,0,0,'Données projet'!$E$9+1,1))-AVERAGE(OFFSET($H$3,0,0,'Données projet'!$E$9+1,1))</f>
        <v>374.81775021423215</v>
      </c>
      <c r="T55" s="62">
        <f t="shared" si="34"/>
        <v>301.81248585467142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56.218375617536374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176.43600000000006</v>
      </c>
      <c r="AK55" s="14">
        <f t="shared" si="35"/>
        <v>44.528341291050616</v>
      </c>
      <c r="AL55" s="22">
        <f t="shared" si="4"/>
        <v>384.84622774857991</v>
      </c>
      <c r="AM55" s="62">
        <f t="shared" si="5"/>
        <v>627.64693834621323</v>
      </c>
      <c r="AN55" s="62">
        <f ca="1">AVERAGE(OFFSET($AM$3,0,0,'Données projet'!$E$10+1,1))-AVERAGE(OFFSET($H$3,0,0,'Données projet'!$E$10+1,1))</f>
        <v>468.39960552661171</v>
      </c>
      <c r="AO55" s="62">
        <f t="shared" si="36"/>
        <v>291.1952427029787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1.6435174369091656</v>
      </c>
      <c r="AW55" s="23">
        <f>EXP(-LN(2)/2)*AW54+(1-EXP(-LN(2)/2))/(LN(2)/2)*AQ55*AT55*VLOOKUP('Données projet'!$B$10,Paramètres!$A$1:$I$89,3,0)*0.475*44/12</f>
        <v>6.867198966662596E-3</v>
      </c>
      <c r="AX55" s="23">
        <f t="shared" si="6"/>
        <v>1.6503846358758283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56.218375617536374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6.8</v>
      </c>
      <c r="BD55" s="13">
        <f>IF('Données projet'!$A$88&gt;35,BD54+BC55-BL54,IF(A55&lt;'Données projet'!$A$88,$BA$205^A55,IF(A55='Données projet'!$A$88,'Données projet'!$B$88,BD54+BC55-BL54)))</f>
        <v>194.6</v>
      </c>
      <c r="BE55" s="14">
        <f>BD55*VLOOKUP('Données projet'!$B$11,Paramètres!$A$1:$I$89,3,0)*VLOOKUP('Données projet'!$B$11,Paramètres!$A$1:$I$89,5,0)</f>
        <v>170.00256000000002</v>
      </c>
      <c r="BF55" s="14">
        <f t="shared" si="37"/>
        <v>43.090596939649579</v>
      </c>
      <c r="BG55" s="22">
        <f t="shared" si="7"/>
        <v>371.1372483365563</v>
      </c>
      <c r="BH55" s="62">
        <f t="shared" si="8"/>
        <v>613.93795893418962</v>
      </c>
      <c r="BI55" s="62">
        <f ca="1">AVERAGE(OFFSET($BH$3,0,0,'Données projet'!$E$11+1,1))-AVERAGE(OFFSET($H$3,0,0,'Données projet'!$E$11+1,1))</f>
        <v>373.50005214669716</v>
      </c>
      <c r="BJ55" s="62">
        <f t="shared" si="38"/>
        <v>383.60460086643036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8.609263612091155</v>
      </c>
      <c r="BR55" s="23">
        <f>EXP(-LN(2)/2)*BR54+(1-EXP(-LN(2)/2))/(LN(2)/2)*BL55*BO55*VLOOKUP('Données projet'!$B$11,Paramètres!$A$1:$I$89,3,0)*0.475*44/12</f>
        <v>7.2728391726371812E-3</v>
      </c>
      <c r="BS55" s="24">
        <f t="shared" si="9"/>
        <v>8.6165364512637925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56.218375617536374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projet'!$B$12,Paramètres!$A$1:$I$89,3,0)*VLOOKUP('Données projet'!$B$12,Paramètres!$A$1:$I$89,5,0)</f>
        <v>0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210.13237351083279</v>
      </c>
      <c r="CE55" s="62">
        <f t="shared" si="40"/>
        <v>423.06475179432277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63.907001266716428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0.12987546093313196</v>
      </c>
      <c r="CN55" s="24">
        <f t="shared" si="12"/>
        <v>64.036876727649556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56.218375617536374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10.199999999999999</v>
      </c>
      <c r="CT55" s="13">
        <f>IF('Données projet'!$A$140&gt;35,CT54+CS55-DB54,IF(A55&lt;'Données projet'!$A$140,$CQ$205^A55,IF(A55='Données projet'!$A$140,'Données projet'!$B$140,CT54+CS55-DB54)))</f>
        <v>223.4</v>
      </c>
      <c r="CU55" s="18">
        <f>CT55*VLOOKUP('Données projet'!$B$13,Paramètres!$A$1:$I$89,3,0)*VLOOKUP('Données projet'!$B$13,Paramètres!$A$1:$I$89,5,0)</f>
        <v>202.13232000000002</v>
      </c>
      <c r="CV55" s="14">
        <f t="shared" si="41"/>
        <v>50.212497488959627</v>
      </c>
      <c r="CW55" s="22">
        <f t="shared" si="13"/>
        <v>439.50055712660469</v>
      </c>
      <c r="CX55" s="62">
        <f t="shared" si="14"/>
        <v>682.30126772423807</v>
      </c>
      <c r="CY55" s="62">
        <f ca="1">AVERAGE(OFFSET($CX$3,0,0,'Données projet'!$E$13+1,1))-AVERAGE(OFFSET($H$3,0,0,'Données projet'!$E$13+1,1))</f>
        <v>493.89660144134291</v>
      </c>
      <c r="CZ55" s="62">
        <f t="shared" si="42"/>
        <v>312.97494624463229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4.9611840821102078</v>
      </c>
      <c r="DH55" s="23">
        <f>EXP(-LN(2)/2)*DH54+(1-EXP(-LN(2)/2))/(LN(2)/2)*DB55*DE55*VLOOKUP('Données projet'!$B$13,Paramètres!$A$1:$I$89,3,0)*0.475*44/12</f>
        <v>7.2801634006629187E-3</v>
      </c>
      <c r="DI55" s="24">
        <f t="shared" si="15"/>
        <v>4.9684642455108703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56.218375617536374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>
        <f>DO55*VLOOKUP('Données projet'!$B$14,Paramètres!$A$1:$I$89,3,0)*VLOOKUP('Données projet'!$B$14,Paramètres!$A$1:$I$89,5,0)</f>
        <v>0</v>
      </c>
      <c r="DQ55" s="14" t="e">
        <f t="shared" si="43"/>
        <v>#NUM!</v>
      </c>
      <c r="DR55" s="22" t="e">
        <f t="shared" si="16"/>
        <v>#NUM!</v>
      </c>
      <c r="DS55" s="62" t="e">
        <f t="shared" si="17"/>
        <v>#NUM!</v>
      </c>
      <c r="DT55" s="62">
        <f ca="1">AVERAGE(OFFSET($DS$3,0,0,'Données projet'!$E$14+1,1))-AVERAGE(OFFSET($H$3,0,0,'Données projet'!$E$14+1,1))</f>
        <v>210.13237351083279</v>
      </c>
      <c r="DU55" s="62">
        <f t="shared" si="44"/>
        <v>423.06475179432277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63.907001266716428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0.12987546093313196</v>
      </c>
      <c r="ED55" s="24">
        <f t="shared" si="18"/>
        <v>64.036876727649556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56.218375617536374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56.218375617536374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56.218375617536374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56.218375617536374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4.5049999999999999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16.518333333333334</v>
      </c>
      <c r="H56" s="70">
        <f t="shared" si="1"/>
        <v>147.64566666666667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56.457455989475832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16</v>
      </c>
      <c r="N56" s="14">
        <f>IF('Données projet'!$A$36&gt;35,N55+M56-V55,IF(A56&lt;'Données projet'!$A$36,$K$205^A56,IF(A56='Données projet'!$A$36,'Données projet'!$B$36,N55+M56-V55)))</f>
        <v>323.00000000000006</v>
      </c>
      <c r="O56" s="14">
        <f>N56*VLOOKUP('Données projet'!$B$9,Paramètres!$A$1:$I$89,3,0)*VLOOKUP('Données projet'!$B$9,Paramètres!$A$1:$I$89,5,0)</f>
        <v>151.16400000000002</v>
      </c>
      <c r="P56" s="14">
        <f t="shared" si="33"/>
        <v>38.84298967415998</v>
      </c>
      <c r="Q56" s="22">
        <f t="shared" si="53"/>
        <v>330.92884034916193</v>
      </c>
      <c r="R56" s="62">
        <f t="shared" si="0"/>
        <v>574.60617897724001</v>
      </c>
      <c r="S56" s="62">
        <f ca="1">AVERAGE(OFFSET($R$3,0,0,'Données projet'!$E$9+1,1))-AVERAGE(OFFSET($H$3,0,0,'Données projet'!$E$9+1,1))</f>
        <v>374.81775021423215</v>
      </c>
      <c r="T56" s="62">
        <f t="shared" si="34"/>
        <v>301.81248585467142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56.457455989475832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184.54800000000006</v>
      </c>
      <c r="AK56" s="14">
        <f t="shared" si="35"/>
        <v>46.332558240871698</v>
      </c>
      <c r="AL56" s="22">
        <f t="shared" si="4"/>
        <v>402.11697226951833</v>
      </c>
      <c r="AM56" s="62">
        <f t="shared" si="5"/>
        <v>645.79431089759635</v>
      </c>
      <c r="AN56" s="62">
        <f ca="1">AVERAGE(OFFSET($AM$3,0,0,'Données projet'!$E$10+1,1))-AVERAGE(OFFSET($H$3,0,0,'Données projet'!$E$10+1,1))</f>
        <v>468.39960552661171</v>
      </c>
      <c r="AO56" s="62">
        <f t="shared" si="36"/>
        <v>291.1952427029787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1.5985753661680588</v>
      </c>
      <c r="AW56" s="23">
        <f>EXP(-LN(2)/2)*AW55+(1-EXP(-LN(2)/2))/(LN(2)/2)*AQ56*AT56*VLOOKUP('Données projet'!$B$10,Paramètres!$A$1:$I$89,3,0)*0.475*44/12</f>
        <v>4.8558429570843735E-3</v>
      </c>
      <c r="AX56" s="23">
        <f t="shared" si="6"/>
        <v>1.6034312091251433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56.457455989475832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6.8</v>
      </c>
      <c r="BD56" s="13">
        <f>IF('Données projet'!$A$88&gt;35,BD55+BC56-BL55,IF(A56&lt;'Données projet'!$A$88,$BA$205^A56,IF(A56='Données projet'!$A$88,'Données projet'!$B$88,BD55+BC56-BL55)))</f>
        <v>201.4</v>
      </c>
      <c r="BE56" s="14">
        <f>BD56*VLOOKUP('Données projet'!$B$11,Paramètres!$A$1:$I$89,3,0)*VLOOKUP('Données projet'!$B$11,Paramètres!$A$1:$I$89,5,0)</f>
        <v>175.94304000000002</v>
      </c>
      <c r="BF56" s="14">
        <f t="shared" si="37"/>
        <v>44.418393276556458</v>
      </c>
      <c r="BG56" s="22">
        <f t="shared" si="7"/>
        <v>383.79616295666915</v>
      </c>
      <c r="BH56" s="62">
        <f t="shared" si="8"/>
        <v>627.47350158474717</v>
      </c>
      <c r="BI56" s="62">
        <f ca="1">AVERAGE(OFFSET($BH$3,0,0,'Données projet'!$E$11+1,1))-AVERAGE(OFFSET($H$3,0,0,'Données projet'!$E$11+1,1))</f>
        <v>373.50005214669716</v>
      </c>
      <c r="BJ56" s="62">
        <f t="shared" si="38"/>
        <v>383.60460086643036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8.3738428458770251</v>
      </c>
      <c r="BR56" s="23">
        <f>EXP(-LN(2)/2)*BR55+(1-EXP(-LN(2)/2))/(LN(2)/2)*BL56*BO56*VLOOKUP('Données projet'!$B$11,Paramètres!$A$1:$I$89,3,0)*0.475*44/12</f>
        <v>5.1426738974509108E-3</v>
      </c>
      <c r="BS56" s="24">
        <f t="shared" si="9"/>
        <v>8.378985519774476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56.457455989475832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projet'!$B$12,Paramètres!$A$1:$I$89,3,0)*VLOOKUP('Données projet'!$B$12,Paramètres!$A$1:$I$89,5,0)</f>
        <v>0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210.13237351083279</v>
      </c>
      <c r="CE56" s="62">
        <f t="shared" si="40"/>
        <v>423.06475179432277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62.653823951297994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9.1835819135546143E-2</v>
      </c>
      <c r="CN56" s="24">
        <f t="shared" si="12"/>
        <v>62.745659770433541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56.457455989475832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10.199999999999999</v>
      </c>
      <c r="CT56" s="13">
        <f>IF('Données projet'!$A$140&gt;35,CT55+CS56-DB55,IF(A56&lt;'Données projet'!$A$140,$CQ$205^A56,IF(A56='Données projet'!$A$140,'Données projet'!$B$140,CT55+CS56-DB55)))</f>
        <v>233.6</v>
      </c>
      <c r="CU56" s="18">
        <f>CT56*VLOOKUP('Données projet'!$B$13,Paramètres!$A$1:$I$89,3,0)*VLOOKUP('Données projet'!$B$13,Paramètres!$A$1:$I$89,5,0)</f>
        <v>211.36127999999999</v>
      </c>
      <c r="CV56" s="14">
        <f t="shared" si="41"/>
        <v>52.232947669705631</v>
      </c>
      <c r="CW56" s="22">
        <f t="shared" si="13"/>
        <v>459.09327985807062</v>
      </c>
      <c r="CX56" s="62">
        <f t="shared" si="14"/>
        <v>702.77061848614869</v>
      </c>
      <c r="CY56" s="62">
        <f ca="1">AVERAGE(OFFSET($CX$3,0,0,'Données projet'!$E$13+1,1))-AVERAGE(OFFSET($H$3,0,0,'Données projet'!$E$13+1,1))</f>
        <v>493.89660144134291</v>
      </c>
      <c r="CZ56" s="62">
        <f t="shared" si="42"/>
        <v>312.97494624463229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4.8255202424875723</v>
      </c>
      <c r="DH56" s="23">
        <f>EXP(-LN(2)/2)*DH55+(1-EXP(-LN(2)/2))/(LN(2)/2)*DB56*DE56*VLOOKUP('Données projet'!$B$13,Paramètres!$A$1:$I$89,3,0)*0.475*44/12</f>
        <v>5.1478529087548661E-3</v>
      </c>
      <c r="DI56" s="24">
        <f t="shared" si="15"/>
        <v>4.8306680953963275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56.457455989475832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>
        <f>DO56*VLOOKUP('Données projet'!$B$14,Paramètres!$A$1:$I$89,3,0)*VLOOKUP('Données projet'!$B$14,Paramètres!$A$1:$I$89,5,0)</f>
        <v>0</v>
      </c>
      <c r="DQ56" s="14" t="e">
        <f t="shared" si="43"/>
        <v>#NUM!</v>
      </c>
      <c r="DR56" s="22" t="e">
        <f t="shared" si="16"/>
        <v>#NUM!</v>
      </c>
      <c r="DS56" s="62" t="e">
        <f t="shared" si="17"/>
        <v>#NUM!</v>
      </c>
      <c r="DT56" s="62">
        <f ca="1">AVERAGE(OFFSET($DS$3,0,0,'Données projet'!$E$14+1,1))-AVERAGE(OFFSET($H$3,0,0,'Données projet'!$E$14+1,1))</f>
        <v>210.13237351083279</v>
      </c>
      <c r="DU56" s="62">
        <f t="shared" si="44"/>
        <v>423.06475179432277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62.653823951297994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9.1835819135546143E-2</v>
      </c>
      <c r="ED56" s="24">
        <f t="shared" si="18"/>
        <v>62.745659770433541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56.457455989475832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56.457455989475832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56.457455989475832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56.457455989475832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4.5049999999999999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16.518333333333334</v>
      </c>
      <c r="H57" s="70">
        <f t="shared" si="1"/>
        <v>147.64566666666667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56.692388851465786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16</v>
      </c>
      <c r="N57" s="14">
        <f>IF('Données projet'!$A$36&gt;35,N56+M57-V56,IF(A57&lt;'Données projet'!$A$36,$K$205^A57,IF(A57='Données projet'!$A$36,'Données projet'!$B$36,N56+M57-V56)))</f>
        <v>339.00000000000006</v>
      </c>
      <c r="O57" s="14">
        <f>N57*VLOOKUP('Données projet'!$B$9,Paramètres!$A$1:$I$89,3,0)*VLOOKUP('Données projet'!$B$9,Paramètres!$A$1:$I$89,5,0)</f>
        <v>158.65200000000004</v>
      </c>
      <c r="P57" s="14">
        <f t="shared" si="33"/>
        <v>40.538320690487296</v>
      </c>
      <c r="Q57" s="22">
        <f t="shared" si="53"/>
        <v>346.92314186926546</v>
      </c>
      <c r="R57" s="62">
        <f t="shared" si="0"/>
        <v>591.46190099130661</v>
      </c>
      <c r="S57" s="62">
        <f ca="1">AVERAGE(OFFSET($R$3,0,0,'Données projet'!$E$9+1,1))-AVERAGE(OFFSET($H$3,0,0,'Données projet'!$E$9+1,1))</f>
        <v>374.81775021423215</v>
      </c>
      <c r="T57" s="62">
        <f t="shared" si="34"/>
        <v>301.81248585467142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56.692388851465786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192.66000000000008</v>
      </c>
      <c r="AK57" s="14">
        <f t="shared" si="35"/>
        <v>48.127564387788738</v>
      </c>
      <c r="AL57" s="22">
        <f t="shared" si="4"/>
        <v>419.3716746420655</v>
      </c>
      <c r="AM57" s="62">
        <f t="shared" si="5"/>
        <v>663.91043376410664</v>
      </c>
      <c r="AN57" s="62">
        <f ca="1">AVERAGE(OFFSET($AM$3,0,0,'Données projet'!$E$10+1,1))-AVERAGE(OFFSET($H$3,0,0,'Données projet'!$E$10+1,1))</f>
        <v>468.39960552661171</v>
      </c>
      <c r="AO57" s="62">
        <f t="shared" si="36"/>
        <v>291.1952427029787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1.5548622387147684</v>
      </c>
      <c r="AW57" s="23">
        <f>EXP(-LN(2)/2)*AW56+(1-EXP(-LN(2)/2))/(LN(2)/2)*AQ57*AT57*VLOOKUP('Données projet'!$B$10,Paramètres!$A$1:$I$89,3,0)*0.475*44/12</f>
        <v>3.433599483331298E-3</v>
      </c>
      <c r="AX57" s="23">
        <f t="shared" si="6"/>
        <v>1.5582958381980996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56.692388851465786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6.8</v>
      </c>
      <c r="BD57" s="13">
        <f>IF('Données projet'!$A$88&gt;35,BD56+BC57-BL56,IF(A57&lt;'Données projet'!$A$88,$BA$205^A57,IF(A57='Données projet'!$A$88,'Données projet'!$B$88,BD56+BC57-BL56)))</f>
        <v>208.20000000000002</v>
      </c>
      <c r="BE57" s="14">
        <f>BD57*VLOOKUP('Données projet'!$B$11,Paramètres!$A$1:$I$89,3,0)*VLOOKUP('Données projet'!$B$11,Paramètres!$A$1:$I$89,5,0)</f>
        <v>181.88352000000006</v>
      </c>
      <c r="BF57" s="14">
        <f t="shared" si="37"/>
        <v>45.74098045051349</v>
      </c>
      <c r="BG57" s="22">
        <f t="shared" si="7"/>
        <v>396.44600495131112</v>
      </c>
      <c r="BH57" s="62">
        <f t="shared" si="8"/>
        <v>640.98476407335227</v>
      </c>
      <c r="BI57" s="62">
        <f ca="1">AVERAGE(OFFSET($BH$3,0,0,'Données projet'!$E$11+1,1))-AVERAGE(OFFSET($H$3,0,0,'Données projet'!$E$11+1,1))</f>
        <v>373.50005214669716</v>
      </c>
      <c r="BJ57" s="62">
        <f t="shared" si="38"/>
        <v>383.60460086643036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8.1448596728952616</v>
      </c>
      <c r="BR57" s="23">
        <f>EXP(-LN(2)/2)*BR56+(1-EXP(-LN(2)/2))/(LN(2)/2)*BL57*BO57*VLOOKUP('Données projet'!$B$11,Paramètres!$A$1:$I$89,3,0)*0.475*44/12</f>
        <v>3.636419586318591E-3</v>
      </c>
      <c r="BS57" s="24">
        <f t="shared" si="9"/>
        <v>8.1484960924815795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56.692388851465786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projet'!$B$12,Paramètres!$A$1:$I$89,3,0)*VLOOKUP('Données projet'!$B$12,Paramètres!$A$1:$I$89,5,0)</f>
        <v>0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210.13237351083279</v>
      </c>
      <c r="CE57" s="62">
        <f t="shared" si="40"/>
        <v>423.06475179432277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61.425220678672225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6.4937730466565979E-2</v>
      </c>
      <c r="CN57" s="24">
        <f t="shared" si="12"/>
        <v>61.490158409138793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56.692388851465786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10.199999999999999</v>
      </c>
      <c r="CT57" s="13">
        <f>IF('Données projet'!$A$140&gt;35,CT56+CS57-DB56,IF(A57&lt;'Données projet'!$A$140,$CQ$205^A57,IF(A57='Données projet'!$A$140,'Données projet'!$B$140,CT56+CS57-DB56)))</f>
        <v>243.79999999999998</v>
      </c>
      <c r="CU57" s="18">
        <f>CT57*VLOOKUP('Données projet'!$B$13,Paramètres!$A$1:$I$89,3,0)*VLOOKUP('Données projet'!$B$13,Paramètres!$A$1:$I$89,5,0)</f>
        <v>220.59023999999997</v>
      </c>
      <c r="CV57" s="14">
        <f t="shared" si="41"/>
        <v>54.24315145708789</v>
      </c>
      <c r="CW57" s="22">
        <f t="shared" si="13"/>
        <v>478.66815678776129</v>
      </c>
      <c r="CX57" s="62">
        <f t="shared" si="14"/>
        <v>723.20691590980243</v>
      </c>
      <c r="CY57" s="62">
        <f ca="1">AVERAGE(OFFSET($CX$3,0,0,'Données projet'!$E$13+1,1))-AVERAGE(OFFSET($H$3,0,0,'Données projet'!$E$13+1,1))</f>
        <v>493.89660144134291</v>
      </c>
      <c r="CZ57" s="62">
        <f t="shared" si="42"/>
        <v>312.97494624463229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4.6935661376936686</v>
      </c>
      <c r="DH57" s="23">
        <f>EXP(-LN(2)/2)*DH56+(1-EXP(-LN(2)/2))/(LN(2)/2)*DB57*DE57*VLOOKUP('Données projet'!$B$13,Paramètres!$A$1:$I$89,3,0)*0.475*44/12</f>
        <v>3.6400817003314594E-3</v>
      </c>
      <c r="DI57" s="24">
        <f t="shared" si="15"/>
        <v>4.6972062193940003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56.692388851465786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>
        <f>DO57*VLOOKUP('Données projet'!$B$14,Paramètres!$A$1:$I$89,3,0)*VLOOKUP('Données projet'!$B$14,Paramètres!$A$1:$I$89,5,0)</f>
        <v>0</v>
      </c>
      <c r="DQ57" s="14" t="e">
        <f t="shared" si="43"/>
        <v>#NUM!</v>
      </c>
      <c r="DR57" s="22" t="e">
        <f t="shared" si="16"/>
        <v>#NUM!</v>
      </c>
      <c r="DS57" s="62" t="e">
        <f t="shared" si="17"/>
        <v>#NUM!</v>
      </c>
      <c r="DT57" s="62">
        <f ca="1">AVERAGE(OFFSET($DS$3,0,0,'Données projet'!$E$14+1,1))-AVERAGE(OFFSET($H$3,0,0,'Données projet'!$E$14+1,1))</f>
        <v>210.13237351083279</v>
      </c>
      <c r="DU57" s="62">
        <f t="shared" si="44"/>
        <v>423.06475179432277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61.425220678672225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6.4937730466565979E-2</v>
      </c>
      <c r="ED57" s="24">
        <f t="shared" si="18"/>
        <v>61.490158409138793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56.692388851465786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56.692388851465786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56.692388851465786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56.692388851465786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4.5049999999999999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16.518333333333334</v>
      </c>
      <c r="H58" s="70">
        <f t="shared" si="1"/>
        <v>147.64566666666667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56.923246153531402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16</v>
      </c>
      <c r="N58" s="14">
        <f>IF('Données projet'!$A$36&gt;35,N57+M58-V57,IF(A58&lt;'Données projet'!$A$36,$K$205^A58,IF(A58='Données projet'!$A$36,'Données projet'!$B$36,N57+M58-V57)))</f>
        <v>355.00000000000006</v>
      </c>
      <c r="O58" s="14">
        <f>N58*VLOOKUP('Données projet'!$B$9,Paramètres!$A$1:$I$89,3,0)*VLOOKUP('Données projet'!$B$9,Paramètres!$A$1:$I$89,5,0)</f>
        <v>166.14000000000001</v>
      </c>
      <c r="P58" s="14">
        <f t="shared" si="33"/>
        <v>42.224359783104845</v>
      </c>
      <c r="Q58" s="22">
        <f t="shared" si="53"/>
        <v>362.90125995557429</v>
      </c>
      <c r="R58" s="62">
        <f t="shared" si="0"/>
        <v>608.2864958518561</v>
      </c>
      <c r="S58" s="62">
        <f ca="1">AVERAGE(OFFSET($R$3,0,0,'Données projet'!$E$9+1,1))-AVERAGE(OFFSET($H$3,0,0,'Données projet'!$E$9+1,1))</f>
        <v>374.81775021423215</v>
      </c>
      <c r="T58" s="62">
        <f t="shared" si="34"/>
        <v>301.81248585467142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56.923246153531402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200.77200000000008</v>
      </c>
      <c r="AK58" s="14">
        <f t="shared" si="35"/>
        <v>49.913791898945412</v>
      </c>
      <c r="AL58" s="22">
        <f t="shared" si="4"/>
        <v>436.61108755732999</v>
      </c>
      <c r="AM58" s="62">
        <f t="shared" si="5"/>
        <v>681.99632345361181</v>
      </c>
      <c r="AN58" s="62">
        <f ca="1">AVERAGE(OFFSET($AM$3,0,0,'Données projet'!$E$10+1,1))-AVERAGE(OFFSET($H$3,0,0,'Données projet'!$E$10+1,1))</f>
        <v>468.39960552661171</v>
      </c>
      <c r="AO58" s="62">
        <f t="shared" si="36"/>
        <v>291.1952427029787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1.5123444490304616</v>
      </c>
      <c r="AW58" s="23">
        <f>EXP(-LN(2)/2)*AW57+(1-EXP(-LN(2)/2))/(LN(2)/2)*AQ58*AT58*VLOOKUP('Données projet'!$B$10,Paramètres!$A$1:$I$89,3,0)*0.475*44/12</f>
        <v>2.4279214785421868E-3</v>
      </c>
      <c r="AX58" s="23">
        <f t="shared" si="6"/>
        <v>1.5147723705090037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56.923246153531402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215</v>
      </c>
      <c r="BB58" s="13">
        <f>VLOOKUP(A58,'Données projet'!$A$87:$I$107,9,0)</f>
        <v>6.8</v>
      </c>
      <c r="BC58" s="13">
        <f t="array" ref="BC58">INDEX(BB:BB,MIN(IF(ISNUMBER(BB58:BB254),ROW(BB58:BB254),"")))</f>
        <v>6.8</v>
      </c>
      <c r="BD58" s="13">
        <f>IF('Données projet'!$A$88&gt;35,BD57+BC58-BL57,IF(A58&lt;'Données projet'!$A$88,$BA$205^A58,IF(A58='Données projet'!$A$88,'Données projet'!$B$88,BD57+BC58-BL57)))</f>
        <v>215.00000000000003</v>
      </c>
      <c r="BE58" s="14">
        <f>BD58*VLOOKUP('Données projet'!$B$11,Paramètres!$A$1:$I$89,3,0)*VLOOKUP('Données projet'!$B$11,Paramètres!$A$1:$I$89,5,0)</f>
        <v>187.82400000000007</v>
      </c>
      <c r="BF58" s="14">
        <f t="shared" si="37"/>
        <v>47.05854810918273</v>
      </c>
      <c r="BG58" s="22">
        <f t="shared" si="7"/>
        <v>409.08710462349336</v>
      </c>
      <c r="BH58" s="62">
        <f t="shared" si="8"/>
        <v>654.47234051977523</v>
      </c>
      <c r="BI58" s="62">
        <f ca="1">AVERAGE(OFFSET($BH$3,0,0,'Données projet'!$E$11+1,1))-AVERAGE(OFFSET($H$3,0,0,'Données projet'!$E$11+1,1))</f>
        <v>373.50005214669716</v>
      </c>
      <c r="BJ58" s="62">
        <f t="shared" si="38"/>
        <v>383.60460086643036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25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7.9221380568203861</v>
      </c>
      <c r="BR58" s="23">
        <f>EXP(-LN(2)/2)*BR57+(1-EXP(-LN(2)/2))/(LN(2)/2)*BL58*BO58*VLOOKUP('Données projet'!$B$11,Paramètres!$A$1:$I$89,3,0)*0.475*44/12</f>
        <v>2.5713369487254559E-3</v>
      </c>
      <c r="BS58" s="24">
        <f t="shared" si="9"/>
        <v>7.9247093937691115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56.923246153531402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210.13237351083279</v>
      </c>
      <c r="CE58" s="62">
        <f t="shared" si="40"/>
        <v>423.06475179432277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60.220709566848647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4.5917909567773071E-2</v>
      </c>
      <c r="CN58" s="24">
        <f t="shared" si="12"/>
        <v>60.266627476416417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56.923246153531402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254</v>
      </c>
      <c r="CR58" s="13">
        <f>VLOOKUP(A58,'Données projet'!$A$139:$I$159,9,0)</f>
        <v>10.199999999999999</v>
      </c>
      <c r="CS58" s="13">
        <f t="array" ref="CS58">INDEX(CR:CR,MIN(IF(ISNUMBER(CR58:CR254),ROW(CR58:CR254),"")))</f>
        <v>10.199999999999999</v>
      </c>
      <c r="CT58" s="13">
        <f>IF('Données projet'!$A$140&gt;35,CT57+CS58-DB57,IF(A58&lt;'Données projet'!$A$140,$CQ$205^A58,IF(A58='Données projet'!$A$140,'Données projet'!$B$140,CT57+CS58-DB57)))</f>
        <v>253.99999999999997</v>
      </c>
      <c r="CU58" s="18">
        <f>CT58*VLOOKUP('Données projet'!$B$13,Paramètres!$A$1:$I$89,3,0)*VLOOKUP('Données projet'!$B$13,Paramètres!$A$1:$I$89,5,0)</f>
        <v>229.81919999999997</v>
      </c>
      <c r="CV58" s="14">
        <f t="shared" si="41"/>
        <v>56.243586554989342</v>
      </c>
      <c r="CW58" s="22">
        <f t="shared" si="13"/>
        <v>498.22601991660639</v>
      </c>
      <c r="CX58" s="62">
        <f t="shared" si="14"/>
        <v>743.6112558128882</v>
      </c>
      <c r="CY58" s="62">
        <f ca="1">AVERAGE(OFFSET($CX$3,0,0,'Données projet'!$E$13+1,1))-AVERAGE(OFFSET($H$3,0,0,'Données projet'!$E$13+1,1))</f>
        <v>493.89660144134291</v>
      </c>
      <c r="CZ58" s="62">
        <f t="shared" si="42"/>
        <v>312.97494624463229</v>
      </c>
      <c r="DA58" s="16">
        <f>IF(ISNA(VLOOKUP(A58,'Données projet'!$A$139:$I$159,3,0)),0,VLOOKUP(A58,'Données projet'!$A$139:$I$159,3,0))</f>
        <v>8</v>
      </c>
      <c r="DB58" s="16">
        <f>IF(ISNA(VLOOKUP(A58,'Données projet'!$A$139:$I$159,4,0)),0,VLOOKUP(A58,'Données projet'!$A$139:$I$159,4,0))</f>
        <v>28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4.5652203248345193</v>
      </c>
      <c r="DH58" s="23">
        <f>EXP(-LN(2)/2)*DH57+(1-EXP(-LN(2)/2))/(LN(2)/2)*DB58*DE58*VLOOKUP('Données projet'!$B$13,Paramètres!$A$1:$I$89,3,0)*0.475*44/12</f>
        <v>2.5739264543774331E-3</v>
      </c>
      <c r="DI58" s="24">
        <f t="shared" si="15"/>
        <v>4.5677942512888965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56.923246153531402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>
        <f>DO58*VLOOKUP('Données projet'!$B$14,Paramètres!$A$1:$I$89,3,0)*VLOOKUP('Données projet'!$B$14,Paramètres!$A$1:$I$89,5,0)</f>
        <v>0</v>
      </c>
      <c r="DQ58" s="14" t="e">
        <f t="shared" si="43"/>
        <v>#NUM!</v>
      </c>
      <c r="DR58" s="22" t="e">
        <f t="shared" si="16"/>
        <v>#NUM!</v>
      </c>
      <c r="DS58" s="62" t="e">
        <f t="shared" si="17"/>
        <v>#NUM!</v>
      </c>
      <c r="DT58" s="62">
        <f ca="1">AVERAGE(OFFSET($DS$3,0,0,'Données projet'!$E$14+1,1))-AVERAGE(OFFSET($H$3,0,0,'Données projet'!$E$14+1,1))</f>
        <v>210.13237351083279</v>
      </c>
      <c r="DU58" s="62">
        <f t="shared" si="44"/>
        <v>423.06475179432277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60.220709566848647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4.5917909567773071E-2</v>
      </c>
      <c r="ED58" s="24">
        <f t="shared" si="18"/>
        <v>60.266627476416417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56.923246153531402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56.923246153531402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56.923246153531402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56.923246153531402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4.5049999999999999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16.518333333333334</v>
      </c>
      <c r="H59" s="70">
        <f t="shared" si="1"/>
        <v>147.64566666666667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57.15009859752579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371</v>
      </c>
      <c r="L59" s="13">
        <f>VLOOKUP(A59,'Données projet'!$A$35:$I$55,9,0)</f>
        <v>16</v>
      </c>
      <c r="M59" s="13">
        <f t="array" ref="M59">INDEX(L:L,MIN(IF(ISNUMBER(L59:L255),ROW(L59:L255),"")))</f>
        <v>16</v>
      </c>
      <c r="N59" s="14">
        <f>IF('Données projet'!$A$36&gt;35,N58+M59-V58,IF(A59&lt;'Données projet'!$A$36,$K$205^A59,IF(A59='Données projet'!$A$36,'Données projet'!$B$36,N58+M59-V58)))</f>
        <v>371.00000000000006</v>
      </c>
      <c r="O59" s="14">
        <f>N59*VLOOKUP('Données projet'!$B$9,Paramètres!$A$1:$I$89,3,0)*VLOOKUP('Données projet'!$B$9,Paramètres!$A$1:$I$89,5,0)</f>
        <v>173.62800000000001</v>
      </c>
      <c r="P59" s="14">
        <f t="shared" si="33"/>
        <v>43.901573588714463</v>
      </c>
      <c r="Q59" s="22">
        <f t="shared" si="53"/>
        <v>378.86400733367765</v>
      </c>
      <c r="R59" s="62">
        <f t="shared" si="0"/>
        <v>625.08103552460557</v>
      </c>
      <c r="S59" s="62">
        <f ca="1">AVERAGE(OFFSET($R$3,0,0,'Données projet'!$E$9+1,1))-AVERAGE(OFFSET($H$3,0,0,'Données projet'!$E$9+1,1))</f>
        <v>374.81775021423215</v>
      </c>
      <c r="T59" s="62">
        <f t="shared" si="34"/>
        <v>301.81248585467142</v>
      </c>
      <c r="U59" s="16">
        <f>IF(ISNA(VLOOKUP(A59,'Données projet'!$A$35:$I$55,3,0)),0,VLOOKUP(A59,'Données projet'!$A$35:$I$55,3,0))</f>
        <v>2</v>
      </c>
      <c r="V59" s="16">
        <f>IF(ISNA(VLOOKUP(A59,'Données projet'!$A$35:$I$55,4,0)),0,VLOOKUP(A59,'Données projet'!$A$35:$I$55,4,0))</f>
        <v>74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57.15009859752579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186.98160000000007</v>
      </c>
      <c r="AK59" s="14">
        <f t="shared" si="35"/>
        <v>46.872006790472248</v>
      </c>
      <c r="AL59" s="22">
        <f t="shared" si="4"/>
        <v>407.29503182673926</v>
      </c>
      <c r="AM59" s="62">
        <f t="shared" si="5"/>
        <v>653.51206001766718</v>
      </c>
      <c r="AN59" s="62">
        <f ca="1">AVERAGE(OFFSET($AM$3,0,0,'Données projet'!$E$10+1,1))-AVERAGE(OFFSET($H$3,0,0,'Données projet'!$E$10+1,1))</f>
        <v>468.39960552661171</v>
      </c>
      <c r="AO59" s="62">
        <f t="shared" si="36"/>
        <v>291.1952427029787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1.4709893105409855</v>
      </c>
      <c r="AW59" s="23">
        <f>EXP(-LN(2)/2)*AW58+(1-EXP(-LN(2)/2))/(LN(2)/2)*AQ59*AT59*VLOOKUP('Données projet'!$B$10,Paramètres!$A$1:$I$89,3,0)*0.475*44/12</f>
        <v>1.716799741665649E-3</v>
      </c>
      <c r="AX59" s="23">
        <f t="shared" si="6"/>
        <v>1.4727061102826511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57.15009859752579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</v>
      </c>
      <c r="BD59" s="13">
        <f>IF('Données projet'!$A$88&gt;35,BD58+BC59-BL58,IF(A59&lt;'Données projet'!$A$88,$BA$205^A59,IF(A59='Données projet'!$A$88,'Données projet'!$B$88,BD58+BC59-BL58)))</f>
        <v>196.00000000000003</v>
      </c>
      <c r="BE59" s="14">
        <f>BD59*VLOOKUP('Données projet'!$B$11,Paramètres!$A$1:$I$89,3,0)*VLOOKUP('Données projet'!$B$11,Paramètres!$A$1:$I$89,5,0)</f>
        <v>171.22560000000004</v>
      </c>
      <c r="BF59" s="14">
        <f t="shared" si="37"/>
        <v>43.364402348589557</v>
      </c>
      <c r="BG59" s="22">
        <f t="shared" si="7"/>
        <v>373.74425409046017</v>
      </c>
      <c r="BH59" s="62">
        <f t="shared" si="8"/>
        <v>619.96128228138809</v>
      </c>
      <c r="BI59" s="62">
        <f ca="1">AVERAGE(OFFSET($BH$3,0,0,'Données projet'!$E$11+1,1))-AVERAGE(OFFSET($H$3,0,0,'Données projet'!$E$11+1,1))</f>
        <v>373.50005214669716</v>
      </c>
      <c r="BJ59" s="62">
        <f t="shared" si="38"/>
        <v>383.60460086643036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7.7055067750494981</v>
      </c>
      <c r="BR59" s="23">
        <f>EXP(-LN(2)/2)*BR58+(1-EXP(-LN(2)/2))/(LN(2)/2)*BL59*BO59*VLOOKUP('Données projet'!$B$11,Paramètres!$A$1:$I$89,3,0)*0.475*44/12</f>
        <v>1.8182097931592957E-3</v>
      </c>
      <c r="BS59" s="24">
        <f t="shared" si="9"/>
        <v>7.707324984842657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57.15009859752579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210.13237351083279</v>
      </c>
      <c r="CE59" s="62">
        <f t="shared" si="40"/>
        <v>423.06475179432277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59.039818183248698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3.246886523328299E-2</v>
      </c>
      <c r="CN59" s="24">
        <f t="shared" si="12"/>
        <v>59.072287048481982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57.15009859752579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9.4</v>
      </c>
      <c r="CT59" s="13">
        <f>IF('Données projet'!$A$140&gt;35,CT58+CS59-DB58,IF(A59&lt;'Données projet'!$A$140,$CQ$205^A59,IF(A59='Données projet'!$A$140,'Données projet'!$B$140,CT58+CS59-DB58)))</f>
        <v>235.39999999999998</v>
      </c>
      <c r="CU59" s="18">
        <f>CT59*VLOOKUP('Données projet'!$B$13,Paramètres!$A$1:$I$89,3,0)*VLOOKUP('Données projet'!$B$13,Paramètres!$A$1:$I$89,5,0)</f>
        <v>212.98991999999998</v>
      </c>
      <c r="CV59" s="14">
        <f t="shared" si="41"/>
        <v>52.588419883221171</v>
      </c>
      <c r="CW59" s="22">
        <f t="shared" si="13"/>
        <v>462.54894196327677</v>
      </c>
      <c r="CX59" s="62">
        <f t="shared" si="14"/>
        <v>708.76597015420464</v>
      </c>
      <c r="CY59" s="62">
        <f ca="1">AVERAGE(OFFSET($CX$3,0,0,'Données projet'!$E$13+1,1))-AVERAGE(OFFSET($H$3,0,0,'Données projet'!$E$13+1,1))</f>
        <v>493.89660144134291</v>
      </c>
      <c r="CZ59" s="62">
        <f t="shared" si="42"/>
        <v>312.97494624463229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4.4403841349774167</v>
      </c>
      <c r="DH59" s="23">
        <f>EXP(-LN(2)/2)*DH58+(1-EXP(-LN(2)/2))/(LN(2)/2)*DB59*DE59*VLOOKUP('Données projet'!$B$13,Paramètres!$A$1:$I$89,3,0)*0.475*44/12</f>
        <v>1.8200408501657297E-3</v>
      </c>
      <c r="DI59" s="24">
        <f t="shared" si="15"/>
        <v>4.4422041758275821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57.15009859752579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>
        <f>DO59*VLOOKUP('Données projet'!$B$14,Paramètres!$A$1:$I$89,3,0)*VLOOKUP('Données projet'!$B$14,Paramètres!$A$1:$I$89,5,0)</f>
        <v>0</v>
      </c>
      <c r="DQ59" s="14" t="e">
        <f t="shared" si="43"/>
        <v>#NUM!</v>
      </c>
      <c r="DR59" s="22" t="e">
        <f t="shared" si="16"/>
        <v>#NUM!</v>
      </c>
      <c r="DS59" s="62" t="e">
        <f t="shared" si="17"/>
        <v>#NUM!</v>
      </c>
      <c r="DT59" s="62">
        <f ca="1">AVERAGE(OFFSET($DS$3,0,0,'Données projet'!$E$14+1,1))-AVERAGE(OFFSET($H$3,0,0,'Données projet'!$E$14+1,1))</f>
        <v>210.13237351083279</v>
      </c>
      <c r="DU59" s="62">
        <f t="shared" si="44"/>
        <v>423.06475179432277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59.039818183248698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3.246886523328299E-2</v>
      </c>
      <c r="ED59" s="24">
        <f t="shared" si="18"/>
        <v>59.072287048481982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57.15009859752579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57.15009859752579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57.15009859752579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57.15009859752579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4.5049999999999999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16.518333333333334</v>
      </c>
      <c r="H60" s="70">
        <f t="shared" si="1"/>
        <v>147.64566666666667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57.373015658782954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15.714285714285714</v>
      </c>
      <c r="N60" s="14">
        <f>IF('Données projet'!$A$36&gt;35,N59+M60-V59,IF(A60&lt;'Données projet'!$A$36,$K$205^A60,IF(A60='Données projet'!$A$36,'Données projet'!$B$36,N59+M60-V59)))</f>
        <v>312.71428571428578</v>
      </c>
      <c r="O60" s="14">
        <f>N60*VLOOKUP('Données projet'!$B$9,Paramètres!$A$1:$I$89,3,0)*VLOOKUP('Données projet'!$B$9,Paramètres!$A$1:$I$89,5,0)</f>
        <v>146.35028571428575</v>
      </c>
      <c r="P60" s="14">
        <f t="shared" si="33"/>
        <v>37.747989659731687</v>
      </c>
      <c r="Q60" s="22">
        <f t="shared" si="53"/>
        <v>320.63782960974697</v>
      </c>
      <c r="R60" s="62">
        <f t="shared" si="0"/>
        <v>567.67222035861778</v>
      </c>
      <c r="S60" s="62">
        <f ca="1">AVERAGE(OFFSET($R$3,0,0,'Données projet'!$E$9+1,1))-AVERAGE(OFFSET($H$3,0,0,'Données projet'!$E$9+1,1))</f>
        <v>374.81775021423215</v>
      </c>
      <c r="T60" s="62">
        <f t="shared" si="34"/>
        <v>301.81248585467142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57.373015658782954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194.48520000000008</v>
      </c>
      <c r="AK60" s="14">
        <f t="shared" si="35"/>
        <v>48.530216343846071</v>
      </c>
      <c r="AL60" s="22">
        <f t="shared" si="4"/>
        <v>423.25185013219863</v>
      </c>
      <c r="AM60" s="62">
        <f t="shared" si="5"/>
        <v>670.28624088106949</v>
      </c>
      <c r="AN60" s="62">
        <f ca="1">AVERAGE(OFFSET($AM$3,0,0,'Données projet'!$E$10+1,1))-AVERAGE(OFFSET($H$3,0,0,'Données projet'!$E$10+1,1))</f>
        <v>468.39960552661171</v>
      </c>
      <c r="AO60" s="62">
        <f t="shared" si="36"/>
        <v>291.1952427029787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1.4307650304882764</v>
      </c>
      <c r="AW60" s="23">
        <f>EXP(-LN(2)/2)*AW59+(1-EXP(-LN(2)/2))/(LN(2)/2)*AQ60*AT60*VLOOKUP('Données projet'!$B$10,Paramètres!$A$1:$I$89,3,0)*0.475*44/12</f>
        <v>1.2139607392710934E-3</v>
      </c>
      <c r="AX60" s="23">
        <f t="shared" si="6"/>
        <v>1.4319789912275476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57.373015658782954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</v>
      </c>
      <c r="BD60" s="13">
        <f>IF('Données projet'!$A$88&gt;35,BD59+BC60-BL59,IF(A60&lt;'Données projet'!$A$88,$BA$205^A60,IF(A60='Données projet'!$A$88,'Données projet'!$B$88,BD59+BC60-BL59)))</f>
        <v>202.00000000000003</v>
      </c>
      <c r="BE60" s="14">
        <f>BD60*VLOOKUP('Données projet'!$B$11,Paramètres!$A$1:$I$89,3,0)*VLOOKUP('Données projet'!$B$11,Paramètres!$A$1:$I$89,5,0)</f>
        <v>176.46720000000005</v>
      </c>
      <c r="BF60" s="14">
        <f t="shared" si="37"/>
        <v>44.535298821989393</v>
      </c>
      <c r="BG60" s="22">
        <f t="shared" si="7"/>
        <v>384.91268544829819</v>
      </c>
      <c r="BH60" s="62">
        <f t="shared" si="8"/>
        <v>631.94707619716905</v>
      </c>
      <c r="BI60" s="62">
        <f ca="1">AVERAGE(OFFSET($BH$3,0,0,'Données projet'!$E$11+1,1))-AVERAGE(OFFSET($H$3,0,0,'Données projet'!$E$11+1,1))</f>
        <v>373.50005214669716</v>
      </c>
      <c r="BJ60" s="62">
        <f t="shared" si="38"/>
        <v>383.60460086643036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7.4947992870707791</v>
      </c>
      <c r="BR60" s="23">
        <f>EXP(-LN(2)/2)*BR59+(1-EXP(-LN(2)/2))/(LN(2)/2)*BL60*BO60*VLOOKUP('Données projet'!$B$11,Paramètres!$A$1:$I$89,3,0)*0.475*44/12</f>
        <v>1.2856684743627281E-3</v>
      </c>
      <c r="BS60" s="24">
        <f t="shared" si="9"/>
        <v>7.4960849555451414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57.373015658782954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210.13237351083279</v>
      </c>
      <c r="CE60" s="62">
        <f t="shared" si="40"/>
        <v>423.06475179432277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57.882083359408519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2.2958954783886536E-2</v>
      </c>
      <c r="CN60" s="24">
        <f t="shared" si="12"/>
        <v>57.905042314192407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57.373015658782954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9.4</v>
      </c>
      <c r="CT60" s="13">
        <f>IF('Données projet'!$A$140&gt;35,CT59+CS60-DB59,IF(A60&lt;'Données projet'!$A$140,$CQ$205^A60,IF(A60='Données projet'!$A$140,'Données projet'!$B$140,CT59+CS60-DB59)))</f>
        <v>244.79999999999998</v>
      </c>
      <c r="CU60" s="18">
        <f>CT60*VLOOKUP('Données projet'!$B$13,Paramètres!$A$1:$I$89,3,0)*VLOOKUP('Données projet'!$B$13,Paramètres!$A$1:$I$89,5,0)</f>
        <v>221.49503999999999</v>
      </c>
      <c r="CV60" s="14">
        <f t="shared" si="41"/>
        <v>54.439697086174412</v>
      </c>
      <c r="CW60" s="22">
        <f t="shared" si="13"/>
        <v>480.58633375842032</v>
      </c>
      <c r="CX60" s="62">
        <f t="shared" si="14"/>
        <v>727.62072450729113</v>
      </c>
      <c r="CY60" s="62">
        <f ca="1">AVERAGE(OFFSET($CX$3,0,0,'Données projet'!$E$13+1,1))-AVERAGE(OFFSET($H$3,0,0,'Données projet'!$E$13+1,1))</f>
        <v>493.89660144134291</v>
      </c>
      <c r="CZ60" s="62">
        <f t="shared" si="42"/>
        <v>312.97494624463229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4.3189615972968065</v>
      </c>
      <c r="DH60" s="23">
        <f>EXP(-LN(2)/2)*DH59+(1-EXP(-LN(2)/2))/(LN(2)/2)*DB60*DE60*VLOOKUP('Données projet'!$B$13,Paramètres!$A$1:$I$89,3,0)*0.475*44/12</f>
        <v>1.2869632271887165E-3</v>
      </c>
      <c r="DI60" s="24">
        <f t="shared" si="15"/>
        <v>4.3202485605239955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57.373015658782954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>
        <f>DO60*VLOOKUP('Données projet'!$B$14,Paramètres!$A$1:$I$89,3,0)*VLOOKUP('Données projet'!$B$14,Paramètres!$A$1:$I$89,5,0)</f>
        <v>0</v>
      </c>
      <c r="DQ60" s="14" t="e">
        <f t="shared" si="43"/>
        <v>#NUM!</v>
      </c>
      <c r="DR60" s="22" t="e">
        <f t="shared" si="16"/>
        <v>#NUM!</v>
      </c>
      <c r="DS60" s="62" t="e">
        <f t="shared" si="17"/>
        <v>#NUM!</v>
      </c>
      <c r="DT60" s="62">
        <f ca="1">AVERAGE(OFFSET($DS$3,0,0,'Données projet'!$E$14+1,1))-AVERAGE(OFFSET($H$3,0,0,'Données projet'!$E$14+1,1))</f>
        <v>210.13237351083279</v>
      </c>
      <c r="DU60" s="62">
        <f t="shared" si="44"/>
        <v>423.06475179432277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57.882083359408519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2.2958954783886536E-2</v>
      </c>
      <c r="ED60" s="24">
        <f t="shared" si="18"/>
        <v>57.905042314192407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57.373015658782954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57.373015658782954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57.373015658782954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57.373015658782954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4.5049999999999999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16.518333333333334</v>
      </c>
      <c r="H61" s="70">
        <f t="shared" si="1"/>
        <v>147.64566666666667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57.592065607395199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15.714285714285714</v>
      </c>
      <c r="N61" s="14">
        <f>IF('Données projet'!$A$36&gt;35,N60+M61-V60,IF(A61&lt;'Données projet'!$A$36,$K$205^A61,IF(A61='Données projet'!$A$36,'Données projet'!$B$36,N60+M61-V60)))</f>
        <v>328.4285714285715</v>
      </c>
      <c r="O61" s="14">
        <f>N61*VLOOKUP('Données projet'!$B$9,Paramètres!$A$1:$I$89,3,0)*VLOOKUP('Données projet'!$B$9,Paramètres!$A$1:$I$89,5,0)</f>
        <v>153.70457142857146</v>
      </c>
      <c r="P61" s="14">
        <f t="shared" si="33"/>
        <v>39.419263657641153</v>
      </c>
      <c r="Q61" s="22">
        <f t="shared" si="53"/>
        <v>336.35734610848698</v>
      </c>
      <c r="R61" s="62">
        <f t="shared" si="0"/>
        <v>584.19492000226933</v>
      </c>
      <c r="S61" s="62">
        <f ca="1">AVERAGE(OFFSET($R$3,0,0,'Données projet'!$E$9+1,1))-AVERAGE(OFFSET($H$3,0,0,'Données projet'!$E$9+1,1))</f>
        <v>374.81775021423215</v>
      </c>
      <c r="T61" s="62">
        <f t="shared" si="34"/>
        <v>301.81248585467142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57.592065607395199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201.98880000000008</v>
      </c>
      <c r="AK61" s="14">
        <f t="shared" si="35"/>
        <v>50.18099374666096</v>
      </c>
      <c r="AL61" s="22">
        <f t="shared" si="4"/>
        <v>439.19572410876793</v>
      </c>
      <c r="AM61" s="62">
        <f t="shared" si="5"/>
        <v>687.03329800255028</v>
      </c>
      <c r="AN61" s="62">
        <f ca="1">AVERAGE(OFFSET($AM$3,0,0,'Données projet'!$E$10+1,1))-AVERAGE(OFFSET($H$3,0,0,'Données projet'!$E$10+1,1))</f>
        <v>468.39960552661171</v>
      </c>
      <c r="AO61" s="62">
        <f t="shared" si="36"/>
        <v>291.1952427029787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1.3916406854889116</v>
      </c>
      <c r="AW61" s="23">
        <f>EXP(-LN(2)/2)*AW60+(1-EXP(-LN(2)/2))/(LN(2)/2)*AQ61*AT61*VLOOKUP('Données projet'!$B$10,Paramètres!$A$1:$I$89,3,0)*0.475*44/12</f>
        <v>8.583998708328245E-4</v>
      </c>
      <c r="AX61" s="23">
        <f t="shared" si="6"/>
        <v>1.3924990853597445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57.592065607395199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</v>
      </c>
      <c r="BD61" s="13">
        <f>IF('Données projet'!$A$88&gt;35,BD60+BC61-BL60,IF(A61&lt;'Données projet'!$A$88,$BA$205^A61,IF(A61='Données projet'!$A$88,'Données projet'!$B$88,BD60+BC61-BL60)))</f>
        <v>208.00000000000003</v>
      </c>
      <c r="BE61" s="14">
        <f>BD61*VLOOKUP('Données projet'!$B$11,Paramètres!$A$1:$I$89,3,0)*VLOOKUP('Données projet'!$B$11,Paramètres!$A$1:$I$89,5,0)</f>
        <v>181.70880000000005</v>
      </c>
      <c r="BF61" s="14">
        <f t="shared" si="37"/>
        <v>45.702153370067812</v>
      </c>
      <c r="BG61" s="22">
        <f t="shared" si="7"/>
        <v>396.07407711953482</v>
      </c>
      <c r="BH61" s="62">
        <f t="shared" si="8"/>
        <v>643.91165101331717</v>
      </c>
      <c r="BI61" s="62">
        <f ca="1">AVERAGE(OFFSET($BH$3,0,0,'Données projet'!$E$11+1,1))-AVERAGE(OFFSET($H$3,0,0,'Données projet'!$E$11+1,1))</f>
        <v>373.50005214669716</v>
      </c>
      <c r="BJ61" s="62">
        <f t="shared" si="38"/>
        <v>383.60460086643036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7.2898536064314641</v>
      </c>
      <c r="BR61" s="23">
        <f>EXP(-LN(2)/2)*BR60+(1-EXP(-LN(2)/2))/(LN(2)/2)*BL61*BO61*VLOOKUP('Données projet'!$B$11,Paramètres!$A$1:$I$89,3,0)*0.475*44/12</f>
        <v>9.0910489657964808E-4</v>
      </c>
      <c r="BS61" s="24">
        <f t="shared" si="9"/>
        <v>7.2907627113280435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57.592065607395199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210.13237351083279</v>
      </c>
      <c r="CE61" s="62">
        <f t="shared" si="40"/>
        <v>423.06475179432277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56.747051009315328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1.6234432616641495E-2</v>
      </c>
      <c r="CN61" s="24">
        <f t="shared" si="12"/>
        <v>56.76328544193197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57.592065607395199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9.4</v>
      </c>
      <c r="CT61" s="13">
        <f>IF('Données projet'!$A$140&gt;35,CT60+CS61-DB60,IF(A61&lt;'Données projet'!$A$140,$CQ$205^A61,IF(A61='Données projet'!$A$140,'Données projet'!$B$140,CT60+CS61-DB60)))</f>
        <v>254.2</v>
      </c>
      <c r="CU61" s="18">
        <f>CT61*VLOOKUP('Données projet'!$B$13,Paramètres!$A$1:$I$89,3,0)*VLOOKUP('Données projet'!$B$13,Paramètres!$A$1:$I$89,5,0)</f>
        <v>230.00015999999997</v>
      </c>
      <c r="CV61" s="14">
        <f t="shared" si="41"/>
        <v>56.282716126880423</v>
      </c>
      <c r="CW61" s="22">
        <f t="shared" si="13"/>
        <v>498.60934258765002</v>
      </c>
      <c r="CX61" s="62">
        <f t="shared" si="14"/>
        <v>746.44691648143248</v>
      </c>
      <c r="CY61" s="62">
        <f ca="1">AVERAGE(OFFSET($CX$3,0,0,'Données projet'!$E$13+1,1))-AVERAGE(OFFSET($H$3,0,0,'Données projet'!$E$13+1,1))</f>
        <v>493.89660144134291</v>
      </c>
      <c r="CZ61" s="62">
        <f t="shared" si="42"/>
        <v>312.97494624463229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4.2008593652944057</v>
      </c>
      <c r="DH61" s="23">
        <f>EXP(-LN(2)/2)*DH60+(1-EXP(-LN(2)/2))/(LN(2)/2)*DB61*DE61*VLOOKUP('Données projet'!$B$13,Paramètres!$A$1:$I$89,3,0)*0.475*44/12</f>
        <v>9.1002042508286484E-4</v>
      </c>
      <c r="DI61" s="24">
        <f t="shared" si="15"/>
        <v>4.2017693857194889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57.592065607395199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>
        <f>DO61*VLOOKUP('Données projet'!$B$14,Paramètres!$A$1:$I$89,3,0)*VLOOKUP('Données projet'!$B$14,Paramètres!$A$1:$I$89,5,0)</f>
        <v>0</v>
      </c>
      <c r="DQ61" s="14" t="e">
        <f t="shared" si="43"/>
        <v>#NUM!</v>
      </c>
      <c r="DR61" s="22" t="e">
        <f t="shared" si="16"/>
        <v>#NUM!</v>
      </c>
      <c r="DS61" s="62" t="e">
        <f t="shared" si="17"/>
        <v>#NUM!</v>
      </c>
      <c r="DT61" s="62">
        <f ca="1">AVERAGE(OFFSET($DS$3,0,0,'Données projet'!$E$14+1,1))-AVERAGE(OFFSET($H$3,0,0,'Données projet'!$E$14+1,1))</f>
        <v>210.13237351083279</v>
      </c>
      <c r="DU61" s="62">
        <f t="shared" si="44"/>
        <v>423.06475179432277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56.747051009315328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1.6234432616641495E-2</v>
      </c>
      <c r="ED61" s="24">
        <f t="shared" si="18"/>
        <v>56.76328544193197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57.592065607395199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57.592065607395199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57.592065607395199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57.592065607395199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4.5049999999999999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16.518333333333334</v>
      </c>
      <c r="H62" s="70">
        <f t="shared" si="1"/>
        <v>147.64566666666667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57.80731552912134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15.714285714285714</v>
      </c>
      <c r="N62" s="14">
        <f>IF('Données projet'!$A$36&gt;35,N61+M62-V61,IF(A62&lt;'Données projet'!$A$36,$K$205^A62,IF(A62='Données projet'!$A$36,'Données projet'!$B$36,N61+M62-V61)))</f>
        <v>344.14285714285722</v>
      </c>
      <c r="O62" s="14">
        <f>N62*VLOOKUP('Données projet'!$B$9,Paramètres!$A$1:$I$89,3,0)*VLOOKUP('Données projet'!$B$9,Paramètres!$A$1:$I$89,5,0)</f>
        <v>161.05885714285716</v>
      </c>
      <c r="P62" s="14">
        <f t="shared" si="33"/>
        <v>41.081251829746279</v>
      </c>
      <c r="Q62" s="22">
        <f t="shared" si="53"/>
        <v>352.06068979395098</v>
      </c>
      <c r="R62" s="62">
        <f t="shared" si="0"/>
        <v>600.68751340072924</v>
      </c>
      <c r="S62" s="62">
        <f ca="1">AVERAGE(OFFSET($R$3,0,0,'Données projet'!$E$9+1,1))-AVERAGE(OFFSET($H$3,0,0,'Données projet'!$E$9+1,1))</f>
        <v>374.81775021423215</v>
      </c>
      <c r="T62" s="62">
        <f t="shared" si="34"/>
        <v>301.81248585467142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57.80731552912134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209.49240000000009</v>
      </c>
      <c r="AK62" s="14">
        <f t="shared" si="35"/>
        <v>51.824646708770558</v>
      </c>
      <c r="AL62" s="22">
        <f t="shared" si="4"/>
        <v>455.12718968444216</v>
      </c>
      <c r="AM62" s="62">
        <f t="shared" si="5"/>
        <v>703.75401329122042</v>
      </c>
      <c r="AN62" s="62">
        <f ca="1">AVERAGE(OFFSET($AM$3,0,0,'Données projet'!$E$10+1,1))-AVERAGE(OFFSET($H$3,0,0,'Données projet'!$E$10+1,1))</f>
        <v>468.39960552661171</v>
      </c>
      <c r="AO62" s="62">
        <f t="shared" si="36"/>
        <v>291.1952427029787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1.3535861977610144</v>
      </c>
      <c r="AW62" s="23">
        <f>EXP(-LN(2)/2)*AW61+(1-EXP(-LN(2)/2))/(LN(2)/2)*AQ62*AT62*VLOOKUP('Données projet'!$B$10,Paramètres!$A$1:$I$89,3,0)*0.475*44/12</f>
        <v>6.0698036963554669E-4</v>
      </c>
      <c r="AX62" s="23">
        <f t="shared" si="6"/>
        <v>1.35419317813065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57.80731552912134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</v>
      </c>
      <c r="BD62" s="13">
        <f>IF('Données projet'!$A$88&gt;35,BD61+BC62-BL61,IF(A62&lt;'Données projet'!$A$88,$BA$205^A62,IF(A62='Données projet'!$A$88,'Données projet'!$B$88,BD61+BC62-BL61)))</f>
        <v>214.00000000000003</v>
      </c>
      <c r="BE62" s="14">
        <f>BD62*VLOOKUP('Données projet'!$B$11,Paramètres!$A$1:$I$89,3,0)*VLOOKUP('Données projet'!$B$11,Paramètres!$A$1:$I$89,5,0)</f>
        <v>186.95040000000006</v>
      </c>
      <c r="BF62" s="14">
        <f t="shared" si="37"/>
        <v>46.865095976617653</v>
      </c>
      <c r="BG62" s="22">
        <f t="shared" si="7"/>
        <v>407.22865549260922</v>
      </c>
      <c r="BH62" s="62">
        <f t="shared" si="8"/>
        <v>655.85547909938748</v>
      </c>
      <c r="BI62" s="62">
        <f ca="1">AVERAGE(OFFSET($BH$3,0,0,'Données projet'!$E$11+1,1))-AVERAGE(OFFSET($H$3,0,0,'Données projet'!$E$11+1,1))</f>
        <v>373.50005214669716</v>
      </c>
      <c r="BJ62" s="62">
        <f t="shared" si="38"/>
        <v>383.60460086643036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7.0905121762068557</v>
      </c>
      <c r="BR62" s="23">
        <f>EXP(-LN(2)/2)*BR61+(1-EXP(-LN(2)/2))/(LN(2)/2)*BL62*BO62*VLOOKUP('Données projet'!$B$11,Paramètres!$A$1:$I$89,3,0)*0.475*44/12</f>
        <v>6.4283423718136418E-4</v>
      </c>
      <c r="BS62" s="24">
        <f t="shared" si="9"/>
        <v>7.0911550104440373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57.80731552912134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210.13237351083279</v>
      </c>
      <c r="CE62" s="62">
        <f t="shared" si="40"/>
        <v>423.06475179432277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55.634275951306094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1.1479477391943268E-2</v>
      </c>
      <c r="CN62" s="24">
        <f t="shared" si="12"/>
        <v>55.645755428698038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57.80731552912134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9.4</v>
      </c>
      <c r="CT62" s="13">
        <f>IF('Données projet'!$A$140&gt;35,CT61+CS62-DB61,IF(A62&lt;'Données projet'!$A$140,$CQ$205^A62,IF(A62='Données projet'!$A$140,'Données projet'!$B$140,CT61+CS62-DB61)))</f>
        <v>263.59999999999997</v>
      </c>
      <c r="CU62" s="18">
        <f>CT62*VLOOKUP('Données projet'!$B$13,Paramètres!$A$1:$I$89,3,0)*VLOOKUP('Données projet'!$B$13,Paramètres!$A$1:$I$89,5,0)</f>
        <v>238.50527999999997</v>
      </c>
      <c r="CV62" s="14">
        <f t="shared" si="41"/>
        <v>58.117817352909881</v>
      </c>
      <c r="CW62" s="22">
        <f t="shared" si="13"/>
        <v>516.61856122298457</v>
      </c>
      <c r="CX62" s="62">
        <f t="shared" si="14"/>
        <v>765.24538482976277</v>
      </c>
      <c r="CY62" s="62">
        <f ca="1">AVERAGE(OFFSET($CX$3,0,0,'Données projet'!$E$13+1,1))-AVERAGE(OFFSET($H$3,0,0,'Données projet'!$E$13+1,1))</f>
        <v>493.89660144134291</v>
      </c>
      <c r="CZ62" s="62">
        <f t="shared" si="42"/>
        <v>312.97494624463229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4.0859866450368374</v>
      </c>
      <c r="DH62" s="23">
        <f>EXP(-LN(2)/2)*DH61+(1-EXP(-LN(2)/2))/(LN(2)/2)*DB62*DE62*VLOOKUP('Données projet'!$B$13,Paramètres!$A$1:$I$89,3,0)*0.475*44/12</f>
        <v>6.4348161359435827E-4</v>
      </c>
      <c r="DI62" s="24">
        <f t="shared" si="15"/>
        <v>4.0866301266504319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57.80731552912134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>
        <f>DO62*VLOOKUP('Données projet'!$B$14,Paramètres!$A$1:$I$89,3,0)*VLOOKUP('Données projet'!$B$14,Paramètres!$A$1:$I$89,5,0)</f>
        <v>0</v>
      </c>
      <c r="DQ62" s="14" t="e">
        <f t="shared" si="43"/>
        <v>#NUM!</v>
      </c>
      <c r="DR62" s="22" t="e">
        <f t="shared" si="16"/>
        <v>#NUM!</v>
      </c>
      <c r="DS62" s="62" t="e">
        <f t="shared" si="17"/>
        <v>#NUM!</v>
      </c>
      <c r="DT62" s="62">
        <f ca="1">AVERAGE(OFFSET($DS$3,0,0,'Données projet'!$E$14+1,1))-AVERAGE(OFFSET($H$3,0,0,'Données projet'!$E$14+1,1))</f>
        <v>210.13237351083279</v>
      </c>
      <c r="DU62" s="62">
        <f t="shared" si="44"/>
        <v>423.06475179432277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55.634275951306094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1.1479477391943268E-2</v>
      </c>
      <c r="ED62" s="24">
        <f t="shared" si="18"/>
        <v>55.645755428698038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57.80731552912134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57.80731552912134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57.80731552912134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57.80731552912134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4.5049999999999999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16.518333333333334</v>
      </c>
      <c r="H63" s="70">
        <f t="shared" si="1"/>
        <v>147.64566666666667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58.01883134593227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15.714285714285714</v>
      </c>
      <c r="N63" s="14">
        <f>IF('Données projet'!$A$36&gt;35,N62+M63-V62,IF(A63&lt;'Données projet'!$A$36,$K$205^A63,IF(A63='Données projet'!$A$36,'Données projet'!$B$36,N62+M63-V62)))</f>
        <v>359.85714285714295</v>
      </c>
      <c r="O63" s="14">
        <f>N63*VLOOKUP('Données projet'!$B$9,Paramètres!$A$1:$I$89,3,0)*VLOOKUP('Données projet'!$B$9,Paramètres!$A$1:$I$89,5,0)</f>
        <v>168.4131428571429</v>
      </c>
      <c r="P63" s="14">
        <f t="shared" si="33"/>
        <v>42.734426620921077</v>
      </c>
      <c r="Q63" s="22">
        <f t="shared" si="53"/>
        <v>367.74868350762807</v>
      </c>
      <c r="R63" s="62">
        <f t="shared" si="0"/>
        <v>617.15106510937972</v>
      </c>
      <c r="S63" s="62">
        <f ca="1">AVERAGE(OFFSET($R$3,0,0,'Données projet'!$E$9+1,1))-AVERAGE(OFFSET($H$3,0,0,'Données projet'!$E$9+1,1))</f>
        <v>374.81775021423215</v>
      </c>
      <c r="T63" s="62">
        <f t="shared" si="34"/>
        <v>301.81248585467142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58.01883134593227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216.99600000000009</v>
      </c>
      <c r="AK63" s="14">
        <f t="shared" si="35"/>
        <v>53.461459647386917</v>
      </c>
      <c r="AL63" s="22">
        <f t="shared" si="4"/>
        <v>471.04674221919907</v>
      </c>
      <c r="AM63" s="62">
        <f t="shared" si="5"/>
        <v>720.44912382095072</v>
      </c>
      <c r="AN63" s="62">
        <f ca="1">AVERAGE(OFFSET($AM$3,0,0,'Données projet'!$E$10+1,1))-AVERAGE(OFFSET($H$3,0,0,'Données projet'!$E$10+1,1))</f>
        <v>468.39960552661171</v>
      </c>
      <c r="AO63" s="62">
        <f t="shared" si="36"/>
        <v>291.1952427029787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1.3165723120012349</v>
      </c>
      <c r="AW63" s="23">
        <f>EXP(-LN(2)/2)*AW62+(1-EXP(-LN(2)/2))/(LN(2)/2)*AQ63*AT63*VLOOKUP('Données projet'!$B$10,Paramètres!$A$1:$I$89,3,0)*0.475*44/12</f>
        <v>4.2919993541641225E-4</v>
      </c>
      <c r="AX63" s="23">
        <f t="shared" si="6"/>
        <v>1.3170015119366514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58.01883134593227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220</v>
      </c>
      <c r="BB63" s="13">
        <f>VLOOKUP(A63,'Données projet'!$A$87:$I$107,9,0)</f>
        <v>6</v>
      </c>
      <c r="BC63" s="13">
        <f t="array" ref="BC63">INDEX(BB:BB,MIN(IF(ISNUMBER(BB63:BB259),ROW(BB63:BB259),"")))</f>
        <v>6</v>
      </c>
      <c r="BD63" s="13">
        <f>IF('Données projet'!$A$88&gt;35,BD62+BC63-BL62,IF(A63&lt;'Données projet'!$A$88,$BA$205^A63,IF(A63='Données projet'!$A$88,'Données projet'!$B$88,BD62+BC63-BL62)))</f>
        <v>220.00000000000003</v>
      </c>
      <c r="BE63" s="14">
        <f>BD63*VLOOKUP('Données projet'!$B$11,Paramètres!$A$1:$I$89,3,0)*VLOOKUP('Données projet'!$B$11,Paramètres!$A$1:$I$89,5,0)</f>
        <v>192.19200000000006</v>
      </c>
      <c r="BF63" s="14">
        <f t="shared" si="37"/>
        <v>48.02424892193244</v>
      </c>
      <c r="BG63" s="22">
        <f t="shared" si="7"/>
        <v>418.37663353903241</v>
      </c>
      <c r="BH63" s="62">
        <f t="shared" si="8"/>
        <v>667.77901514078405</v>
      </c>
      <c r="BI63" s="62">
        <f ca="1">AVERAGE(OFFSET($BH$3,0,0,'Données projet'!$E$11+1,1))-AVERAGE(OFFSET($H$3,0,0,'Données projet'!$E$11+1,1))</f>
        <v>373.50005214669716</v>
      </c>
      <c r="BJ63" s="62">
        <f t="shared" si="38"/>
        <v>383.60460086643036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6.8966217478746499</v>
      </c>
      <c r="BR63" s="23">
        <f>EXP(-LN(2)/2)*BR62+(1-EXP(-LN(2)/2))/(LN(2)/2)*BL63*BO63*VLOOKUP('Données projet'!$B$11,Paramètres!$A$1:$I$89,3,0)*0.475*44/12</f>
        <v>4.5455244828982409E-4</v>
      </c>
      <c r="BS63" s="24">
        <f t="shared" si="9"/>
        <v>6.8970763003229401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58.01883134593227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210.13237351083279</v>
      </c>
      <c r="CE63" s="62">
        <f t="shared" si="40"/>
        <v>423.06475179432277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54.543321733458654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8.1172163083207474E-3</v>
      </c>
      <c r="CN63" s="24">
        <f t="shared" si="12"/>
        <v>54.551438949766975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58.01883134593227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273</v>
      </c>
      <c r="CR63" s="13">
        <f>VLOOKUP(A63,'Données projet'!$A$139:$I$159,9,0)</f>
        <v>9.4</v>
      </c>
      <c r="CS63" s="13">
        <f t="array" ref="CS63">INDEX(CR:CR,MIN(IF(ISNUMBER(CR63:CR259),ROW(CR63:CR259),"")))</f>
        <v>9.4</v>
      </c>
      <c r="CT63" s="13">
        <f>IF('Données projet'!$A$140&gt;35,CT62+CS63-DB62,IF(A63&lt;'Données projet'!$A$140,$CQ$205^A63,IF(A63='Données projet'!$A$140,'Données projet'!$B$140,CT62+CS63-DB62)))</f>
        <v>272.99999999999994</v>
      </c>
      <c r="CU63" s="18">
        <f>CT63*VLOOKUP('Données projet'!$B$13,Paramètres!$A$1:$I$89,3,0)*VLOOKUP('Données projet'!$B$13,Paramètres!$A$1:$I$89,5,0)</f>
        <v>247.01039999999992</v>
      </c>
      <c r="CV63" s="14">
        <f t="shared" si="41"/>
        <v>59.945315462121812</v>
      </c>
      <c r="CW63" s="22">
        <f t="shared" si="13"/>
        <v>534.61453776319524</v>
      </c>
      <c r="CX63" s="62">
        <f t="shared" si="14"/>
        <v>784.01691936494694</v>
      </c>
      <c r="CY63" s="62">
        <f ca="1">AVERAGE(OFFSET($CX$3,0,0,'Données projet'!$E$13+1,1))-AVERAGE(OFFSET($H$3,0,0,'Données projet'!$E$13+1,1))</f>
        <v>493.89660144134291</v>
      </c>
      <c r="CZ63" s="62">
        <f t="shared" si="42"/>
        <v>312.97494624463229</v>
      </c>
      <c r="DA63" s="16">
        <f>IF(ISNA(VLOOKUP(A63,'Données projet'!$A$139:$I$159,3,0)),0,VLOOKUP(A63,'Données projet'!$A$139:$I$159,3,0))</f>
        <v>9</v>
      </c>
      <c r="DB63" s="16">
        <f>IF(ISNA(VLOOKUP(A63,'Données projet'!$A$139:$I$159,4,0)),0,VLOOKUP(A63,'Données projet'!$A$139:$I$159,4,0))</f>
        <v>28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3.9742551253556062</v>
      </c>
      <c r="DH63" s="23">
        <f>EXP(-LN(2)/2)*DH62+(1-EXP(-LN(2)/2))/(LN(2)/2)*DB63*DE63*VLOOKUP('Données projet'!$B$13,Paramètres!$A$1:$I$89,3,0)*0.475*44/12</f>
        <v>4.5501021254143242E-4</v>
      </c>
      <c r="DI63" s="24">
        <f t="shared" si="15"/>
        <v>3.9747101355681478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58.01883134593227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>
        <f>DO63*VLOOKUP('Données projet'!$B$14,Paramètres!$A$1:$I$89,3,0)*VLOOKUP('Données projet'!$B$14,Paramètres!$A$1:$I$89,5,0)</f>
        <v>0</v>
      </c>
      <c r="DQ63" s="14" t="e">
        <f t="shared" si="43"/>
        <v>#NUM!</v>
      </c>
      <c r="DR63" s="22" t="e">
        <f t="shared" si="16"/>
        <v>#NUM!</v>
      </c>
      <c r="DS63" s="62" t="e">
        <f t="shared" si="17"/>
        <v>#NUM!</v>
      </c>
      <c r="DT63" s="62">
        <f ca="1">AVERAGE(OFFSET($DS$3,0,0,'Données projet'!$E$14+1,1))-AVERAGE(OFFSET($H$3,0,0,'Données projet'!$E$14+1,1))</f>
        <v>210.13237351083279</v>
      </c>
      <c r="DU63" s="62">
        <f t="shared" si="44"/>
        <v>423.06475179432277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54.543321733458654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8.1172163083207474E-3</v>
      </c>
      <c r="ED63" s="24">
        <f t="shared" si="18"/>
        <v>54.551438949766975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58.01883134593227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58.01883134593227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58.01883134593227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58.01883134593227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4.5049999999999999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16.518333333333334</v>
      </c>
      <c r="H64" s="70">
        <f t="shared" si="1"/>
        <v>147.64566666666667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58.226677836200047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15.714285714285714</v>
      </c>
      <c r="N64" s="14">
        <f>IF('Données projet'!$A$36&gt;35,N63+M64-V63,IF(A64&lt;'Données projet'!$A$36,$K$205^A64,IF(A64='Données projet'!$A$36,'Données projet'!$B$36,N63+M64-V63)))</f>
        <v>375.57142857142867</v>
      </c>
      <c r="O64" s="14">
        <f>N64*VLOOKUP('Données projet'!$B$9,Paramètres!$A$1:$I$89,3,0)*VLOOKUP('Données projet'!$B$9,Paramètres!$A$1:$I$89,5,0)</f>
        <v>175.76742857142864</v>
      </c>
      <c r="P64" s="14">
        <f t="shared" si="33"/>
        <v>44.379216881238008</v>
      </c>
      <c r="Q64" s="22">
        <f t="shared" si="53"/>
        <v>383.42207416339437</v>
      </c>
      <c r="R64" s="62">
        <f t="shared" si="0"/>
        <v>633.5865595627946</v>
      </c>
      <c r="S64" s="62">
        <f ca="1">AVERAGE(OFFSET($R$3,0,0,'Données projet'!$E$9+1,1))-AVERAGE(OFFSET($H$3,0,0,'Données projet'!$E$9+1,1))</f>
        <v>374.81775021423215</v>
      </c>
      <c r="T64" s="62">
        <f t="shared" si="34"/>
        <v>301.81248585467142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58.226677836200047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203.00280000000009</v>
      </c>
      <c r="AK64" s="14">
        <f t="shared" si="35"/>
        <v>50.403518824343074</v>
      </c>
      <c r="AL64" s="22">
        <f t="shared" si="4"/>
        <v>441.34933861906433</v>
      </c>
      <c r="AM64" s="62">
        <f t="shared" si="5"/>
        <v>691.51382401846456</v>
      </c>
      <c r="AN64" s="62">
        <f ca="1">AVERAGE(OFFSET($AM$3,0,0,'Données projet'!$E$10+1,1))-AVERAGE(OFFSET($H$3,0,0,'Données projet'!$E$10+1,1))</f>
        <v>468.39960552661171</v>
      </c>
      <c r="AO64" s="62">
        <f t="shared" si="36"/>
        <v>291.1952427029787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1.2805705728940324</v>
      </c>
      <c r="AW64" s="23">
        <f>EXP(-LN(2)/2)*AW63+(1-EXP(-LN(2)/2))/(LN(2)/2)*AQ64*AT64*VLOOKUP('Données projet'!$B$10,Paramètres!$A$1:$I$89,3,0)*0.475*44/12</f>
        <v>3.0349018481777335E-4</v>
      </c>
      <c r="AX64" s="23">
        <f t="shared" si="6"/>
        <v>1.2808740630788502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58.226677836200047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203.20000000000002</v>
      </c>
      <c r="BE64" s="14">
        <f>BD64*VLOOKUP('Données projet'!$B$11,Paramètres!$A$1:$I$89,3,0)*VLOOKUP('Données projet'!$B$11,Paramètres!$A$1:$I$89,5,0)</f>
        <v>177.51552000000004</v>
      </c>
      <c r="BF64" s="14">
        <f t="shared" si="37"/>
        <v>44.768988809542904</v>
      </c>
      <c r="BG64" s="22">
        <f t="shared" si="7"/>
        <v>387.145519509954</v>
      </c>
      <c r="BH64" s="62">
        <f t="shared" si="8"/>
        <v>637.31000490935423</v>
      </c>
      <c r="BI64" s="62">
        <f ca="1">AVERAGE(OFFSET($BH$3,0,0,'Données projet'!$E$11+1,1))-AVERAGE(OFFSET($H$3,0,0,'Données projet'!$E$11+1,1))</f>
        <v>373.50005214669716</v>
      </c>
      <c r="BJ64" s="62">
        <f t="shared" si="38"/>
        <v>383.60460086643036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6.7080332635014424</v>
      </c>
      <c r="BR64" s="23">
        <f>EXP(-LN(2)/2)*BR63+(1-EXP(-LN(2)/2))/(LN(2)/2)*BL64*BO64*VLOOKUP('Données projet'!$B$11,Paramètres!$A$1:$I$89,3,0)*0.475*44/12</f>
        <v>3.2141711859068214E-4</v>
      </c>
      <c r="BS64" s="24">
        <f t="shared" si="9"/>
        <v>6.7083546806200332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58.226677836200047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210.13237351083279</v>
      </c>
      <c r="CE64" s="62">
        <f t="shared" si="40"/>
        <v>423.06475179432277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53.47376046240683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5.7397386959716339E-3</v>
      </c>
      <c r="CN64" s="24">
        <f t="shared" si="12"/>
        <v>53.479500201102802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58.226677836200047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8.8000000000000007</v>
      </c>
      <c r="CT64" s="13">
        <f>IF('Données projet'!$A$140&gt;35,CT63+CS64-DB63,IF(A64&lt;'Données projet'!$A$140,$CQ$205^A64,IF(A64='Données projet'!$A$140,'Données projet'!$B$140,CT63+CS64-DB63)))</f>
        <v>253.79999999999995</v>
      </c>
      <c r="CU64" s="18">
        <f>CT64*VLOOKUP('Données projet'!$B$13,Paramètres!$A$1:$I$89,3,0)*VLOOKUP('Données projet'!$B$13,Paramètres!$A$1:$I$89,5,0)</f>
        <v>229.63823999999994</v>
      </c>
      <c r="CV64" s="14">
        <f t="shared" si="41"/>
        <v>56.204453396569633</v>
      </c>
      <c r="CW64" s="22">
        <f t="shared" si="13"/>
        <v>497.84269099902531</v>
      </c>
      <c r="CX64" s="62">
        <f t="shared" si="14"/>
        <v>748.00717639842549</v>
      </c>
      <c r="CY64" s="62">
        <f ca="1">AVERAGE(OFFSET($CX$3,0,0,'Données projet'!$E$13+1,1))-AVERAGE(OFFSET($H$3,0,0,'Données projet'!$E$13+1,1))</f>
        <v>493.89660144134291</v>
      </c>
      <c r="CZ64" s="62">
        <f t="shared" si="42"/>
        <v>312.97494624463229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3.8655789099557634</v>
      </c>
      <c r="DH64" s="23">
        <f>EXP(-LN(2)/2)*DH63+(1-EXP(-LN(2)/2))/(LN(2)/2)*DB64*DE64*VLOOKUP('Données projet'!$B$13,Paramètres!$A$1:$I$89,3,0)*0.475*44/12</f>
        <v>3.2174080679717913E-4</v>
      </c>
      <c r="DI64" s="24">
        <f t="shared" si="15"/>
        <v>3.8659006507625606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58.226677836200047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>
        <f>DO64*VLOOKUP('Données projet'!$B$14,Paramètres!$A$1:$I$89,3,0)*VLOOKUP('Données projet'!$B$14,Paramètres!$A$1:$I$89,5,0)</f>
        <v>0</v>
      </c>
      <c r="DQ64" s="14" t="e">
        <f t="shared" si="43"/>
        <v>#NUM!</v>
      </c>
      <c r="DR64" s="22" t="e">
        <f t="shared" si="16"/>
        <v>#NUM!</v>
      </c>
      <c r="DS64" s="62" t="e">
        <f t="shared" si="17"/>
        <v>#NUM!</v>
      </c>
      <c r="DT64" s="62">
        <f ca="1">AVERAGE(OFFSET($DS$3,0,0,'Données projet'!$E$14+1,1))-AVERAGE(OFFSET($H$3,0,0,'Données projet'!$E$14+1,1))</f>
        <v>210.13237351083279</v>
      </c>
      <c r="DU64" s="62">
        <f t="shared" si="44"/>
        <v>423.06475179432277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53.47376046240683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5.7397386959716339E-3</v>
      </c>
      <c r="ED64" s="24">
        <f t="shared" si="18"/>
        <v>53.479500201102802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58.226677836200047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58.226677836200047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58.226677836200047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58.226677836200047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4.5049999999999999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16.518333333333334</v>
      </c>
      <c r="H65" s="70">
        <f t="shared" si="1"/>
        <v>147.64566666666667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58.430918654536825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15.714285714285714</v>
      </c>
      <c r="N65" s="14">
        <f>IF('Données projet'!$A$36&gt;35,N64+M65-V64,IF(A65&lt;'Données projet'!$A$36,$K$205^A65,IF(A65='Données projet'!$A$36,'Données projet'!$B$36,N64+M65-V64)))</f>
        <v>391.28571428571439</v>
      </c>
      <c r="O65" s="14">
        <f>N65*VLOOKUP('Données projet'!$B$9,Paramètres!$A$1:$I$89,3,0)*VLOOKUP('Données projet'!$B$9,Paramètres!$A$1:$I$89,5,0)</f>
        <v>183.12171428571432</v>
      </c>
      <c r="P65" s="14">
        <f t="shared" si="33"/>
        <v>46.016013543487091</v>
      </c>
      <c r="Q65" s="22">
        <f t="shared" si="53"/>
        <v>399.08154263585919</v>
      </c>
      <c r="R65" s="62">
        <f t="shared" si="0"/>
        <v>649.9949110358275</v>
      </c>
      <c r="S65" s="62">
        <f ca="1">AVERAGE(OFFSET($R$3,0,0,'Données projet'!$E$9+1,1))-AVERAGE(OFFSET($H$3,0,0,'Données projet'!$E$9+1,1))</f>
        <v>374.81775021423215</v>
      </c>
      <c r="T65" s="62">
        <f t="shared" si="34"/>
        <v>301.81248585467142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58.430918654536825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210.3036000000001</v>
      </c>
      <c r="AK65" s="14">
        <f t="shared" si="35"/>
        <v>52.001924357524501</v>
      </c>
      <c r="AL65" s="22">
        <f t="shared" si="4"/>
        <v>456.84878825602203</v>
      </c>
      <c r="AM65" s="62">
        <f t="shared" si="5"/>
        <v>707.76215665599034</v>
      </c>
      <c r="AN65" s="62">
        <f ca="1">AVERAGE(OFFSET($AM$3,0,0,'Données projet'!$E$10+1,1))-AVERAGE(OFFSET($H$3,0,0,'Données projet'!$E$10+1,1))</f>
        <v>468.39960552661171</v>
      </c>
      <c r="AO65" s="62">
        <f t="shared" si="36"/>
        <v>291.1952427029787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1.2455533032359654</v>
      </c>
      <c r="AW65" s="23">
        <f>EXP(-LN(2)/2)*AW64+(1-EXP(-LN(2)/2))/(LN(2)/2)*AQ65*AT65*VLOOKUP('Données projet'!$B$10,Paramètres!$A$1:$I$89,3,0)*0.475*44/12</f>
        <v>2.1459996770820613E-4</v>
      </c>
      <c r="AX65" s="23">
        <f t="shared" si="6"/>
        <v>1.2457679032036735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58.430918654536825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208.4</v>
      </c>
      <c r="BE65" s="14">
        <f>BD65*VLOOKUP('Données projet'!$B$11,Paramètres!$A$1:$I$89,3,0)*VLOOKUP('Données projet'!$B$11,Paramètres!$A$1:$I$89,5,0)</f>
        <v>182.05824000000001</v>
      </c>
      <c r="BF65" s="14">
        <f t="shared" si="37"/>
        <v>45.779803189729343</v>
      </c>
      <c r="BG65" s="22">
        <f t="shared" si="7"/>
        <v>396.81792522211191</v>
      </c>
      <c r="BH65" s="62">
        <f t="shared" si="8"/>
        <v>647.73129362208033</v>
      </c>
      <c r="BI65" s="62">
        <f ca="1">AVERAGE(OFFSET($BH$3,0,0,'Données projet'!$E$11+1,1))-AVERAGE(OFFSET($H$3,0,0,'Données projet'!$E$11+1,1))</f>
        <v>373.50005214669716</v>
      </c>
      <c r="BJ65" s="62">
        <f t="shared" si="38"/>
        <v>383.60460086643036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6.5246017411508577</v>
      </c>
      <c r="BR65" s="23">
        <f>EXP(-LN(2)/2)*BR64+(1-EXP(-LN(2)/2))/(LN(2)/2)*BL65*BO65*VLOOKUP('Données projet'!$B$11,Paramètres!$A$1:$I$89,3,0)*0.475*44/12</f>
        <v>2.272762241449121E-4</v>
      </c>
      <c r="BS65" s="24">
        <f t="shared" si="9"/>
        <v>6.5248290173750023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58.430918654536825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210.13237351083279</v>
      </c>
      <c r="CE65" s="62">
        <f t="shared" si="40"/>
        <v>423.06475179432277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52.425172635512375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4.0586081541603737E-3</v>
      </c>
      <c r="CN65" s="24">
        <f t="shared" si="12"/>
        <v>52.429231243666536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58.430918654536825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8.8000000000000007</v>
      </c>
      <c r="CT65" s="13">
        <f>IF('Données projet'!$A$140&gt;35,CT64+CS65-DB64,IF(A65&lt;'Données projet'!$A$140,$CQ$205^A65,IF(A65='Données projet'!$A$140,'Données projet'!$B$140,CT64+CS65-DB64)))</f>
        <v>262.59999999999997</v>
      </c>
      <c r="CU65" s="18">
        <f>CT65*VLOOKUP('Données projet'!$B$13,Paramètres!$A$1:$I$89,3,0)*VLOOKUP('Données projet'!$B$13,Paramètres!$A$1:$I$89,5,0)</f>
        <v>237.60047999999995</v>
      </c>
      <c r="CV65" s="14">
        <f t="shared" si="41"/>
        <v>57.922960533442058</v>
      </c>
      <c r="CW65" s="22">
        <f t="shared" si="13"/>
        <v>514.70332559574479</v>
      </c>
      <c r="CX65" s="62">
        <f t="shared" si="14"/>
        <v>765.61669399571315</v>
      </c>
      <c r="CY65" s="62">
        <f ca="1">AVERAGE(OFFSET($CX$3,0,0,'Données projet'!$E$13+1,1))-AVERAGE(OFFSET($H$3,0,0,'Données projet'!$E$13+1,1))</f>
        <v>493.89660144134291</v>
      </c>
      <c r="CZ65" s="62">
        <f t="shared" si="42"/>
        <v>312.97494624463229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3.7598744513810631</v>
      </c>
      <c r="DH65" s="23">
        <f>EXP(-LN(2)/2)*DH64+(1-EXP(-LN(2)/2))/(LN(2)/2)*DB65*DE65*VLOOKUP('Données projet'!$B$13,Paramètres!$A$1:$I$89,3,0)*0.475*44/12</f>
        <v>2.2750510627071621E-4</v>
      </c>
      <c r="DI65" s="24">
        <f t="shared" si="15"/>
        <v>3.7601019564873339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58.430918654536825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>
        <f>DO65*VLOOKUP('Données projet'!$B$14,Paramètres!$A$1:$I$89,3,0)*VLOOKUP('Données projet'!$B$14,Paramètres!$A$1:$I$89,5,0)</f>
        <v>0</v>
      </c>
      <c r="DQ65" s="14" t="e">
        <f t="shared" si="43"/>
        <v>#NUM!</v>
      </c>
      <c r="DR65" s="22" t="e">
        <f t="shared" si="16"/>
        <v>#NUM!</v>
      </c>
      <c r="DS65" s="62" t="e">
        <f t="shared" si="17"/>
        <v>#NUM!</v>
      </c>
      <c r="DT65" s="62">
        <f ca="1">AVERAGE(OFFSET($DS$3,0,0,'Données projet'!$E$14+1,1))-AVERAGE(OFFSET($H$3,0,0,'Données projet'!$E$14+1,1))</f>
        <v>210.13237351083279</v>
      </c>
      <c r="DU65" s="62">
        <f t="shared" si="44"/>
        <v>423.06475179432277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52.425172635512375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4.0586081541603737E-3</v>
      </c>
      <c r="ED65" s="24">
        <f t="shared" si="18"/>
        <v>52.429231243666536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58.430918654536825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58.430918654536825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58.430918654536825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58.430918654536825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4.5049999999999999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16.518333333333334</v>
      </c>
      <c r="H66" s="70">
        <f t="shared" si="1"/>
        <v>147.64566666666667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58.631616351289509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407</v>
      </c>
      <c r="L66" s="13">
        <f>VLOOKUP(A66,'Données projet'!$A$35:$I$55,9,0)</f>
        <v>15.714285714285714</v>
      </c>
      <c r="M66" s="13">
        <f t="array" ref="M66">INDEX(L:L,MIN(IF(ISNUMBER(L66:L262),ROW(L66:L262),"")))</f>
        <v>15.714285714285714</v>
      </c>
      <c r="N66" s="14">
        <f>IF('Données projet'!$A$36&gt;35,N65+M66-V65,IF(A66&lt;'Données projet'!$A$36,$K$205^A66,IF(A66='Données projet'!$A$36,'Données projet'!$B$36,N65+M66-V65)))</f>
        <v>407.00000000000011</v>
      </c>
      <c r="O66" s="14">
        <f>N66*VLOOKUP('Données projet'!$B$9,Paramètres!$A$1:$I$89,3,0)*VLOOKUP('Données projet'!$B$9,Paramètres!$A$1:$I$89,5,0)</f>
        <v>190.47600000000006</v>
      </c>
      <c r="P66" s="14">
        <f t="shared" si="33"/>
        <v>47.645174362968355</v>
      </c>
      <c r="Q66" s="22">
        <f t="shared" si="53"/>
        <v>414.7277120155033</v>
      </c>
      <c r="R66" s="62">
        <f t="shared" si="0"/>
        <v>666.37697197023147</v>
      </c>
      <c r="S66" s="62">
        <f ca="1">AVERAGE(OFFSET($R$3,0,0,'Données projet'!$E$9+1,1))-AVERAGE(OFFSET($H$3,0,0,'Données projet'!$E$9+1,1))</f>
        <v>374.81775021423215</v>
      </c>
      <c r="T66" s="62">
        <f t="shared" si="34"/>
        <v>301.81248585467142</v>
      </c>
      <c r="U66" s="16">
        <f>IF(ISNA(VLOOKUP(A66,'Données projet'!$A$35:$I$55,3,0)),0,VLOOKUP(A66,'Données projet'!$A$35:$I$55,3,0))</f>
        <v>3</v>
      </c>
      <c r="V66" s="16">
        <f>IF(ISNA(VLOOKUP(A66,'Données projet'!$A$35:$I$55,4,0)),0,VLOOKUP(A66,'Données projet'!$A$35:$I$55,4,0))</f>
        <v>77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58.631616351289509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217.60440000000006</v>
      </c>
      <c r="AK66" s="14">
        <f t="shared" si="35"/>
        <v>53.593882578706406</v>
      </c>
      <c r="AL66" s="22">
        <f t="shared" si="4"/>
        <v>472.33700882458038</v>
      </c>
      <c r="AM66" s="62">
        <f t="shared" si="5"/>
        <v>723.9862687793086</v>
      </c>
      <c r="AN66" s="62">
        <f ca="1">AVERAGE(OFFSET($AM$3,0,0,'Données projet'!$E$10+1,1))-AVERAGE(OFFSET($H$3,0,0,'Données projet'!$E$10+1,1))</f>
        <v>468.39960552661171</v>
      </c>
      <c r="AO66" s="62">
        <f t="shared" si="36"/>
        <v>291.1952427029787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1.2114935826581765</v>
      </c>
      <c r="AW66" s="23">
        <f>EXP(-LN(2)/2)*AW65+(1-EXP(-LN(2)/2))/(LN(2)/2)*AQ66*AT66*VLOOKUP('Données projet'!$B$10,Paramètres!$A$1:$I$89,3,0)*0.475*44/12</f>
        <v>1.5174509240888667E-4</v>
      </c>
      <c r="AX66" s="23">
        <f t="shared" si="6"/>
        <v>1.2116453277505854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58.631616351289509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213.6</v>
      </c>
      <c r="BE66" s="14">
        <f>BD66*VLOOKUP('Données projet'!$B$11,Paramètres!$A$1:$I$89,3,0)*VLOOKUP('Données projet'!$B$11,Paramètres!$A$1:$I$89,5,0)</f>
        <v>186.60096000000001</v>
      </c>
      <c r="BF66" s="14">
        <f t="shared" si="37"/>
        <v>46.787685683664144</v>
      </c>
      <c r="BG66" s="22">
        <f t="shared" si="7"/>
        <v>406.48522456571504</v>
      </c>
      <c r="BH66" s="62">
        <f t="shared" si="8"/>
        <v>658.13448452044327</v>
      </c>
      <c r="BI66" s="62">
        <f ca="1">AVERAGE(OFFSET($BH$3,0,0,'Données projet'!$E$11+1,1))-AVERAGE(OFFSET($H$3,0,0,'Données projet'!$E$11+1,1))</f>
        <v>373.50005214669716</v>
      </c>
      <c r="BJ66" s="62">
        <f t="shared" si="38"/>
        <v>383.60460086643036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6.3461861634251937</v>
      </c>
      <c r="BR66" s="23">
        <f>EXP(-LN(2)/2)*BR65+(1-EXP(-LN(2)/2))/(LN(2)/2)*BL66*BO66*VLOOKUP('Données projet'!$B$11,Paramètres!$A$1:$I$89,3,0)*0.475*44/12</f>
        <v>1.607085592953411E-4</v>
      </c>
      <c r="BS66" s="24">
        <f t="shared" si="9"/>
        <v>6.3463468719844887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58.631616351289509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210.13237351083279</v>
      </c>
      <c r="CE66" s="62">
        <f t="shared" si="40"/>
        <v>423.06475179432277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51.397146976327896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2.869869347985817E-3</v>
      </c>
      <c r="CN66" s="24">
        <f t="shared" si="12"/>
        <v>51.400016845675879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58.631616351289509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8.8000000000000007</v>
      </c>
      <c r="CT66" s="13">
        <f>IF('Données projet'!$A$140&gt;35,CT65+CS66-DB65,IF(A66&lt;'Données projet'!$A$140,$CQ$205^A66,IF(A66='Données projet'!$A$140,'Données projet'!$B$140,CT65+CS66-DB65)))</f>
        <v>271.39999999999998</v>
      </c>
      <c r="CU66" s="18">
        <f>CT66*VLOOKUP('Données projet'!$B$13,Paramètres!$A$1:$I$89,3,0)*VLOOKUP('Données projet'!$B$13,Paramètres!$A$1:$I$89,5,0)</f>
        <v>245.56271999999998</v>
      </c>
      <c r="CV66" s="14">
        <f t="shared" si="41"/>
        <v>59.634776048276898</v>
      </c>
      <c r="CW66" s="22">
        <f t="shared" si="13"/>
        <v>531.55230561741564</v>
      </c>
      <c r="CX66" s="62">
        <f t="shared" si="14"/>
        <v>783.20156557214386</v>
      </c>
      <c r="CY66" s="62">
        <f ca="1">AVERAGE(OFFSET($CX$3,0,0,'Données projet'!$E$13+1,1))-AVERAGE(OFFSET($H$3,0,0,'Données projet'!$E$13+1,1))</f>
        <v>493.89660144134291</v>
      </c>
      <c r="CZ66" s="62">
        <f t="shared" si="42"/>
        <v>312.97494624463229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3.657060486784844</v>
      </c>
      <c r="DH66" s="23">
        <f>EXP(-LN(2)/2)*DH65+(1-EXP(-LN(2)/2))/(LN(2)/2)*DB66*DE66*VLOOKUP('Données projet'!$B$13,Paramètres!$A$1:$I$89,3,0)*0.475*44/12</f>
        <v>1.6087040339858957E-4</v>
      </c>
      <c r="DI66" s="24">
        <f t="shared" si="15"/>
        <v>3.6572213571882424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58.631616351289509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>
        <f>DO66*VLOOKUP('Données projet'!$B$14,Paramètres!$A$1:$I$89,3,0)*VLOOKUP('Données projet'!$B$14,Paramètres!$A$1:$I$89,5,0)</f>
        <v>0</v>
      </c>
      <c r="DQ66" s="14" t="e">
        <f t="shared" si="43"/>
        <v>#NUM!</v>
      </c>
      <c r="DR66" s="22" t="e">
        <f t="shared" si="16"/>
        <v>#NUM!</v>
      </c>
      <c r="DS66" s="62" t="e">
        <f t="shared" si="17"/>
        <v>#NUM!</v>
      </c>
      <c r="DT66" s="62">
        <f ca="1">AVERAGE(OFFSET($DS$3,0,0,'Données projet'!$E$14+1,1))-AVERAGE(OFFSET($H$3,0,0,'Données projet'!$E$14+1,1))</f>
        <v>210.13237351083279</v>
      </c>
      <c r="DU66" s="62">
        <f t="shared" si="44"/>
        <v>423.06475179432277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51.397146976327896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2.869869347985817E-3</v>
      </c>
      <c r="ED66" s="24">
        <f t="shared" si="18"/>
        <v>51.400016845675879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58.631616351289509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58.631616351289509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58.631616351289509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58.631616351289509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4.5049999999999999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16.518333333333334</v>
      </c>
      <c r="H67" s="70">
        <f t="shared" si="1"/>
        <v>147.64566666666667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58.828832391696373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15.125</v>
      </c>
      <c r="N67" s="14">
        <f>IF('Données projet'!$A$36&gt;35,N66+M67-V66,IF(A67&lt;'Données projet'!$A$36,$K$205^A67,IF(A67='Données projet'!$A$36,'Données projet'!$B$36,N66+M67-V66)))</f>
        <v>345.12500000000011</v>
      </c>
      <c r="O67" s="14">
        <f>N67*VLOOKUP('Données projet'!$B$9,Paramètres!$A$1:$I$89,3,0)*VLOOKUP('Données projet'!$B$9,Paramètres!$A$1:$I$89,5,0)</f>
        <v>161.51850000000005</v>
      </c>
      <c r="P67" s="14">
        <f t="shared" si="33"/>
        <v>41.18482880272019</v>
      </c>
      <c r="Q67" s="22">
        <f t="shared" ref="Q67:Q98" si="54">(O67+P67)*0.475*44/12</f>
        <v>353.04163099807107</v>
      </c>
      <c r="R67" s="62">
        <f t="shared" ref="R67:R130" si="55">Q67+(I67+J67)*44/12</f>
        <v>605.41401643429117</v>
      </c>
      <c r="S67" s="62">
        <f ca="1">AVERAGE(OFFSET($R$3,0,0,'Données projet'!$E$9+1,1))-AVERAGE(OFFSET($H$3,0,0,'Données projet'!$E$9+1,1))</f>
        <v>374.81775021423215</v>
      </c>
      <c r="T67" s="62">
        <f t="shared" si="34"/>
        <v>301.81248585467142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58.828832391696373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224.90520000000006</v>
      </c>
      <c r="AK67" s="14">
        <f t="shared" si="35"/>
        <v>55.17963460003309</v>
      </c>
      <c r="AL67" s="22">
        <f t="shared" si="4"/>
        <v>487.81442026172436</v>
      </c>
      <c r="AM67" s="62">
        <f t="shared" si="5"/>
        <v>740.18680569794446</v>
      </c>
      <c r="AN67" s="62">
        <f ca="1">AVERAGE(OFFSET($AM$3,0,0,'Données projet'!$E$10+1,1))-AVERAGE(OFFSET($H$3,0,0,'Données projet'!$E$10+1,1))</f>
        <v>468.39960552661171</v>
      </c>
      <c r="AO67" s="62">
        <f t="shared" si="36"/>
        <v>291.1952427029787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1.1783652269307101</v>
      </c>
      <c r="AW67" s="23">
        <f>EXP(-LN(2)/2)*AW66+(1-EXP(-LN(2)/2))/(LN(2)/2)*AQ67*AT67*VLOOKUP('Données projet'!$B$10,Paramètres!$A$1:$I$89,3,0)*0.475*44/12</f>
        <v>1.0729998385410306E-4</v>
      </c>
      <c r="AX67" s="23">
        <f t="shared" si="6"/>
        <v>1.1784725269145642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58.828832391696373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218.79999999999998</v>
      </c>
      <c r="BE67" s="14">
        <f>BD67*VLOOKUP('Données projet'!$B$11,Paramètres!$A$1:$I$89,3,0)*VLOOKUP('Données projet'!$B$11,Paramètres!$A$1:$I$89,5,0)</f>
        <v>191.14368000000002</v>
      </c>
      <c r="BF67" s="14">
        <f t="shared" si="37"/>
        <v>47.792715878069586</v>
      </c>
      <c r="BG67" s="22">
        <f t="shared" si="7"/>
        <v>416.14755615430454</v>
      </c>
      <c r="BH67" s="62">
        <f t="shared" si="8"/>
        <v>668.51994159052458</v>
      </c>
      <c r="BI67" s="62">
        <f ca="1">AVERAGE(OFFSET($BH$3,0,0,'Données projet'!$E$11+1,1))-AVERAGE(OFFSET($H$3,0,0,'Données projet'!$E$11+1,1))</f>
        <v>373.50005214669716</v>
      </c>
      <c r="BJ67" s="62">
        <f t="shared" si="38"/>
        <v>383.60460086643036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6.1726493690549056</v>
      </c>
      <c r="BR67" s="23">
        <f>EXP(-LN(2)/2)*BR66+(1-EXP(-LN(2)/2))/(LN(2)/2)*BL67*BO67*VLOOKUP('Données projet'!$B$11,Paramètres!$A$1:$I$89,3,0)*0.475*44/12</f>
        <v>1.1363811207245606E-4</v>
      </c>
      <c r="BS67" s="24">
        <f t="shared" si="9"/>
        <v>6.1727630071669779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58.828832391696373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210.13237351083279</v>
      </c>
      <c r="CE67" s="62">
        <f t="shared" si="40"/>
        <v>423.06475179432277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50.389280273286289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2.0293040770801869E-3</v>
      </c>
      <c r="CN67" s="24">
        <f t="shared" si="12"/>
        <v>50.391309577363366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58.828832391696373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8.8000000000000007</v>
      </c>
      <c r="CT67" s="13">
        <f>IF('Données projet'!$A$140&gt;35,CT66+CS67-DB66,IF(A67&lt;'Données projet'!$A$140,$CQ$205^A67,IF(A67='Données projet'!$A$140,'Données projet'!$B$140,CT66+CS67-DB66)))</f>
        <v>280.2</v>
      </c>
      <c r="CU67" s="18">
        <f>CT67*VLOOKUP('Données projet'!$B$13,Paramètres!$A$1:$I$89,3,0)*VLOOKUP('Données projet'!$B$13,Paramètres!$A$1:$I$89,5,0)</f>
        <v>253.52495999999999</v>
      </c>
      <c r="CV67" s="14">
        <f t="shared" si="41"/>
        <v>61.340141798422209</v>
      </c>
      <c r="CW67" s="22">
        <f t="shared" si="13"/>
        <v>548.39005229891859</v>
      </c>
      <c r="CX67" s="62">
        <f t="shared" si="14"/>
        <v>800.76243773513863</v>
      </c>
      <c r="CY67" s="62">
        <f ca="1">AVERAGE(OFFSET($CX$3,0,0,'Données projet'!$E$13+1,1))-AVERAGE(OFFSET($H$3,0,0,'Données projet'!$E$13+1,1))</f>
        <v>493.89660144134291</v>
      </c>
      <c r="CZ67" s="62">
        <f t="shared" si="42"/>
        <v>312.97494624463229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3.5570579754572598</v>
      </c>
      <c r="DH67" s="23">
        <f>EXP(-LN(2)/2)*DH66+(1-EXP(-LN(2)/2))/(LN(2)/2)*DB67*DE67*VLOOKUP('Données projet'!$B$13,Paramètres!$A$1:$I$89,3,0)*0.475*44/12</f>
        <v>1.1375255313535811E-4</v>
      </c>
      <c r="DI67" s="24">
        <f t="shared" si="15"/>
        <v>3.5571717280103949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58.828832391696373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>
        <f>DO67*VLOOKUP('Données projet'!$B$14,Paramètres!$A$1:$I$89,3,0)*VLOOKUP('Données projet'!$B$14,Paramètres!$A$1:$I$89,5,0)</f>
        <v>0</v>
      </c>
      <c r="DQ67" s="14" t="e">
        <f t="shared" si="43"/>
        <v>#NUM!</v>
      </c>
      <c r="DR67" s="22" t="e">
        <f t="shared" si="16"/>
        <v>#NUM!</v>
      </c>
      <c r="DS67" s="62" t="e">
        <f t="shared" si="17"/>
        <v>#NUM!</v>
      </c>
      <c r="DT67" s="62">
        <f ca="1">AVERAGE(OFFSET($DS$3,0,0,'Données projet'!$E$14+1,1))-AVERAGE(OFFSET($H$3,0,0,'Données projet'!$E$14+1,1))</f>
        <v>210.13237351083279</v>
      </c>
      <c r="DU67" s="62">
        <f t="shared" si="44"/>
        <v>423.06475179432277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50.389280273286289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2.0293040770801869E-3</v>
      </c>
      <c r="ED67" s="24">
        <f t="shared" si="18"/>
        <v>50.391309577363366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58.828832391696373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58.828832391696373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58.828832391696373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58.828832391696373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4.5049999999999999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16.518333333333334</v>
      </c>
      <c r="H68" s="70">
        <f t="shared" ref="H68:H131" si="56">(B68+E68+F68)*44/12+(C68+D68)*0.475*44/12</f>
        <v>147.64566666666667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59.022627174711197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15.125</v>
      </c>
      <c r="N68" s="14">
        <f>IF('Données projet'!$A$36&gt;35,N67+M68-V67,IF(A68&lt;'Données projet'!$A$36,$K$205^A68,IF(A68='Données projet'!$A$36,'Données projet'!$B$36,N67+M68-V67)))</f>
        <v>360.25000000000011</v>
      </c>
      <c r="O68" s="14">
        <f>N68*VLOOKUP('Données projet'!$B$9,Paramètres!$A$1:$I$89,3,0)*VLOOKUP('Données projet'!$B$9,Paramètres!$A$1:$I$89,5,0)</f>
        <v>168.59700000000004</v>
      </c>
      <c r="P68" s="14">
        <f t="shared" si="33"/>
        <v>42.775646862368646</v>
      </c>
      <c r="Q68" s="22">
        <f t="shared" si="54"/>
        <v>368.14069328529212</v>
      </c>
      <c r="R68" s="62">
        <f t="shared" si="55"/>
        <v>621.22365959256649</v>
      </c>
      <c r="S68" s="62">
        <f ca="1">AVERAGE(OFFSET($R$3,0,0,'Données projet'!$E$9+1,1))-AVERAGE(OFFSET($H$3,0,0,'Données projet'!$E$9+1,1))</f>
        <v>374.81775021423215</v>
      </c>
      <c r="T68" s="62">
        <f t="shared" si="34"/>
        <v>301.81248585467142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59.022627174711197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232.20600000000005</v>
      </c>
      <c r="AK68" s="14">
        <f t="shared" si="35"/>
        <v>56.759404991217572</v>
      </c>
      <c r="AL68" s="22">
        <f t="shared" ref="AL68:AL131" si="58">(AJ68+AK68)*0.475*44/12</f>
        <v>503.28141369303734</v>
      </c>
      <c r="AM68" s="62">
        <f t="shared" ref="AM68:AM131" si="59">AL68+(AD68+AE68)*44/12</f>
        <v>756.36438000031171</v>
      </c>
      <c r="AN68" s="62">
        <f ca="1">AVERAGE(OFFSET($AM$3,0,0,'Données projet'!$E$10+1,1))-AVERAGE(OFFSET($H$3,0,0,'Données projet'!$E$10+1,1))</f>
        <v>468.39960552661171</v>
      </c>
      <c r="AO68" s="62">
        <f t="shared" si="36"/>
        <v>291.1952427029787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1.1461427678327558</v>
      </c>
      <c r="AW68" s="23">
        <f>EXP(-LN(2)/2)*AW67+(1-EXP(-LN(2)/2))/(LN(2)/2)*AQ68*AT68*VLOOKUP('Données projet'!$B$10,Paramètres!$A$1:$I$89,3,0)*0.475*44/12</f>
        <v>7.5872546204443336E-5</v>
      </c>
      <c r="AX68" s="23">
        <f t="shared" ref="AX68:AX131" si="60">SUM(AU68:AW68)</f>
        <v>1.1462186403789603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59.022627174711197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224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223.99999999999997</v>
      </c>
      <c r="BE68" s="14">
        <f>BD68*VLOOKUP('Données projet'!$B$11,Paramètres!$A$1:$I$89,3,0)*VLOOKUP('Données projet'!$B$11,Paramètres!$A$1:$I$89,5,0)</f>
        <v>195.68639999999999</v>
      </c>
      <c r="BF68" s="14">
        <f t="shared" si="37"/>
        <v>48.794969360985156</v>
      </c>
      <c r="BG68" s="22">
        <f t="shared" ref="BG68:BG131" si="61">(BE68+BF68)*0.475*44/12</f>
        <v>425.80505163704908</v>
      </c>
      <c r="BH68" s="62">
        <f t="shared" ref="BH68:BH131" si="62">BG68+(AY68+AZ68)*44/12</f>
        <v>678.88801794432345</v>
      </c>
      <c r="BI68" s="62">
        <f ca="1">AVERAGE(OFFSET($BH$3,0,0,'Données projet'!$E$11+1,1))-AVERAGE(OFFSET($H$3,0,0,'Données projet'!$E$11+1,1))</f>
        <v>373.50005214669716</v>
      </c>
      <c r="BJ68" s="62">
        <f t="shared" si="38"/>
        <v>383.60460086643036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6.0038579474525768</v>
      </c>
      <c r="BR68" s="23">
        <f>EXP(-LN(2)/2)*BR67+(1-EXP(-LN(2)/2))/(LN(2)/2)*BL68*BO68*VLOOKUP('Données projet'!$B$11,Paramètres!$A$1:$I$89,3,0)*0.475*44/12</f>
        <v>8.0354279647670563E-5</v>
      </c>
      <c r="BS68" s="24">
        <f t="shared" ref="BS68:BS131" si="63">SUM(BP68:BR68)</f>
        <v>6.0039383017322248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59.022627174711197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210.13237351083279</v>
      </c>
      <c r="CE68" s="62">
        <f t="shared" si="40"/>
        <v>423.06475179432277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49.40117722155334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1.4349346739929085E-3</v>
      </c>
      <c r="CN68" s="24">
        <f t="shared" ref="CN68:CN131" si="66">SUM(CK68:CM68)</f>
        <v>49.402612156227335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59.022627174711197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289</v>
      </c>
      <c r="CR68" s="13">
        <f>VLOOKUP(A68,'Données projet'!$A$139:$I$159,9,0)</f>
        <v>8.8000000000000007</v>
      </c>
      <c r="CS68" s="13">
        <f t="array" ref="CS68">INDEX(CR:CR,MIN(IF(ISNUMBER(CR68:CR264),ROW(CR68:CR264),"")))</f>
        <v>8.8000000000000007</v>
      </c>
      <c r="CT68" s="13">
        <f>IF('Données projet'!$A$140&gt;35,CT67+CS68-DB67,IF(A68&lt;'Données projet'!$A$140,$CQ$205^A68,IF(A68='Données projet'!$A$140,'Données projet'!$B$140,CT67+CS68-DB67)))</f>
        <v>289</v>
      </c>
      <c r="CU68" s="18">
        <f>CT68*VLOOKUP('Données projet'!$B$13,Paramètres!$A$1:$I$89,3,0)*VLOOKUP('Données projet'!$B$13,Paramètres!$A$1:$I$89,5,0)</f>
        <v>261.48719999999997</v>
      </c>
      <c r="CV68" s="14">
        <f t="shared" si="41"/>
        <v>63.039283586802391</v>
      </c>
      <c r="CW68" s="22">
        <f t="shared" ref="CW68:CW131" si="67">(CU68+CV68)*0.475*44/12</f>
        <v>565.21695891368086</v>
      </c>
      <c r="CX68" s="62">
        <f t="shared" ref="CX68:CX131" si="68">CW68+(CO68+CP68)*44/12</f>
        <v>818.29992522095529</v>
      </c>
      <c r="CY68" s="62">
        <f ca="1">AVERAGE(OFFSET($CX$3,0,0,'Données projet'!$E$13+1,1))-AVERAGE(OFFSET($H$3,0,0,'Données projet'!$E$13+1,1))</f>
        <v>493.89660144134291</v>
      </c>
      <c r="CZ68" s="62">
        <f t="shared" si="42"/>
        <v>312.97494624463229</v>
      </c>
      <c r="DA68" s="16">
        <f>IF(ISNA(VLOOKUP(A68,'Données projet'!$A$139:$I$159,3,0)),0,VLOOKUP(A68,'Données projet'!$A$139:$I$159,3,0))</f>
        <v>10</v>
      </c>
      <c r="DB68" s="16">
        <f>IF(ISNA(VLOOKUP(A68,'Données projet'!$A$139:$I$159,4,0)),0,VLOOKUP(A68,'Données projet'!$A$139:$I$159,4,0))</f>
        <v>28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3.4597900380608317</v>
      </c>
      <c r="DH68" s="23">
        <f>EXP(-LN(2)/2)*DH67+(1-EXP(-LN(2)/2))/(LN(2)/2)*DB68*DE68*VLOOKUP('Données projet'!$B$13,Paramètres!$A$1:$I$89,3,0)*0.475*44/12</f>
        <v>8.0435201699294783E-5</v>
      </c>
      <c r="DI68" s="24">
        <f t="shared" ref="DI68:DI131" si="69">SUM(DF68:DH68)</f>
        <v>3.4598704732625309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59.022627174711197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>
        <f>DO68*VLOOKUP('Données projet'!$B$14,Paramètres!$A$1:$I$89,3,0)*VLOOKUP('Données projet'!$B$14,Paramètres!$A$1:$I$89,5,0)</f>
        <v>0</v>
      </c>
      <c r="DQ68" s="14" t="e">
        <f t="shared" si="43"/>
        <v>#NUM!</v>
      </c>
      <c r="DR68" s="22" t="e">
        <f t="shared" ref="DR68:DR131" si="70">(DP68+DQ68)*0.475*44/12</f>
        <v>#NUM!</v>
      </c>
      <c r="DS68" s="62" t="e">
        <f t="shared" ref="DS68:DS131" si="71">DR68+(DJ68+DK68)*44/12</f>
        <v>#NUM!</v>
      </c>
      <c r="DT68" s="62">
        <f ca="1">AVERAGE(OFFSET($DS$3,0,0,'Données projet'!$E$14+1,1))-AVERAGE(OFFSET($H$3,0,0,'Données projet'!$E$14+1,1))</f>
        <v>210.13237351083279</v>
      </c>
      <c r="DU68" s="62">
        <f t="shared" si="44"/>
        <v>423.06475179432277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49.40117722155334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1.4349346739929085E-3</v>
      </c>
      <c r="ED68" s="24">
        <f t="shared" ref="ED68:ED131" si="72">SUM(EA68:EC68)</f>
        <v>49.402612156227335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59.022627174711197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59.022627174711197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59.022627174711197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59.022627174711197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4.5049999999999999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16.518333333333334</v>
      </c>
      <c r="H69" s="70">
        <f t="shared" si="56"/>
        <v>147.64566666666667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59.213060051500939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15.125</v>
      </c>
      <c r="N69" s="14">
        <f>IF('Données projet'!$A$36&gt;35,N68+M69-V68,IF(A69&lt;'Données projet'!$A$36,$K$205^A69,IF(A69='Données projet'!$A$36,'Données projet'!$B$36,N68+M69-V68)))</f>
        <v>375.37500000000011</v>
      </c>
      <c r="O69" s="14">
        <f>N69*VLOOKUP('Données projet'!$B$9,Paramètres!$A$1:$I$89,3,0)*VLOOKUP('Données projet'!$B$9,Paramètres!$A$1:$I$89,5,0)</f>
        <v>175.67550000000006</v>
      </c>
      <c r="P69" s="14">
        <f t="shared" ref="P69:P132" si="87">EXP(-1.0587+0.8836*LN(O69)+0.284)</f>
        <v>44.358707116645647</v>
      </c>
      <c r="Q69" s="22">
        <f t="shared" si="54"/>
        <v>383.22624406149117</v>
      </c>
      <c r="R69" s="62">
        <f t="shared" si="55"/>
        <v>637.00746425032798</v>
      </c>
      <c r="S69" s="62">
        <f ca="1">AVERAGE(OFFSET($R$3,0,0,'Données projet'!$E$9+1,1))-AVERAGE(OFFSET($H$3,0,0,'Données projet'!$E$9+1,1))</f>
        <v>374.81775021423215</v>
      </c>
      <c r="T69" s="62">
        <f t="shared" ref="T69:T132" si="88">$T$3</f>
        <v>301.81248585467142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59.213060051500939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217.80720000000005</v>
      </c>
      <c r="AK69" s="14">
        <f t="shared" ref="AK69:AK132" si="89">EXP(-1.0587+0.8836*LN(AJ69)+0.284)</f>
        <v>53.638013973813976</v>
      </c>
      <c r="AL69" s="22">
        <f t="shared" si="58"/>
        <v>472.76708100439265</v>
      </c>
      <c r="AM69" s="62">
        <f t="shared" si="59"/>
        <v>726.54830119322946</v>
      </c>
      <c r="AN69" s="62">
        <f ca="1">AVERAGE(OFFSET($AM$3,0,0,'Données projet'!$E$10+1,1))-AVERAGE(OFFSET($H$3,0,0,'Données projet'!$E$10+1,1))</f>
        <v>468.39960552661171</v>
      </c>
      <c r="AO69" s="62">
        <f t="shared" ref="AO69:AO132" si="90">$AO$3</f>
        <v>291.1952427029787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1.1148014335733405</v>
      </c>
      <c r="AW69" s="23">
        <f>EXP(-LN(2)/2)*AW68+(1-EXP(-LN(2)/2))/(LN(2)/2)*AQ69*AT69*VLOOKUP('Données projet'!$B$10,Paramètres!$A$1:$I$89,3,0)*0.475*44/12</f>
        <v>5.3649991927051531E-5</v>
      </c>
      <c r="AX69" s="23">
        <f t="shared" si="60"/>
        <v>1.1148550835652675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59.213060051500939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4.5999999999999996</v>
      </c>
      <c r="BD69" s="13">
        <f>IF('Données projet'!$A$88&gt;35,BD68+BC69-BL68,IF(A69&lt;'Données projet'!$A$88,$BA$205^A69,IF(A69='Données projet'!$A$88,'Données projet'!$B$88,BD68+BC69-BL68)))</f>
        <v>208.59999999999997</v>
      </c>
      <c r="BE69" s="14">
        <f>BD69*VLOOKUP('Données projet'!$B$11,Paramètres!$A$1:$I$89,3,0)*VLOOKUP('Données projet'!$B$11,Paramètres!$A$1:$I$89,5,0)</f>
        <v>182.23295999999999</v>
      </c>
      <c r="BF69" s="14">
        <f t="shared" ref="BF69:BF132" si="91">EXP(-1.0587+0.8836*LN(BE69)+0.284)</f>
        <v>45.818621592366291</v>
      </c>
      <c r="BG69" s="22">
        <f t="shared" si="61"/>
        <v>397.18983794003793</v>
      </c>
      <c r="BH69" s="62">
        <f t="shared" si="62"/>
        <v>650.97105812887469</v>
      </c>
      <c r="BI69" s="62">
        <f ca="1">AVERAGE(OFFSET($BH$3,0,0,'Données projet'!$E$11+1,1))-AVERAGE(OFFSET($H$3,0,0,'Données projet'!$E$11+1,1))</f>
        <v>373.50005214669716</v>
      </c>
      <c r="BJ69" s="62">
        <f t="shared" ref="BJ69:BJ132" si="92">$BJ$3</f>
        <v>383.60460086643036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5.8396821361503184</v>
      </c>
      <c r="BR69" s="23">
        <f>EXP(-LN(2)/2)*BR68+(1-EXP(-LN(2)/2))/(LN(2)/2)*BL69*BO69*VLOOKUP('Données projet'!$B$11,Paramètres!$A$1:$I$89,3,0)*0.475*44/12</f>
        <v>5.6819056036228039E-5</v>
      </c>
      <c r="BS69" s="24">
        <f t="shared" si="63"/>
        <v>5.8397389552063546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59.213060051500939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210.13237351083279</v>
      </c>
      <c r="CE69" s="62">
        <f t="shared" ref="CE69:CE132" si="94">$CE$3</f>
        <v>423.06475179432277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48.432450267981523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1.0146520385400934E-3</v>
      </c>
      <c r="CN69" s="24">
        <f t="shared" si="66"/>
        <v>48.433464920020064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59.213060051500939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8.1999999999999993</v>
      </c>
      <c r="CT69" s="13">
        <f>IF('Données projet'!$A$140&gt;35,CT68+CS69-DB68,IF(A69&lt;'Données projet'!$A$140,$CQ$205^A69,IF(A69='Données projet'!$A$140,'Données projet'!$B$140,CT68+CS69-DB68)))</f>
        <v>269.2</v>
      </c>
      <c r="CU69" s="18">
        <f>CT69*VLOOKUP('Données projet'!$B$13,Paramètres!$A$1:$I$89,3,0)*VLOOKUP('Données projet'!$B$13,Paramètres!$A$1:$I$89,5,0)</f>
        <v>243.57216</v>
      </c>
      <c r="CV69" s="14">
        <f t="shared" ref="CV69:CV132" si="95">EXP(-1.0587+0.8836*LN(CU69)+0.284)</f>
        <v>59.207435995642292</v>
      </c>
      <c r="CW69" s="22">
        <f t="shared" si="67"/>
        <v>527.34112969241028</v>
      </c>
      <c r="CX69" s="62">
        <f t="shared" si="68"/>
        <v>781.12234988124703</v>
      </c>
      <c r="CY69" s="62">
        <f ca="1">AVERAGE(OFFSET($CX$3,0,0,'Données projet'!$E$13+1,1))-AVERAGE(OFFSET($H$3,0,0,'Données projet'!$E$13+1,1))</f>
        <v>493.89660144134291</v>
      </c>
      <c r="CZ69" s="62">
        <f t="shared" ref="CZ69:CZ132" si="96">$CZ$3</f>
        <v>312.97494624463229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3.3651818975276075</v>
      </c>
      <c r="DH69" s="23">
        <f>EXP(-LN(2)/2)*DH68+(1-EXP(-LN(2)/2))/(LN(2)/2)*DB69*DE69*VLOOKUP('Données projet'!$B$13,Paramètres!$A$1:$I$89,3,0)*0.475*44/12</f>
        <v>5.6876276567679053E-5</v>
      </c>
      <c r="DI69" s="24">
        <f t="shared" si="69"/>
        <v>3.3652387738041751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59.213060051500939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>
        <f>DO69*VLOOKUP('Données projet'!$B$14,Paramètres!$A$1:$I$89,3,0)*VLOOKUP('Données projet'!$B$14,Paramètres!$A$1:$I$89,5,0)</f>
        <v>0</v>
      </c>
      <c r="DQ69" s="14" t="e">
        <f t="shared" ref="DQ69:DQ132" si="97">EXP(-1.0587+0.8836*LN(DP69)+0.284)</f>
        <v>#NUM!</v>
      </c>
      <c r="DR69" s="22" t="e">
        <f t="shared" si="70"/>
        <v>#NUM!</v>
      </c>
      <c r="DS69" s="62" t="e">
        <f t="shared" si="71"/>
        <v>#NUM!</v>
      </c>
      <c r="DT69" s="62">
        <f ca="1">AVERAGE(OFFSET($DS$3,0,0,'Données projet'!$E$14+1,1))-AVERAGE(OFFSET($H$3,0,0,'Données projet'!$E$14+1,1))</f>
        <v>210.13237351083279</v>
      </c>
      <c r="DU69" s="62">
        <f t="shared" ref="DU69:DU132" si="98">$DU$3</f>
        <v>423.06475179432277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48.432450267981523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1.0146520385400934E-3</v>
      </c>
      <c r="ED69" s="24">
        <f t="shared" si="72"/>
        <v>48.433464920020064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59.213060051500939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59.213060051500939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59.213060051500939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59.213060051500939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4.5049999999999999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16.518333333333334</v>
      </c>
      <c r="H70" s="70">
        <f t="shared" si="56"/>
        <v>147.64566666666667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59.400189343622507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15.125</v>
      </c>
      <c r="N70" s="14">
        <f>IF('Données projet'!$A$36&gt;35,N69+M70-V69,IF(A70&lt;'Données projet'!$A$36,$K$205^A70,IF(A70='Données projet'!$A$36,'Données projet'!$B$36,N69+M70-V69)))</f>
        <v>390.50000000000011</v>
      </c>
      <c r="O70" s="14">
        <f>N70*VLOOKUP('Données projet'!$B$9,Paramètres!$A$1:$I$89,3,0)*VLOOKUP('Données projet'!$B$9,Paramètres!$A$1:$I$89,5,0)</f>
        <v>182.75400000000005</v>
      </c>
      <c r="P70" s="14">
        <f t="shared" si="87"/>
        <v>45.934357911110254</v>
      </c>
      <c r="Q70" s="22">
        <f t="shared" si="54"/>
        <v>398.29889002851706</v>
      </c>
      <c r="R70" s="62">
        <f t="shared" si="55"/>
        <v>652.76625095513293</v>
      </c>
      <c r="S70" s="62">
        <f ca="1">AVERAGE(OFFSET($R$3,0,0,'Données projet'!$E$9+1,1))-AVERAGE(OFFSET($H$3,0,0,'Données projet'!$E$9+1,1))</f>
        <v>374.81775021423215</v>
      </c>
      <c r="T70" s="62">
        <f t="shared" si="88"/>
        <v>301.81248585467142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59.400189343622507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224.7024000000001</v>
      </c>
      <c r="AK70" s="14">
        <f t="shared" si="89"/>
        <v>55.135667706678312</v>
      </c>
      <c r="AL70" s="22">
        <f t="shared" si="58"/>
        <v>487.38463458913157</v>
      </c>
      <c r="AM70" s="62">
        <f t="shared" si="59"/>
        <v>741.85199551574749</v>
      </c>
      <c r="AN70" s="62">
        <f ca="1">AVERAGE(OFFSET($AM$3,0,0,'Données projet'!$E$10+1,1))-AVERAGE(OFFSET($H$3,0,0,'Données projet'!$E$10+1,1))</f>
        <v>468.39960552661171</v>
      </c>
      <c r="AO70" s="62">
        <f t="shared" si="90"/>
        <v>291.1952427029787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1.0843171297474181</v>
      </c>
      <c r="AW70" s="23">
        <f>EXP(-LN(2)/2)*AW69+(1-EXP(-LN(2)/2))/(LN(2)/2)*AQ70*AT70*VLOOKUP('Données projet'!$B$10,Paramètres!$A$1:$I$89,3,0)*0.475*44/12</f>
        <v>3.7936273102221668E-5</v>
      </c>
      <c r="AX70" s="23">
        <f t="shared" si="60"/>
        <v>1.0843550660205203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59.400189343622507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4.5999999999999996</v>
      </c>
      <c r="BD70" s="13">
        <f>IF('Données projet'!$A$88&gt;35,BD69+BC70-BL69,IF(A70&lt;'Données projet'!$A$88,$BA$205^A70,IF(A70='Données projet'!$A$88,'Données projet'!$B$88,BD69+BC70-BL69)))</f>
        <v>213.19999999999996</v>
      </c>
      <c r="BE70" s="14">
        <f>BD70*VLOOKUP('Données projet'!$B$11,Paramètres!$A$1:$I$89,3,0)*VLOOKUP('Données projet'!$B$11,Paramètres!$A$1:$I$89,5,0)</f>
        <v>186.25152</v>
      </c>
      <c r="BF70" s="14">
        <f t="shared" si="91"/>
        <v>46.71025851515671</v>
      </c>
      <c r="BG70" s="22">
        <f t="shared" si="61"/>
        <v>405.74176424723129</v>
      </c>
      <c r="BH70" s="62">
        <f t="shared" si="62"/>
        <v>660.20912517384716</v>
      </c>
      <c r="BI70" s="62">
        <f ca="1">AVERAGE(OFFSET($BH$3,0,0,'Données projet'!$E$11+1,1))-AVERAGE(OFFSET($H$3,0,0,'Données projet'!$E$11+1,1))</f>
        <v>373.50005214669716</v>
      </c>
      <c r="BJ70" s="62">
        <f t="shared" si="92"/>
        <v>383.60460086643036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5.6799957210417515</v>
      </c>
      <c r="BR70" s="23">
        <f>EXP(-LN(2)/2)*BR69+(1-EXP(-LN(2)/2))/(LN(2)/2)*BL70*BO70*VLOOKUP('Données projet'!$B$11,Paramètres!$A$1:$I$89,3,0)*0.475*44/12</f>
        <v>4.0177139823835282E-5</v>
      </c>
      <c r="BS70" s="24">
        <f t="shared" si="63"/>
        <v>5.6800358981815755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59.400189343622507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210.13237351083279</v>
      </c>
      <c r="CE70" s="62">
        <f t="shared" si="94"/>
        <v>423.06475179432277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47.482719459104146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7.1746733699645424E-4</v>
      </c>
      <c r="CN70" s="24">
        <f t="shared" si="66"/>
        <v>47.483436926441144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59.400189343622507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8.1999999999999993</v>
      </c>
      <c r="CT70" s="13">
        <f>IF('Données projet'!$A$140&gt;35,CT69+CS70-DB69,IF(A70&lt;'Données projet'!$A$140,$CQ$205^A70,IF(A70='Données projet'!$A$140,'Données projet'!$B$140,CT69+CS70-DB69)))</f>
        <v>277.39999999999998</v>
      </c>
      <c r="CU70" s="18">
        <f>CT70*VLOOKUP('Données projet'!$B$13,Paramètres!$A$1:$I$89,3,0)*VLOOKUP('Données projet'!$B$13,Paramètres!$A$1:$I$89,5,0)</f>
        <v>250.99151999999995</v>
      </c>
      <c r="CV70" s="14">
        <f t="shared" si="95"/>
        <v>60.798211000769406</v>
      </c>
      <c r="CW70" s="22">
        <f t="shared" si="67"/>
        <v>543.03378149300659</v>
      </c>
      <c r="CX70" s="62">
        <f t="shared" si="68"/>
        <v>797.50114241962251</v>
      </c>
      <c r="CY70" s="62">
        <f ca="1">AVERAGE(OFFSET($CX$3,0,0,'Données projet'!$E$13+1,1))-AVERAGE(OFFSET($H$3,0,0,'Données projet'!$E$13+1,1))</f>
        <v>493.89660144134291</v>
      </c>
      <c r="CZ70" s="62">
        <f t="shared" si="96"/>
        <v>312.97494624463229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3.2731608215724903</v>
      </c>
      <c r="DH70" s="23">
        <f>EXP(-LN(2)/2)*DH69+(1-EXP(-LN(2)/2))/(LN(2)/2)*DB70*DE70*VLOOKUP('Données projet'!$B$13,Paramètres!$A$1:$I$89,3,0)*0.475*44/12</f>
        <v>4.0217600849647392E-5</v>
      </c>
      <c r="DI70" s="24">
        <f t="shared" si="69"/>
        <v>3.2732010391733399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59.400189343622507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>
        <f>DO70*VLOOKUP('Données projet'!$B$14,Paramètres!$A$1:$I$89,3,0)*VLOOKUP('Données projet'!$B$14,Paramètres!$A$1:$I$89,5,0)</f>
        <v>0</v>
      </c>
      <c r="DQ70" s="14" t="e">
        <f t="shared" si="97"/>
        <v>#NUM!</v>
      </c>
      <c r="DR70" s="22" t="e">
        <f t="shared" si="70"/>
        <v>#NUM!</v>
      </c>
      <c r="DS70" s="62" t="e">
        <f t="shared" si="71"/>
        <v>#NUM!</v>
      </c>
      <c r="DT70" s="62">
        <f ca="1">AVERAGE(OFFSET($DS$3,0,0,'Données projet'!$E$14+1,1))-AVERAGE(OFFSET($H$3,0,0,'Données projet'!$E$14+1,1))</f>
        <v>210.13237351083279</v>
      </c>
      <c r="DU70" s="62">
        <f t="shared" si="98"/>
        <v>423.06475179432277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47.482719459104146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7.1746733699645424E-4</v>
      </c>
      <c r="ED70" s="24">
        <f t="shared" si="72"/>
        <v>47.483436926441144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59.400189343622507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59.400189343622507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59.400189343622507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59.400189343622507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4.5049999999999999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16.518333333333334</v>
      </c>
      <c r="H71" s="70">
        <f t="shared" si="56"/>
        <v>147.64566666666667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59.584072360884186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15.125</v>
      </c>
      <c r="N71" s="14">
        <f>IF('Données projet'!$A$36&gt;35,N70+M71-V70,IF(A71&lt;'Données projet'!$A$36,$K$205^A71,IF(A71='Données projet'!$A$36,'Données projet'!$B$36,N70+M71-V70)))</f>
        <v>405.62500000000011</v>
      </c>
      <c r="O71" s="14">
        <f>N71*VLOOKUP('Données projet'!$B$9,Paramètres!$A$1:$I$89,3,0)*VLOOKUP('Données projet'!$B$9,Paramètres!$A$1:$I$89,5,0)</f>
        <v>189.83250000000004</v>
      </c>
      <c r="P71" s="14">
        <f t="shared" si="87"/>
        <v>47.502919078777879</v>
      </c>
      <c r="Q71" s="22">
        <f t="shared" si="54"/>
        <v>413.35918822887157</v>
      </c>
      <c r="R71" s="62">
        <f t="shared" si="55"/>
        <v>668.50078688544693</v>
      </c>
      <c r="S71" s="62">
        <f ca="1">AVERAGE(OFFSET($R$3,0,0,'Données projet'!$E$9+1,1))-AVERAGE(OFFSET($H$3,0,0,'Données projet'!$E$9+1,1))</f>
        <v>374.81775021423215</v>
      </c>
      <c r="T71" s="62">
        <f t="shared" si="88"/>
        <v>301.81248585467142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59.584072360884186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231.59760000000006</v>
      </c>
      <c r="AK71" s="14">
        <f t="shared" si="89"/>
        <v>56.627980714948151</v>
      </c>
      <c r="AL71" s="22">
        <f t="shared" si="58"/>
        <v>501.99288641186803</v>
      </c>
      <c r="AM71" s="62">
        <f t="shared" si="59"/>
        <v>757.13448506844338</v>
      </c>
      <c r="AN71" s="62">
        <f ca="1">AVERAGE(OFFSET($AM$3,0,0,'Données projet'!$E$10+1,1))-AVERAGE(OFFSET($H$3,0,0,'Données projet'!$E$10+1,1))</f>
        <v>468.39960552661171</v>
      </c>
      <c r="AO71" s="62">
        <f t="shared" si="90"/>
        <v>291.1952427029787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1.0546664208127154</v>
      </c>
      <c r="AW71" s="23">
        <f>EXP(-LN(2)/2)*AW70+(1-EXP(-LN(2)/2))/(LN(2)/2)*AQ71*AT71*VLOOKUP('Données projet'!$B$10,Paramètres!$A$1:$I$89,3,0)*0.475*44/12</f>
        <v>2.6824995963525766E-5</v>
      </c>
      <c r="AX71" s="23">
        <f t="shared" si="60"/>
        <v>1.0546932458086791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59.584072360884186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4.5999999999999996</v>
      </c>
      <c r="BD71" s="13">
        <f>IF('Données projet'!$A$88&gt;35,BD70+BC71-BL70,IF(A71&lt;'Données projet'!$A$88,$BA$205^A71,IF(A71='Données projet'!$A$88,'Données projet'!$B$88,BD70+BC71-BL70)))</f>
        <v>217.79999999999995</v>
      </c>
      <c r="BE71" s="14">
        <f>BD71*VLOOKUP('Données projet'!$B$11,Paramètres!$A$1:$I$89,3,0)*VLOOKUP('Données projet'!$B$11,Paramètres!$A$1:$I$89,5,0)</f>
        <v>190.27007999999998</v>
      </c>
      <c r="BF71" s="14">
        <f t="shared" si="91"/>
        <v>47.599658767320413</v>
      </c>
      <c r="BG71" s="22">
        <f t="shared" si="61"/>
        <v>414.28979501974965</v>
      </c>
      <c r="BH71" s="62">
        <f t="shared" si="62"/>
        <v>669.431393676325</v>
      </c>
      <c r="BI71" s="62">
        <f ca="1">AVERAGE(OFFSET($BH$3,0,0,'Données projet'!$E$11+1,1))-AVERAGE(OFFSET($H$3,0,0,'Données projet'!$E$11+1,1))</f>
        <v>373.50005214669716</v>
      </c>
      <c r="BJ71" s="62">
        <f t="shared" si="92"/>
        <v>383.60460086643036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5.5246759393518721</v>
      </c>
      <c r="BR71" s="23">
        <f>EXP(-LN(2)/2)*BR70+(1-EXP(-LN(2)/2))/(LN(2)/2)*BL71*BO71*VLOOKUP('Données projet'!$B$11,Paramètres!$A$1:$I$89,3,0)*0.475*44/12</f>
        <v>2.8409528018114019E-5</v>
      </c>
      <c r="BS71" s="24">
        <f t="shared" si="63"/>
        <v>5.5247043488798901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59.584072360884186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210.13237351083279</v>
      </c>
      <c r="CE71" s="62">
        <f t="shared" si="94"/>
        <v>423.06475179432277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46.551612292110264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5.0732601927004671E-4</v>
      </c>
      <c r="CN71" s="24">
        <f t="shared" si="66"/>
        <v>46.552119618129531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59.584072360884186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8.1999999999999993</v>
      </c>
      <c r="CT71" s="13">
        <f>IF('Données projet'!$A$140&gt;35,CT70+CS71-DB70,IF(A71&lt;'Données projet'!$A$140,$CQ$205^A71,IF(A71='Données projet'!$A$140,'Données projet'!$B$140,CT70+CS71-DB70)))</f>
        <v>285.59999999999997</v>
      </c>
      <c r="CU71" s="18">
        <f>CT71*VLOOKUP('Données projet'!$B$13,Paramètres!$A$1:$I$89,3,0)*VLOOKUP('Données projet'!$B$13,Paramètres!$A$1:$I$89,5,0)</f>
        <v>258.41087999999996</v>
      </c>
      <c r="CV71" s="14">
        <f t="shared" si="95"/>
        <v>62.383521020316756</v>
      </c>
      <c r="CW71" s="22">
        <f t="shared" si="67"/>
        <v>558.71691511038489</v>
      </c>
      <c r="CX71" s="62">
        <f t="shared" si="68"/>
        <v>813.8585137669603</v>
      </c>
      <c r="CY71" s="62">
        <f ca="1">AVERAGE(OFFSET($CX$3,0,0,'Données projet'!$E$13+1,1))-AVERAGE(OFFSET($H$3,0,0,'Données projet'!$E$13+1,1))</f>
        <v>493.89660144134291</v>
      </c>
      <c r="CZ71" s="62">
        <f t="shared" si="96"/>
        <v>312.97494624463229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3.1836560667785441</v>
      </c>
      <c r="DH71" s="23">
        <f>EXP(-LN(2)/2)*DH70+(1-EXP(-LN(2)/2))/(LN(2)/2)*DB71*DE71*VLOOKUP('Données projet'!$B$13,Paramètres!$A$1:$I$89,3,0)*0.475*44/12</f>
        <v>2.8438138283839526E-5</v>
      </c>
      <c r="DI71" s="24">
        <f t="shared" si="69"/>
        <v>3.1836845049168279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59.584072360884186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>
        <f>DO71*VLOOKUP('Données projet'!$B$14,Paramètres!$A$1:$I$89,3,0)*VLOOKUP('Données projet'!$B$14,Paramètres!$A$1:$I$89,5,0)</f>
        <v>0</v>
      </c>
      <c r="DQ71" s="14" t="e">
        <f t="shared" si="97"/>
        <v>#NUM!</v>
      </c>
      <c r="DR71" s="22" t="e">
        <f t="shared" si="70"/>
        <v>#NUM!</v>
      </c>
      <c r="DS71" s="62" t="e">
        <f t="shared" si="71"/>
        <v>#NUM!</v>
      </c>
      <c r="DT71" s="62">
        <f ca="1">AVERAGE(OFFSET($DS$3,0,0,'Données projet'!$E$14+1,1))-AVERAGE(OFFSET($H$3,0,0,'Données projet'!$E$14+1,1))</f>
        <v>210.13237351083279</v>
      </c>
      <c r="DU71" s="62">
        <f t="shared" si="98"/>
        <v>423.06475179432277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46.551612292110264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5.0732601927004671E-4</v>
      </c>
      <c r="ED71" s="24">
        <f t="shared" si="72"/>
        <v>46.552119618129531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59.584072360884186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59.584072360884186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59.584072360884186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59.584072360884186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4.5049999999999999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16.518333333333334</v>
      </c>
      <c r="H72" s="70">
        <f t="shared" si="56"/>
        <v>147.64566666666667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59.76476541889722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15.125</v>
      </c>
      <c r="N72" s="14">
        <f>IF('Données projet'!$A$36&gt;35,N71+M72-V71,IF(A72&lt;'Données projet'!$A$36,$K$205^A72,IF(A72='Données projet'!$A$36,'Données projet'!$B$36,N71+M72-V71)))</f>
        <v>420.75000000000011</v>
      </c>
      <c r="O72" s="14">
        <f>N72*VLOOKUP('Données projet'!$B$9,Paramètres!$A$1:$I$89,3,0)*VLOOKUP('Données projet'!$B$9,Paramètres!$A$1:$I$89,5,0)</f>
        <v>196.91100000000003</v>
      </c>
      <c r="P72" s="14">
        <f t="shared" si="87"/>
        <v>49.064685249388845</v>
      </c>
      <c r="Q72" s="22">
        <f t="shared" si="54"/>
        <v>428.40765180935227</v>
      </c>
      <c r="R72" s="62">
        <f t="shared" si="55"/>
        <v>684.21179167864204</v>
      </c>
      <c r="S72" s="62">
        <f ca="1">AVERAGE(OFFSET($R$3,0,0,'Données projet'!$E$9+1,1))-AVERAGE(OFFSET($H$3,0,0,'Données projet'!$E$9+1,1))</f>
        <v>374.81775021423215</v>
      </c>
      <c r="T72" s="62">
        <f t="shared" si="88"/>
        <v>301.81248585467142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59.76476541889722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238.4928000000001</v>
      </c>
      <c r="AK72" s="14">
        <f t="shared" si="89"/>
        <v>58.115130258576592</v>
      </c>
      <c r="AL72" s="22">
        <f t="shared" si="58"/>
        <v>516.59214520035437</v>
      </c>
      <c r="AM72" s="62">
        <f t="shared" si="59"/>
        <v>772.39628506964414</v>
      </c>
      <c r="AN72" s="62">
        <f ca="1">AVERAGE(OFFSET($AM$3,0,0,'Données projet'!$E$10+1,1))-AVERAGE(OFFSET($H$3,0,0,'Données projet'!$E$10+1,1))</f>
        <v>468.39960552661171</v>
      </c>
      <c r="AO72" s="62">
        <f t="shared" si="90"/>
        <v>291.1952427029787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1.0258265120730952</v>
      </c>
      <c r="AW72" s="23">
        <f>EXP(-LN(2)/2)*AW71+(1-EXP(-LN(2)/2))/(LN(2)/2)*AQ72*AT72*VLOOKUP('Données projet'!$B$10,Paramètres!$A$1:$I$89,3,0)*0.475*44/12</f>
        <v>1.8968136551110834E-5</v>
      </c>
      <c r="AX72" s="23">
        <f t="shared" si="60"/>
        <v>1.0258454802096462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59.76476541889722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4.5999999999999996</v>
      </c>
      <c r="BD72" s="13">
        <f>IF('Données projet'!$A$88&gt;35,BD71+BC72-BL71,IF(A72&lt;'Données projet'!$A$88,$BA$205^A72,IF(A72='Données projet'!$A$88,'Données projet'!$B$88,BD71+BC72-BL71)))</f>
        <v>222.39999999999995</v>
      </c>
      <c r="BE72" s="14">
        <f>BD72*VLOOKUP('Données projet'!$B$11,Paramètres!$A$1:$I$89,3,0)*VLOOKUP('Données projet'!$B$11,Paramètres!$A$1:$I$89,5,0)</f>
        <v>194.28863999999999</v>
      </c>
      <c r="BF72" s="14">
        <f t="shared" si="91"/>
        <v>48.486875029770822</v>
      </c>
      <c r="BG72" s="22">
        <f t="shared" si="61"/>
        <v>422.83402201018413</v>
      </c>
      <c r="BH72" s="62">
        <f t="shared" si="62"/>
        <v>678.63816187947396</v>
      </c>
      <c r="BI72" s="62">
        <f ca="1">AVERAGE(OFFSET($BH$3,0,0,'Données projet'!$E$11+1,1))-AVERAGE(OFFSET($H$3,0,0,'Données projet'!$E$11+1,1))</f>
        <v>373.50005214669716</v>
      </c>
      <c r="BJ72" s="62">
        <f t="shared" si="92"/>
        <v>383.60460086643036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5.3736033852602141</v>
      </c>
      <c r="BR72" s="23">
        <f>EXP(-LN(2)/2)*BR71+(1-EXP(-LN(2)/2))/(LN(2)/2)*BL72*BO72*VLOOKUP('Données projet'!$B$11,Paramètres!$A$1:$I$89,3,0)*0.475*44/12</f>
        <v>2.0088569911917641E-5</v>
      </c>
      <c r="BS72" s="24">
        <f t="shared" si="63"/>
        <v>5.3736234738301256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59.76476541889722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210.13237351083279</v>
      </c>
      <c r="CE72" s="62">
        <f t="shared" si="94"/>
        <v>423.06475179432277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45.638763568741837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3.5873366849822712E-4</v>
      </c>
      <c r="CN72" s="24">
        <f t="shared" si="66"/>
        <v>45.639122302410335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59.76476541889722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8.1999999999999993</v>
      </c>
      <c r="CT72" s="13">
        <f>IF('Données projet'!$A$140&gt;35,CT71+CS72-DB71,IF(A72&lt;'Données projet'!$A$140,$CQ$205^A72,IF(A72='Données projet'!$A$140,'Données projet'!$B$140,CT71+CS72-DB71)))</f>
        <v>293.79999999999995</v>
      </c>
      <c r="CU72" s="18">
        <f>CT72*VLOOKUP('Données projet'!$B$13,Paramètres!$A$1:$I$89,3,0)*VLOOKUP('Données projet'!$B$13,Paramètres!$A$1:$I$89,5,0)</f>
        <v>265.83023999999995</v>
      </c>
      <c r="CV72" s="14">
        <f t="shared" si="95"/>
        <v>63.963540982526439</v>
      </c>
      <c r="CW72" s="22">
        <f t="shared" si="67"/>
        <v>574.39083521123348</v>
      </c>
      <c r="CX72" s="62">
        <f t="shared" si="68"/>
        <v>830.19497508052325</v>
      </c>
      <c r="CY72" s="62">
        <f ca="1">AVERAGE(OFFSET($CX$3,0,0,'Données projet'!$E$13+1,1))-AVERAGE(OFFSET($H$3,0,0,'Données projet'!$E$13+1,1))</f>
        <v>493.89660144134291</v>
      </c>
      <c r="CZ72" s="62">
        <f t="shared" si="96"/>
        <v>312.97494624463229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3.0965988242112887</v>
      </c>
      <c r="DH72" s="23">
        <f>EXP(-LN(2)/2)*DH71+(1-EXP(-LN(2)/2))/(LN(2)/2)*DB72*DE72*VLOOKUP('Données projet'!$B$13,Paramètres!$A$1:$I$89,3,0)*0.475*44/12</f>
        <v>2.0108800424823696E-5</v>
      </c>
      <c r="DI72" s="24">
        <f t="shared" si="69"/>
        <v>3.0966189330117135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59.76476541889722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>
        <f>DO72*VLOOKUP('Données projet'!$B$14,Paramètres!$A$1:$I$89,3,0)*VLOOKUP('Données projet'!$B$14,Paramètres!$A$1:$I$89,5,0)</f>
        <v>0</v>
      </c>
      <c r="DQ72" s="14" t="e">
        <f t="shared" si="97"/>
        <v>#NUM!</v>
      </c>
      <c r="DR72" s="22" t="e">
        <f t="shared" si="70"/>
        <v>#NUM!</v>
      </c>
      <c r="DS72" s="62" t="e">
        <f t="shared" si="71"/>
        <v>#NUM!</v>
      </c>
      <c r="DT72" s="62">
        <f ca="1">AVERAGE(OFFSET($DS$3,0,0,'Données projet'!$E$14+1,1))-AVERAGE(OFFSET($H$3,0,0,'Données projet'!$E$14+1,1))</f>
        <v>210.13237351083279</v>
      </c>
      <c r="DU72" s="62">
        <f t="shared" si="98"/>
        <v>423.06475179432277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45.638763568741837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3.5873366849822712E-4</v>
      </c>
      <c r="ED72" s="24">
        <f t="shared" si="72"/>
        <v>45.639122302410335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59.76476541889722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59.76476541889722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59.76476541889722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59.76476541889722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4.5049999999999999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16.518333333333334</v>
      </c>
      <c r="H73" s="70">
        <f t="shared" si="56"/>
        <v>147.64566666666667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59.942323856322886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15.125</v>
      </c>
      <c r="N73" s="14">
        <f>IF('Données projet'!$A$36&gt;35,N72+M73-V72,IF(A73&lt;'Données projet'!$A$36,$K$205^A73,IF(A73='Données projet'!$A$36,'Données projet'!$B$36,N72+M73-V72)))</f>
        <v>435.87500000000011</v>
      </c>
      <c r="O73" s="14">
        <f>N73*VLOOKUP('Données projet'!$B$9,Paramètres!$A$1:$I$89,3,0)*VLOOKUP('Données projet'!$B$9,Paramètres!$A$1:$I$89,5,0)</f>
        <v>203.98950000000008</v>
      </c>
      <c r="P73" s="14">
        <f t="shared" si="87"/>
        <v>50.61992866946148</v>
      </c>
      <c r="Q73" s="22">
        <f t="shared" si="54"/>
        <v>443.44475493264548</v>
      </c>
      <c r="R73" s="62">
        <f t="shared" si="55"/>
        <v>699.89994240582939</v>
      </c>
      <c r="S73" s="62">
        <f ca="1">AVERAGE(OFFSET($R$3,0,0,'Données projet'!$E$9+1,1))-AVERAGE(OFFSET($H$3,0,0,'Données projet'!$E$9+1,1))</f>
        <v>374.81775021423215</v>
      </c>
      <c r="T73" s="62">
        <f t="shared" si="88"/>
        <v>301.81248585467142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59.942323856322886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245.38800000000012</v>
      </c>
      <c r="AK73" s="14">
        <f t="shared" si="89"/>
        <v>59.597282764919569</v>
      </c>
      <c r="AL73" s="22">
        <f t="shared" si="58"/>
        <v>531.18270081556841</v>
      </c>
      <c r="AM73" s="62">
        <f t="shared" si="59"/>
        <v>787.63788828875226</v>
      </c>
      <c r="AN73" s="62">
        <f ca="1">AVERAGE(OFFSET($AM$3,0,0,'Données projet'!$E$10+1,1))-AVERAGE(OFFSET($H$3,0,0,'Données projet'!$E$10+1,1))</f>
        <v>468.39960552661171</v>
      </c>
      <c r="AO73" s="62">
        <f t="shared" si="90"/>
        <v>291.1952427029787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0.99777523215458463</v>
      </c>
      <c r="AW73" s="23">
        <f>EXP(-LN(2)/2)*AW72+(1-EXP(-LN(2)/2))/(LN(2)/2)*AQ73*AT73*VLOOKUP('Données projet'!$B$10,Paramètres!$A$1:$I$89,3,0)*0.475*44/12</f>
        <v>1.3412497981762883E-5</v>
      </c>
      <c r="AX73" s="23">
        <f t="shared" si="60"/>
        <v>0.99778864465256645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59.942323856322886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227</v>
      </c>
      <c r="BB73" s="13">
        <f>VLOOKUP(A73,'Données projet'!$A$87:$I$107,9,0)</f>
        <v>4.5999999999999996</v>
      </c>
      <c r="BC73" s="13">
        <f t="array" ref="BC73">INDEX(BB:BB,MIN(IF(ISNUMBER(BB73:BB269),ROW(BB73:BB269),"")))</f>
        <v>4.5999999999999996</v>
      </c>
      <c r="BD73" s="13">
        <f>IF('Données projet'!$A$88&gt;35,BD72+BC73-BL72,IF(A73&lt;'Données projet'!$A$88,$BA$205^A73,IF(A73='Données projet'!$A$88,'Données projet'!$B$88,BD72+BC73-BL72)))</f>
        <v>226.99999999999994</v>
      </c>
      <c r="BE73" s="14">
        <f>BD73*VLOOKUP('Données projet'!$B$11,Paramètres!$A$1:$I$89,3,0)*VLOOKUP('Données projet'!$B$11,Paramètres!$A$1:$I$89,5,0)</f>
        <v>198.30719999999997</v>
      </c>
      <c r="BF73" s="14">
        <f t="shared" si="91"/>
        <v>49.371957679623371</v>
      </c>
      <c r="BG73" s="22">
        <f t="shared" si="61"/>
        <v>431.37453295867726</v>
      </c>
      <c r="BH73" s="62">
        <f t="shared" si="62"/>
        <v>687.82972043186123</v>
      </c>
      <c r="BI73" s="62">
        <f ca="1">AVERAGE(OFFSET($BH$3,0,0,'Données projet'!$E$11+1,1))-AVERAGE(OFFSET($H$3,0,0,'Données projet'!$E$11+1,1))</f>
        <v>373.50005214669716</v>
      </c>
      <c r="BJ73" s="62">
        <f t="shared" si="92"/>
        <v>383.60460086643036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17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5.2266619181047531</v>
      </c>
      <c r="BR73" s="23">
        <f>EXP(-LN(2)/2)*BR72+(1-EXP(-LN(2)/2))/(LN(2)/2)*BL73*BO73*VLOOKUP('Données projet'!$B$11,Paramètres!$A$1:$I$89,3,0)*0.475*44/12</f>
        <v>1.420476400905701E-5</v>
      </c>
      <c r="BS73" s="24">
        <f t="shared" si="63"/>
        <v>5.2266761228687626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59.942323856322886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210.13237351083279</v>
      </c>
      <c r="CE73" s="62">
        <f t="shared" si="94"/>
        <v>423.06475179432277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44.743815252055924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2.5366300963502336E-4</v>
      </c>
      <c r="CN73" s="24">
        <f t="shared" si="66"/>
        <v>44.744068915065561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59.942323856322886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302</v>
      </c>
      <c r="CR73" s="13">
        <f>VLOOKUP(A73,'Données projet'!$A$139:$I$159,9,0)</f>
        <v>8.1999999999999993</v>
      </c>
      <c r="CS73" s="13">
        <f t="array" ref="CS73">INDEX(CR:CR,MIN(IF(ISNUMBER(CR73:CR269),ROW(CR73:CR269),"")))</f>
        <v>8.1999999999999993</v>
      </c>
      <c r="CT73" s="13">
        <f>IF('Données projet'!$A$140&gt;35,CT72+CS73-DB72,IF(A73&lt;'Données projet'!$A$140,$CQ$205^A73,IF(A73='Données projet'!$A$140,'Données projet'!$B$140,CT72+CS73-DB72)))</f>
        <v>301.99999999999994</v>
      </c>
      <c r="CU73" s="18">
        <f>CT73*VLOOKUP('Données projet'!$B$13,Paramètres!$A$1:$I$89,3,0)*VLOOKUP('Données projet'!$B$13,Paramètres!$A$1:$I$89,5,0)</f>
        <v>273.24959999999999</v>
      </c>
      <c r="CV73" s="14">
        <f t="shared" si="95"/>
        <v>65.538435495514321</v>
      </c>
      <c r="CW73" s="22">
        <f t="shared" si="67"/>
        <v>590.05582848802067</v>
      </c>
      <c r="CX73" s="62">
        <f t="shared" si="68"/>
        <v>846.51101596120452</v>
      </c>
      <c r="CY73" s="62">
        <f ca="1">AVERAGE(OFFSET($CX$3,0,0,'Données projet'!$E$13+1,1))-AVERAGE(OFFSET($H$3,0,0,'Données projet'!$E$13+1,1))</f>
        <v>493.89660144134291</v>
      </c>
      <c r="CZ73" s="62">
        <f t="shared" si="96"/>
        <v>312.97494624463229</v>
      </c>
      <c r="DA73" s="16">
        <f>IF(ISNA(VLOOKUP(A73,'Données projet'!$A$139:$I$159,3,0)),0,VLOOKUP(A73,'Données projet'!$A$139:$I$159,3,0))</f>
        <v>11</v>
      </c>
      <c r="DB73" s="16">
        <f>IF(ISNA(VLOOKUP(A73,'Données projet'!$A$139:$I$159,4,0)),0,VLOOKUP(A73,'Données projet'!$A$139:$I$159,4,0))</f>
        <v>28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3.0119221665201761</v>
      </c>
      <c r="DH73" s="23">
        <f>EXP(-LN(2)/2)*DH72+(1-EXP(-LN(2)/2))/(LN(2)/2)*DB73*DE73*VLOOKUP('Données projet'!$B$13,Paramètres!$A$1:$I$89,3,0)*0.475*44/12</f>
        <v>1.4219069141919763E-5</v>
      </c>
      <c r="DI73" s="24">
        <f t="shared" si="69"/>
        <v>3.0119363855893182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59.942323856322886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>
        <f>DO73*VLOOKUP('Données projet'!$B$14,Paramètres!$A$1:$I$89,3,0)*VLOOKUP('Données projet'!$B$14,Paramètres!$A$1:$I$89,5,0)</f>
        <v>0</v>
      </c>
      <c r="DQ73" s="14" t="e">
        <f t="shared" si="97"/>
        <v>#NUM!</v>
      </c>
      <c r="DR73" s="22" t="e">
        <f t="shared" si="70"/>
        <v>#NUM!</v>
      </c>
      <c r="DS73" s="62" t="e">
        <f t="shared" si="71"/>
        <v>#NUM!</v>
      </c>
      <c r="DT73" s="62">
        <f ca="1">AVERAGE(OFFSET($DS$3,0,0,'Données projet'!$E$14+1,1))-AVERAGE(OFFSET($H$3,0,0,'Données projet'!$E$14+1,1))</f>
        <v>210.13237351083279</v>
      </c>
      <c r="DU73" s="62">
        <f t="shared" si="98"/>
        <v>423.06475179432277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44.743815252055924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2.5366300963502336E-4</v>
      </c>
      <c r="ED73" s="24">
        <f t="shared" si="72"/>
        <v>44.744068915065561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59.942323856322886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59.942323856322886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59.942323856322886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59.942323856322886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4.5049999999999999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16.518333333333334</v>
      </c>
      <c r="H74" s="70">
        <f t="shared" si="56"/>
        <v>147.64566666666667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60.116802051820414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>
        <f>VLOOKUP(A74,'Données projet'!$A$35:$I$55,2,0)</f>
        <v>451</v>
      </c>
      <c r="L74" s="13">
        <f>VLOOKUP(A74,'Données projet'!$A$35:$I$55,9,0)</f>
        <v>15.125</v>
      </c>
      <c r="M74" s="13">
        <f t="array" ref="M74">INDEX(L:L,MIN(IF(ISNUMBER(L74:L270),ROW(L74:L270),"")))</f>
        <v>15.125</v>
      </c>
      <c r="N74" s="14">
        <f>IF('Données projet'!$A$36&gt;35,N73+M74-V73,IF(A74&lt;'Données projet'!$A$36,$K$205^A74,IF(A74='Données projet'!$A$36,'Données projet'!$B$36,N73+M74-V73)))</f>
        <v>451.00000000000011</v>
      </c>
      <c r="O74" s="14">
        <f>N74*VLOOKUP('Données projet'!$B$9,Paramètres!$A$1:$I$89,3,0)*VLOOKUP('Données projet'!$B$9,Paramètres!$A$1:$I$89,5,0)</f>
        <v>211.06800000000007</v>
      </c>
      <c r="P74" s="14">
        <f t="shared" si="87"/>
        <v>52.168901619921236</v>
      </c>
      <c r="Q74" s="22">
        <f t="shared" si="54"/>
        <v>458.47093698802956</v>
      </c>
      <c r="R74" s="62">
        <f t="shared" si="55"/>
        <v>715.56587784470435</v>
      </c>
      <c r="S74" s="62">
        <f ca="1">AVERAGE(OFFSET($R$3,0,0,'Données projet'!$E$9+1,1))-AVERAGE(OFFSET($H$3,0,0,'Données projet'!$E$9+1,1))</f>
        <v>374.81775021423215</v>
      </c>
      <c r="T74" s="62">
        <f t="shared" si="88"/>
        <v>301.81248585467142</v>
      </c>
      <c r="U74" s="16">
        <f>IF(ISNA(VLOOKUP(A74,'Données projet'!$A$35:$I$55,3,0)),0,VLOOKUP(A74,'Données projet'!$A$35:$I$55,3,0))</f>
        <v>4</v>
      </c>
      <c r="V74" s="16">
        <f>IF(ISNA(VLOOKUP(A74,'Données projet'!$A$35:$I$55,4,0)),0,VLOOKUP(A74,'Données projet'!$A$35:$I$55,4,0))</f>
        <v>89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60.116802051820414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230.5836000000001</v>
      </c>
      <c r="AK74" s="14">
        <f t="shared" si="89"/>
        <v>56.408850878328018</v>
      </c>
      <c r="AL74" s="22">
        <f t="shared" si="58"/>
        <v>499.84518527975473</v>
      </c>
      <c r="AM74" s="62">
        <f t="shared" si="59"/>
        <v>756.94012613642963</v>
      </c>
      <c r="AN74" s="62">
        <f ca="1">AVERAGE(OFFSET($AM$3,0,0,'Données projet'!$E$10+1,1))-AVERAGE(OFFSET($H$3,0,0,'Données projet'!$E$10+1,1))</f>
        <v>468.39960552661171</v>
      </c>
      <c r="AO74" s="62">
        <f t="shared" si="90"/>
        <v>291.1952427029787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0.9704910159605985</v>
      </c>
      <c r="AW74" s="23">
        <f>EXP(-LN(2)/2)*AW73+(1-EXP(-LN(2)/2))/(LN(2)/2)*AQ74*AT74*VLOOKUP('Données projet'!$B$10,Paramètres!$A$1:$I$89,3,0)*0.475*44/12</f>
        <v>9.4840682755554171E-6</v>
      </c>
      <c r="AX74" s="23">
        <f t="shared" si="60"/>
        <v>0.970500500028874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60.116802051820414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</v>
      </c>
      <c r="BD74" s="13">
        <f>IF('Données projet'!$A$88&gt;35,BD73+BC74-BL73,IF(A74&lt;'Données projet'!$A$88,$BA$205^A74,IF(A74='Données projet'!$A$88,'Données projet'!$B$88,BD73+BC74-BL73)))</f>
        <v>213.99999999999994</v>
      </c>
      <c r="BE74" s="14">
        <f>BD74*VLOOKUP('Données projet'!$B$11,Paramètres!$A$1:$I$89,3,0)*VLOOKUP('Données projet'!$B$11,Paramètres!$A$1:$I$89,5,0)</f>
        <v>186.95039999999997</v>
      </c>
      <c r="BF74" s="14">
        <f t="shared" si="91"/>
        <v>46.865095976617653</v>
      </c>
      <c r="BG74" s="22">
        <f t="shared" si="61"/>
        <v>407.22865549260905</v>
      </c>
      <c r="BH74" s="62">
        <f t="shared" si="62"/>
        <v>664.32359634928389</v>
      </c>
      <c r="BI74" s="62">
        <f ca="1">AVERAGE(OFFSET($BH$3,0,0,'Données projet'!$E$11+1,1))-AVERAGE(OFFSET($H$3,0,0,'Données projet'!$E$11+1,1))</f>
        <v>373.50005214669716</v>
      </c>
      <c r="BJ74" s="62">
        <f t="shared" si="92"/>
        <v>383.60460086643036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5.0837385730959737</v>
      </c>
      <c r="BR74" s="23">
        <f>EXP(-LN(2)/2)*BR73+(1-EXP(-LN(2)/2))/(LN(2)/2)*BL74*BO74*VLOOKUP('Données projet'!$B$11,Paramètres!$A$1:$I$89,3,0)*0.475*44/12</f>
        <v>1.004428495595882E-5</v>
      </c>
      <c r="BS74" s="24">
        <f t="shared" si="63"/>
        <v>5.0837486173809294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60.116802051820414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210.13237351083279</v>
      </c>
      <c r="CE74" s="62">
        <f t="shared" si="94"/>
        <v>423.06475179432277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43.866416325995644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1.7936683424911356E-4</v>
      </c>
      <c r="CN74" s="24">
        <f t="shared" si="66"/>
        <v>43.86659569282989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60.116802051820414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7.6</v>
      </c>
      <c r="CT74" s="13">
        <f>IF('Données projet'!$A$140&gt;35,CT73+CS74-DB73,IF(A74&lt;'Données projet'!$A$140,$CQ$205^A74,IF(A74='Données projet'!$A$140,'Données projet'!$B$140,CT73+CS74-DB73)))</f>
        <v>281.59999999999997</v>
      </c>
      <c r="CU74" s="18">
        <f>CT74*VLOOKUP('Données projet'!$B$13,Paramètres!$A$1:$I$89,3,0)*VLOOKUP('Données projet'!$B$13,Paramètres!$A$1:$I$89,5,0)</f>
        <v>254.79167999999996</v>
      </c>
      <c r="CV74" s="14">
        <f t="shared" si="95"/>
        <v>61.610870508448471</v>
      </c>
      <c r="CW74" s="22">
        <f t="shared" si="67"/>
        <v>551.067775468881</v>
      </c>
      <c r="CX74" s="62">
        <f t="shared" si="68"/>
        <v>808.16271632555583</v>
      </c>
      <c r="CY74" s="62">
        <f ca="1">AVERAGE(OFFSET($CX$3,0,0,'Données projet'!$E$13+1,1))-AVERAGE(OFFSET($H$3,0,0,'Données projet'!$E$13+1,1))</f>
        <v>493.89660144134291</v>
      </c>
      <c r="CZ74" s="62">
        <f t="shared" si="96"/>
        <v>312.97494624463229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2.929560996486579</v>
      </c>
      <c r="DH74" s="23">
        <f>EXP(-LN(2)/2)*DH73+(1-EXP(-LN(2)/2))/(LN(2)/2)*DB74*DE74*VLOOKUP('Données projet'!$B$13,Paramètres!$A$1:$I$89,3,0)*0.475*44/12</f>
        <v>1.0054400212411848E-5</v>
      </c>
      <c r="DI74" s="24">
        <f t="shared" si="69"/>
        <v>2.9295710508867914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60.116802051820414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>
        <f>DO74*VLOOKUP('Données projet'!$B$14,Paramètres!$A$1:$I$89,3,0)*VLOOKUP('Données projet'!$B$14,Paramètres!$A$1:$I$89,5,0)</f>
        <v>0</v>
      </c>
      <c r="DQ74" s="14" t="e">
        <f t="shared" si="97"/>
        <v>#NUM!</v>
      </c>
      <c r="DR74" s="22" t="e">
        <f t="shared" si="70"/>
        <v>#NUM!</v>
      </c>
      <c r="DS74" s="62" t="e">
        <f t="shared" si="71"/>
        <v>#NUM!</v>
      </c>
      <c r="DT74" s="62">
        <f ca="1">AVERAGE(OFFSET($DS$3,0,0,'Données projet'!$E$14+1,1))-AVERAGE(OFFSET($H$3,0,0,'Données projet'!$E$14+1,1))</f>
        <v>210.13237351083279</v>
      </c>
      <c r="DU74" s="62">
        <f t="shared" si="98"/>
        <v>423.06475179432277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43.866416325995644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1.7936683424911356E-4</v>
      </c>
      <c r="ED74" s="24">
        <f t="shared" si="72"/>
        <v>43.86659569282989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60.116802051820414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60.116802051820414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60.116802051820414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60.116802051820414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4.5049999999999999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16.518333333333334</v>
      </c>
      <c r="H75" s="70">
        <f t="shared" si="56"/>
        <v>147.64566666666667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60.288253440700871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14</v>
      </c>
      <c r="N75" s="14">
        <f>IF('Données projet'!$A$36&gt;35,N74+M75-V74,IF(A75&lt;'Données projet'!$A$36,$K$205^A75,IF(A75='Données projet'!$A$36,'Données projet'!$B$36,N74+M75-V74)))</f>
        <v>376.00000000000011</v>
      </c>
      <c r="O75" s="14">
        <f>N75*VLOOKUP('Données projet'!$B$9,Paramètres!$A$1:$I$89,3,0)*VLOOKUP('Données projet'!$B$9,Paramètres!$A$1:$I$89,5,0)</f>
        <v>175.96800000000007</v>
      </c>
      <c r="P75" s="14">
        <f t="shared" si="87"/>
        <v>44.423961125650628</v>
      </c>
      <c r="Q75" s="22">
        <f t="shared" si="54"/>
        <v>383.8493322938416</v>
      </c>
      <c r="R75" s="62">
        <f t="shared" si="55"/>
        <v>641.5729282430782</v>
      </c>
      <c r="S75" s="62">
        <f ca="1">AVERAGE(OFFSET($R$3,0,0,'Données projet'!$E$9+1,1))-AVERAGE(OFFSET($H$3,0,0,'Données projet'!$E$9+1,1))</f>
        <v>374.81775021423215</v>
      </c>
      <c r="T75" s="62">
        <f t="shared" si="88"/>
        <v>301.81248585467142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60.288253440700871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237.0732000000001</v>
      </c>
      <c r="AK75" s="14">
        <f t="shared" si="89"/>
        <v>57.809366223361302</v>
      </c>
      <c r="AL75" s="22">
        <f t="shared" si="58"/>
        <v>513.58713617235435</v>
      </c>
      <c r="AM75" s="62">
        <f t="shared" si="59"/>
        <v>771.31073212159095</v>
      </c>
      <c r="AN75" s="62">
        <f ca="1">AVERAGE(OFFSET($AM$3,0,0,'Données projet'!$E$10+1,1))-AVERAGE(OFFSET($H$3,0,0,'Données projet'!$E$10+1,1))</f>
        <v>468.39960552661171</v>
      </c>
      <c r="AO75" s="62">
        <f t="shared" si="90"/>
        <v>291.1952427029787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0.94395288809325151</v>
      </c>
      <c r="AW75" s="23">
        <f>EXP(-LN(2)/2)*AW74+(1-EXP(-LN(2)/2))/(LN(2)/2)*AQ75*AT75*VLOOKUP('Données projet'!$B$10,Paramètres!$A$1:$I$89,3,0)*0.475*44/12</f>
        <v>6.7062489908814414E-6</v>
      </c>
      <c r="AX75" s="23">
        <f t="shared" si="60"/>
        <v>0.94395959434224241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60.288253440700871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</v>
      </c>
      <c r="BD75" s="13">
        <f>IF('Données projet'!$A$88&gt;35,BD74+BC75-BL74,IF(A75&lt;'Données projet'!$A$88,$BA$205^A75,IF(A75='Données projet'!$A$88,'Données projet'!$B$88,BD74+BC75-BL74)))</f>
        <v>217.99999999999994</v>
      </c>
      <c r="BE75" s="14">
        <f>BD75*VLOOKUP('Données projet'!$B$11,Paramètres!$A$1:$I$89,3,0)*VLOOKUP('Données projet'!$B$11,Paramètres!$A$1:$I$89,5,0)</f>
        <v>190.44479999999999</v>
      </c>
      <c r="BF75" s="14">
        <f t="shared" si="91"/>
        <v>47.638278428909231</v>
      </c>
      <c r="BG75" s="22">
        <f t="shared" si="61"/>
        <v>414.66136159701688</v>
      </c>
      <c r="BH75" s="62">
        <f t="shared" si="62"/>
        <v>672.38495754625342</v>
      </c>
      <c r="BI75" s="62">
        <f ca="1">AVERAGE(OFFSET($BH$3,0,0,'Données projet'!$E$11+1,1))-AVERAGE(OFFSET($H$3,0,0,'Données projet'!$E$11+1,1))</f>
        <v>373.50005214669716</v>
      </c>
      <c r="BJ75" s="62">
        <f t="shared" si="92"/>
        <v>383.60460086643036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4.9447234744724717</v>
      </c>
      <c r="BR75" s="23">
        <f>EXP(-LN(2)/2)*BR74+(1-EXP(-LN(2)/2))/(LN(2)/2)*BL75*BO75*VLOOKUP('Données projet'!$B$11,Paramètres!$A$1:$I$89,3,0)*0.475*44/12</f>
        <v>7.1023820045285048E-6</v>
      </c>
      <c r="BS75" s="24">
        <f t="shared" si="63"/>
        <v>4.944730576854476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60.288253440700871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210.13237351083279</v>
      </c>
      <c r="CE75" s="62">
        <f t="shared" si="94"/>
        <v>423.06475179432277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43.006222657714908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1.2683150481751168E-4</v>
      </c>
      <c r="CN75" s="24">
        <f t="shared" si="66"/>
        <v>43.006349489219723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60.288253440700871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7.6</v>
      </c>
      <c r="CT75" s="13">
        <f>IF('Données projet'!$A$140&gt;35,CT74+CS75-DB74,IF(A75&lt;'Données projet'!$A$140,$CQ$205^A75,IF(A75='Données projet'!$A$140,'Données projet'!$B$140,CT74+CS75-DB74)))</f>
        <v>289.2</v>
      </c>
      <c r="CU75" s="18">
        <f>CT75*VLOOKUP('Données projet'!$B$13,Paramètres!$A$1:$I$89,3,0)*VLOOKUP('Données projet'!$B$13,Paramètres!$A$1:$I$89,5,0)</f>
        <v>261.66816</v>
      </c>
      <c r="CV75" s="14">
        <f t="shared" si="95"/>
        <v>63.077829793082856</v>
      </c>
      <c r="CW75" s="22">
        <f t="shared" si="67"/>
        <v>565.5992655562859</v>
      </c>
      <c r="CX75" s="62">
        <f t="shared" si="68"/>
        <v>823.3228615055225</v>
      </c>
      <c r="CY75" s="62">
        <f ca="1">AVERAGE(OFFSET($CX$3,0,0,'Données projet'!$E$13+1,1))-AVERAGE(OFFSET($H$3,0,0,'Données projet'!$E$13+1,1))</f>
        <v>493.89660144134291</v>
      </c>
      <c r="CZ75" s="62">
        <f t="shared" si="96"/>
        <v>312.97494624463229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2.8494519969787362</v>
      </c>
      <c r="DH75" s="23">
        <f>EXP(-LN(2)/2)*DH74+(1-EXP(-LN(2)/2))/(LN(2)/2)*DB75*DE75*VLOOKUP('Données projet'!$B$13,Paramètres!$A$1:$I$89,3,0)*0.475*44/12</f>
        <v>7.1095345709598816E-6</v>
      </c>
      <c r="DI75" s="24">
        <f t="shared" si="69"/>
        <v>2.849459106513307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60.288253440700871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>
        <f>DO75*VLOOKUP('Données projet'!$B$14,Paramètres!$A$1:$I$89,3,0)*VLOOKUP('Données projet'!$B$14,Paramètres!$A$1:$I$89,5,0)</f>
        <v>0</v>
      </c>
      <c r="DQ75" s="14" t="e">
        <f t="shared" si="97"/>
        <v>#NUM!</v>
      </c>
      <c r="DR75" s="22" t="e">
        <f t="shared" si="70"/>
        <v>#NUM!</v>
      </c>
      <c r="DS75" s="62" t="e">
        <f t="shared" si="71"/>
        <v>#NUM!</v>
      </c>
      <c r="DT75" s="62">
        <f ca="1">AVERAGE(OFFSET($DS$3,0,0,'Données projet'!$E$14+1,1))-AVERAGE(OFFSET($H$3,0,0,'Données projet'!$E$14+1,1))</f>
        <v>210.13237351083279</v>
      </c>
      <c r="DU75" s="62">
        <f t="shared" si="98"/>
        <v>423.06475179432277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43.006222657714908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1.2683150481751168E-4</v>
      </c>
      <c r="ED75" s="24">
        <f t="shared" si="72"/>
        <v>43.006349489219723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60.288253440700871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60.288253440700871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60.288253440700871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60.288253440700871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4.5049999999999999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16.518333333333334</v>
      </c>
      <c r="H76" s="70">
        <f t="shared" si="56"/>
        <v>147.64566666666667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60.456730531292116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14</v>
      </c>
      <c r="N76" s="14">
        <f>IF('Données projet'!$A$36&gt;35,N75+M76-V75,IF(A76&lt;'Données projet'!$A$36,$K$205^A76,IF(A76='Données projet'!$A$36,'Données projet'!$B$36,N75+M76-V75)))</f>
        <v>390.00000000000011</v>
      </c>
      <c r="O76" s="14">
        <f>N76*VLOOKUP('Données projet'!$B$9,Paramètres!$A$1:$I$89,3,0)*VLOOKUP('Données projet'!$B$9,Paramètres!$A$1:$I$89,5,0)</f>
        <v>182.52000000000004</v>
      </c>
      <c r="P76" s="14">
        <f t="shared" si="87"/>
        <v>45.882385280285632</v>
      </c>
      <c r="Q76" s="22">
        <f t="shared" si="54"/>
        <v>397.80082102983084</v>
      </c>
      <c r="R76" s="62">
        <f t="shared" si="55"/>
        <v>656.14216631123531</v>
      </c>
      <c r="S76" s="62">
        <f ca="1">AVERAGE(OFFSET($R$3,0,0,'Données projet'!$E$9+1,1))-AVERAGE(OFFSET($H$3,0,0,'Données projet'!$E$9+1,1))</f>
        <v>374.81775021423215</v>
      </c>
      <c r="T76" s="62">
        <f t="shared" si="88"/>
        <v>301.81248585467142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60.456730531292116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243.56280000000012</v>
      </c>
      <c r="AK76" s="14">
        <f t="shared" si="89"/>
        <v>59.205425601852873</v>
      </c>
      <c r="AL76" s="22">
        <f t="shared" si="58"/>
        <v>527.32132625656061</v>
      </c>
      <c r="AM76" s="62">
        <f t="shared" si="59"/>
        <v>785.66267153796502</v>
      </c>
      <c r="AN76" s="62">
        <f ca="1">AVERAGE(OFFSET($AM$3,0,0,'Données projet'!$E$10+1,1))-AVERAGE(OFFSET($H$3,0,0,'Données projet'!$E$10+1,1))</f>
        <v>468.39960552661171</v>
      </c>
      <c r="AO76" s="62">
        <f t="shared" si="90"/>
        <v>291.1952427029787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0.91814044672801665</v>
      </c>
      <c r="AW76" s="23">
        <f>EXP(-LN(2)/2)*AW75+(1-EXP(-LN(2)/2))/(LN(2)/2)*AQ76*AT76*VLOOKUP('Données projet'!$B$10,Paramètres!$A$1:$I$89,3,0)*0.475*44/12</f>
        <v>4.7420341377777085E-6</v>
      </c>
      <c r="AX76" s="23">
        <f t="shared" si="60"/>
        <v>0.91814518876215445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60.456730531292116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</v>
      </c>
      <c r="BD76" s="13">
        <f>IF('Données projet'!$A$88&gt;35,BD75+BC76-BL75,IF(A76&lt;'Données projet'!$A$88,$BA$205^A76,IF(A76='Données projet'!$A$88,'Données projet'!$B$88,BD75+BC76-BL75)))</f>
        <v>221.99999999999994</v>
      </c>
      <c r="BE76" s="14">
        <f>BD76*VLOOKUP('Données projet'!$B$11,Paramètres!$A$1:$I$89,3,0)*VLOOKUP('Données projet'!$B$11,Paramètres!$A$1:$I$89,5,0)</f>
        <v>193.93919999999997</v>
      </c>
      <c r="BF76" s="14">
        <f t="shared" si="91"/>
        <v>48.409811198069342</v>
      </c>
      <c r="BG76" s="22">
        <f t="shared" si="61"/>
        <v>422.091194503304</v>
      </c>
      <c r="BH76" s="62">
        <f t="shared" si="62"/>
        <v>680.43253978470852</v>
      </c>
      <c r="BI76" s="62">
        <f ca="1">AVERAGE(OFFSET($BH$3,0,0,'Données projet'!$E$11+1,1))-AVERAGE(OFFSET($H$3,0,0,'Données projet'!$E$11+1,1))</f>
        <v>373.50005214669716</v>
      </c>
      <c r="BJ76" s="62">
        <f t="shared" si="92"/>
        <v>383.60460086643036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4.8095097510313156</v>
      </c>
      <c r="BR76" s="23">
        <f>EXP(-LN(2)/2)*BR75+(1-EXP(-LN(2)/2))/(LN(2)/2)*BL76*BO76*VLOOKUP('Données projet'!$B$11,Paramètres!$A$1:$I$89,3,0)*0.475*44/12</f>
        <v>5.0221424779794102E-6</v>
      </c>
      <c r="BS76" s="24">
        <f t="shared" si="63"/>
        <v>4.8095147731737935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60.456730531292116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210.13237351083279</v>
      </c>
      <c r="CE76" s="62">
        <f t="shared" si="94"/>
        <v>423.06475179432277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42.162896862602821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8.968341712455678E-5</v>
      </c>
      <c r="CN76" s="24">
        <f t="shared" si="66"/>
        <v>42.162986546019944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60.456730531292116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7.6</v>
      </c>
      <c r="CT76" s="13">
        <f>IF('Données projet'!$A$140&gt;35,CT75+CS76-DB75,IF(A76&lt;'Données projet'!$A$140,$CQ$205^A76,IF(A76='Données projet'!$A$140,'Données projet'!$B$140,CT75+CS76-DB75)))</f>
        <v>296.8</v>
      </c>
      <c r="CU76" s="18">
        <f>CT76*VLOOKUP('Données projet'!$B$13,Paramètres!$A$1:$I$89,3,0)*VLOOKUP('Données projet'!$B$13,Paramètres!$A$1:$I$89,5,0)</f>
        <v>268.54464000000002</v>
      </c>
      <c r="CV76" s="14">
        <f t="shared" si="95"/>
        <v>64.54030807605065</v>
      </c>
      <c r="CW76" s="22">
        <f t="shared" si="67"/>
        <v>580.12295123245474</v>
      </c>
      <c r="CX76" s="62">
        <f t="shared" si="68"/>
        <v>838.46429651385915</v>
      </c>
      <c r="CY76" s="62">
        <f ca="1">AVERAGE(OFFSET($CX$3,0,0,'Données projet'!$E$13+1,1))-AVERAGE(OFFSET($H$3,0,0,'Données projet'!$E$13+1,1))</f>
        <v>493.89660144134291</v>
      </c>
      <c r="CZ76" s="62">
        <f t="shared" si="96"/>
        <v>312.97494624463229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2.7715335822751848</v>
      </c>
      <c r="DH76" s="23">
        <f>EXP(-LN(2)/2)*DH75+(1-EXP(-LN(2)/2))/(LN(2)/2)*DB76*DE76*VLOOKUP('Données projet'!$B$13,Paramètres!$A$1:$I$89,3,0)*0.475*44/12</f>
        <v>5.027200106205924E-6</v>
      </c>
      <c r="DI76" s="24">
        <f t="shared" si="69"/>
        <v>2.7715386094752912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60.456730531292116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>
        <f>DO76*VLOOKUP('Données projet'!$B$14,Paramètres!$A$1:$I$89,3,0)*VLOOKUP('Données projet'!$B$14,Paramètres!$A$1:$I$89,5,0)</f>
        <v>0</v>
      </c>
      <c r="DQ76" s="14" t="e">
        <f t="shared" si="97"/>
        <v>#NUM!</v>
      </c>
      <c r="DR76" s="22" t="e">
        <f t="shared" si="70"/>
        <v>#NUM!</v>
      </c>
      <c r="DS76" s="62" t="e">
        <f t="shared" si="71"/>
        <v>#NUM!</v>
      </c>
      <c r="DT76" s="62">
        <f ca="1">AVERAGE(OFFSET($DS$3,0,0,'Données projet'!$E$14+1,1))-AVERAGE(OFFSET($H$3,0,0,'Données projet'!$E$14+1,1))</f>
        <v>210.13237351083279</v>
      </c>
      <c r="DU76" s="62">
        <f t="shared" si="98"/>
        <v>423.06475179432277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42.162896862602821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8.968341712455678E-5</v>
      </c>
      <c r="ED76" s="24">
        <f t="shared" si="72"/>
        <v>42.162986546019944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60.456730531292116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60.456730531292116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60.456730531292116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60.456730531292116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4.5049999999999999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16.518333333333334</v>
      </c>
      <c r="H77" s="70">
        <f t="shared" si="56"/>
        <v>147.64566666666667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60.622284921019968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14</v>
      </c>
      <c r="N77" s="14">
        <f>IF('Données projet'!$A$36&gt;35,N76+M77-V76,IF(A77&lt;'Données projet'!$A$36,$K$205^A77,IF(A77='Données projet'!$A$36,'Données projet'!$B$36,N76+M77-V76)))</f>
        <v>404.00000000000011</v>
      </c>
      <c r="O77" s="14">
        <f>N77*VLOOKUP('Données projet'!$B$9,Paramètres!$A$1:$I$89,3,0)*VLOOKUP('Données projet'!$B$9,Paramètres!$A$1:$I$89,5,0)</f>
        <v>189.07200000000003</v>
      </c>
      <c r="P77" s="14">
        <f t="shared" si="87"/>
        <v>47.33472679972779</v>
      </c>
      <c r="Q77" s="22">
        <f t="shared" si="54"/>
        <v>411.74171584285932</v>
      </c>
      <c r="R77" s="62">
        <f t="shared" si="55"/>
        <v>670.69009388659924</v>
      </c>
      <c r="S77" s="62">
        <f ca="1">AVERAGE(OFFSET($R$3,0,0,'Données projet'!$E$9+1,1))-AVERAGE(OFFSET($H$3,0,0,'Données projet'!$E$9+1,1))</f>
        <v>374.81775021423215</v>
      </c>
      <c r="T77" s="62">
        <f t="shared" si="88"/>
        <v>301.81248585467142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60.622284921019968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250.05240000000012</v>
      </c>
      <c r="AK77" s="14">
        <f t="shared" si="89"/>
        <v>60.597161386823522</v>
      </c>
      <c r="AL77" s="22">
        <f t="shared" si="58"/>
        <v>541.04798608205112</v>
      </c>
      <c r="AM77" s="62">
        <f t="shared" si="59"/>
        <v>799.99636412579093</v>
      </c>
      <c r="AN77" s="62">
        <f ca="1">AVERAGE(OFFSET($AM$3,0,0,'Données projet'!$E$10+1,1))-AVERAGE(OFFSET($H$3,0,0,'Données projet'!$E$10+1,1))</f>
        <v>468.39960552661171</v>
      </c>
      <c r="AO77" s="62">
        <f t="shared" si="90"/>
        <v>291.1952427029787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0.89303384792933138</v>
      </c>
      <c r="AW77" s="23">
        <f>EXP(-LN(2)/2)*AW76+(1-EXP(-LN(2)/2))/(LN(2)/2)*AQ77*AT77*VLOOKUP('Données projet'!$B$10,Paramètres!$A$1:$I$89,3,0)*0.475*44/12</f>
        <v>3.3531244954407207E-6</v>
      </c>
      <c r="AX77" s="23">
        <f t="shared" si="60"/>
        <v>0.89303720105382678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60.622284921019968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</v>
      </c>
      <c r="BD77" s="13">
        <f>IF('Données projet'!$A$88&gt;35,BD76+BC77-BL76,IF(A77&lt;'Données projet'!$A$88,$BA$205^A77,IF(A77='Données projet'!$A$88,'Données projet'!$B$88,BD76+BC77-BL76)))</f>
        <v>225.99999999999994</v>
      </c>
      <c r="BE77" s="14">
        <f>BD77*VLOOKUP('Données projet'!$B$11,Paramètres!$A$1:$I$89,3,0)*VLOOKUP('Données projet'!$B$11,Paramètres!$A$1:$I$89,5,0)</f>
        <v>197.43359999999996</v>
      </c>
      <c r="BF77" s="14">
        <f t="shared" si="91"/>
        <v>49.179727436837609</v>
      </c>
      <c r="BG77" s="22">
        <f t="shared" si="61"/>
        <v>429.51821195249204</v>
      </c>
      <c r="BH77" s="62">
        <f t="shared" si="62"/>
        <v>688.46658999623196</v>
      </c>
      <c r="BI77" s="62">
        <f ca="1">AVERAGE(OFFSET($BH$3,0,0,'Données projet'!$E$11+1,1))-AVERAGE(OFFSET($H$3,0,0,'Données projet'!$E$11+1,1))</f>
        <v>373.50005214669716</v>
      </c>
      <c r="BJ77" s="62">
        <f t="shared" si="92"/>
        <v>383.60460086643036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4.6779934539682388</v>
      </c>
      <c r="BR77" s="23">
        <f>EXP(-LN(2)/2)*BR76+(1-EXP(-LN(2)/2))/(LN(2)/2)*BL77*BO77*VLOOKUP('Données projet'!$B$11,Paramètres!$A$1:$I$89,3,0)*0.475*44/12</f>
        <v>3.5511910022642524E-6</v>
      </c>
      <c r="BS77" s="24">
        <f t="shared" si="63"/>
        <v>4.6779970051592414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60.622284921019968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210.13237351083279</v>
      </c>
      <c r="CE77" s="62">
        <f t="shared" si="94"/>
        <v>423.06475179432277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41.33610817195494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6.3415752408755839E-5</v>
      </c>
      <c r="CN77" s="24">
        <f t="shared" si="66"/>
        <v>41.336171587707348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60.622284921019968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7.6</v>
      </c>
      <c r="CT77" s="13">
        <f>IF('Données projet'!$A$140&gt;35,CT76+CS77-DB76,IF(A77&lt;'Données projet'!$A$140,$CQ$205^A77,IF(A77='Données projet'!$A$140,'Données projet'!$B$140,CT76+CS77-DB76)))</f>
        <v>304.40000000000003</v>
      </c>
      <c r="CU77" s="18">
        <f>CT77*VLOOKUP('Données projet'!$B$13,Paramètres!$A$1:$I$89,3,0)*VLOOKUP('Données projet'!$B$13,Paramètres!$A$1:$I$89,5,0)</f>
        <v>275.42112000000003</v>
      </c>
      <c r="CV77" s="14">
        <f t="shared" si="95"/>
        <v>65.998433293601067</v>
      </c>
      <c r="CW77" s="22">
        <f t="shared" si="67"/>
        <v>594.63905531968851</v>
      </c>
      <c r="CX77" s="62">
        <f t="shared" si="68"/>
        <v>853.58743336342832</v>
      </c>
      <c r="CY77" s="62">
        <f ca="1">AVERAGE(OFFSET($CX$3,0,0,'Données projet'!$E$13+1,1))-AVERAGE(OFFSET($H$3,0,0,'Données projet'!$E$13+1,1))</f>
        <v>493.89660144134291</v>
      </c>
      <c r="CZ77" s="62">
        <f t="shared" si="96"/>
        <v>312.97494624463229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2.6957458507192533</v>
      </c>
      <c r="DH77" s="23">
        <f>EXP(-LN(2)/2)*DH76+(1-EXP(-LN(2)/2))/(LN(2)/2)*DB77*DE77*VLOOKUP('Données projet'!$B$13,Paramètres!$A$1:$I$89,3,0)*0.475*44/12</f>
        <v>3.5547672854799408E-6</v>
      </c>
      <c r="DI77" s="24">
        <f t="shared" si="69"/>
        <v>2.6957494054865387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60.622284921019968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>
        <f>DO77*VLOOKUP('Données projet'!$B$14,Paramètres!$A$1:$I$89,3,0)*VLOOKUP('Données projet'!$B$14,Paramètres!$A$1:$I$89,5,0)</f>
        <v>0</v>
      </c>
      <c r="DQ77" s="14" t="e">
        <f t="shared" si="97"/>
        <v>#NUM!</v>
      </c>
      <c r="DR77" s="22" t="e">
        <f t="shared" si="70"/>
        <v>#NUM!</v>
      </c>
      <c r="DS77" s="62" t="e">
        <f t="shared" si="71"/>
        <v>#NUM!</v>
      </c>
      <c r="DT77" s="62">
        <f ca="1">AVERAGE(OFFSET($DS$3,0,0,'Données projet'!$E$14+1,1))-AVERAGE(OFFSET($H$3,0,0,'Données projet'!$E$14+1,1))</f>
        <v>210.13237351083279</v>
      </c>
      <c r="DU77" s="62">
        <f t="shared" si="98"/>
        <v>423.06475179432277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41.33610817195494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6.3415752408755839E-5</v>
      </c>
      <c r="ED77" s="24">
        <f t="shared" si="72"/>
        <v>41.336171587707348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60.622284921019968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60.622284921019968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60.622284921019968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60.622284921019968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4.5049999999999999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16.518333333333334</v>
      </c>
      <c r="H78" s="70">
        <f t="shared" si="56"/>
        <v>147.64566666666667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60.784967312210199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14</v>
      </c>
      <c r="N78" s="14">
        <f>IF('Données projet'!$A$36&gt;35,N77+M78-V77,IF(A78&lt;'Données projet'!$A$36,$K$205^A78,IF(A78='Données projet'!$A$36,'Données projet'!$B$36,N77+M78-V77)))</f>
        <v>418.00000000000011</v>
      </c>
      <c r="O78" s="14">
        <f>N78*VLOOKUP('Données projet'!$B$9,Paramètres!$A$1:$I$89,3,0)*VLOOKUP('Données projet'!$B$9,Paramètres!$A$1:$I$89,5,0)</f>
        <v>195.62400000000008</v>
      </c>
      <c r="P78" s="14">
        <f t="shared" si="87"/>
        <v>48.781220625276006</v>
      </c>
      <c r="Q78" s="22">
        <f t="shared" si="54"/>
        <v>425.67242592235584</v>
      </c>
      <c r="R78" s="62">
        <f t="shared" si="55"/>
        <v>685.21730606712663</v>
      </c>
      <c r="S78" s="62">
        <f ca="1">AVERAGE(OFFSET($R$3,0,0,'Données projet'!$E$9+1,1))-AVERAGE(OFFSET($H$3,0,0,'Données projet'!$E$9+1,1))</f>
        <v>374.81775021423215</v>
      </c>
      <c r="T78" s="62">
        <f t="shared" si="88"/>
        <v>301.81248585467142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60.784967312210199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256.54200000000014</v>
      </c>
      <c r="AK78" s="14">
        <f t="shared" si="89"/>
        <v>61.984698688972557</v>
      </c>
      <c r="AL78" s="22">
        <f t="shared" si="58"/>
        <v>554.76733354996077</v>
      </c>
      <c r="AM78" s="62">
        <f t="shared" si="59"/>
        <v>814.31221369473155</v>
      </c>
      <c r="AN78" s="62">
        <f ca="1">AVERAGE(OFFSET($AM$3,0,0,'Données projet'!$E$10+1,1))-AVERAGE(OFFSET($H$3,0,0,'Données projet'!$E$10+1,1))</f>
        <v>468.39960552661171</v>
      </c>
      <c r="AO78" s="62">
        <f t="shared" si="90"/>
        <v>291.1952427029787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0.86861379039509479</v>
      </c>
      <c r="AW78" s="23">
        <f>EXP(-LN(2)/2)*AW77+(1-EXP(-LN(2)/2))/(LN(2)/2)*AQ78*AT78*VLOOKUP('Données projet'!$B$10,Paramètres!$A$1:$I$89,3,0)*0.475*44/12</f>
        <v>2.3710170688888543E-6</v>
      </c>
      <c r="AX78" s="23">
        <f t="shared" si="60"/>
        <v>0.86861616141216369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60.784967312210199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230</v>
      </c>
      <c r="BB78" s="13">
        <f>VLOOKUP(A78,'Données projet'!$A$87:$I$107,9,0)</f>
        <v>4</v>
      </c>
      <c r="BC78" s="13">
        <f t="array" ref="BC78">INDEX(BB:BB,MIN(IF(ISNUMBER(BB78:BB274),ROW(BB78:BB274),"")))</f>
        <v>4</v>
      </c>
      <c r="BD78" s="13">
        <f>IF('Données projet'!$A$88&gt;35,BD77+BC78-BL77,IF(A78&lt;'Données projet'!$A$88,$BA$205^A78,IF(A78='Données projet'!$A$88,'Données projet'!$B$88,BD77+BC78-BL77)))</f>
        <v>229.99999999999994</v>
      </c>
      <c r="BE78" s="14">
        <f>BD78*VLOOKUP('Données projet'!$B$11,Paramètres!$A$1:$I$89,3,0)*VLOOKUP('Données projet'!$B$11,Paramètres!$A$1:$I$89,5,0)</f>
        <v>200.92799999999997</v>
      </c>
      <c r="BF78" s="14">
        <f t="shared" si="91"/>
        <v>49.948059057189042</v>
      </c>
      <c r="BG78" s="22">
        <f t="shared" si="61"/>
        <v>436.94246952460418</v>
      </c>
      <c r="BH78" s="62">
        <f t="shared" si="62"/>
        <v>696.48734966937491</v>
      </c>
      <c r="BI78" s="62">
        <f ca="1">AVERAGE(OFFSET($BH$3,0,0,'Données projet'!$E$11+1,1))-AVERAGE(OFFSET($H$3,0,0,'Données projet'!$E$11+1,1))</f>
        <v>373.50005214669716</v>
      </c>
      <c r="BJ78" s="62">
        <f t="shared" si="92"/>
        <v>383.60460086643036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15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4.550073476964493</v>
      </c>
      <c r="BR78" s="23">
        <f>EXP(-LN(2)/2)*BR77+(1-EXP(-LN(2)/2))/(LN(2)/2)*BL78*BO78*VLOOKUP('Données projet'!$B$11,Paramètres!$A$1:$I$89,3,0)*0.475*44/12</f>
        <v>2.5110712389897051E-6</v>
      </c>
      <c r="BS78" s="24">
        <f t="shared" si="63"/>
        <v>4.550075988035732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60.784967312210199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210.13237351083279</v>
      </c>
      <c r="CE78" s="62">
        <f t="shared" si="94"/>
        <v>423.06475179432277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40.525532303239359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4.484170856227839E-5</v>
      </c>
      <c r="CN78" s="24">
        <f t="shared" si="66"/>
        <v>40.525577144947924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60.784967312210199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312</v>
      </c>
      <c r="CR78" s="13">
        <f>VLOOKUP(A78,'Données projet'!$A$139:$I$159,9,0)</f>
        <v>7.6</v>
      </c>
      <c r="CS78" s="13">
        <f t="array" ref="CS78">INDEX(CR:CR,MIN(IF(ISNUMBER(CR78:CR274),ROW(CR78:CR274),"")))</f>
        <v>7.6</v>
      </c>
      <c r="CT78" s="13">
        <f>IF('Données projet'!$A$140&gt;35,CT77+CS78-DB77,IF(A78&lt;'Données projet'!$A$140,$CQ$205^A78,IF(A78='Données projet'!$A$140,'Données projet'!$B$140,CT77+CS78-DB77)))</f>
        <v>312.00000000000006</v>
      </c>
      <c r="CU78" s="18">
        <f>CT78*VLOOKUP('Données projet'!$B$13,Paramètres!$A$1:$I$89,3,0)*VLOOKUP('Données projet'!$B$13,Paramètres!$A$1:$I$89,5,0)</f>
        <v>282.29760000000005</v>
      </c>
      <c r="CV78" s="14">
        <f t="shared" si="95"/>
        <v>67.452326629470178</v>
      </c>
      <c r="CW78" s="22">
        <f t="shared" si="67"/>
        <v>609.14778887966054</v>
      </c>
      <c r="CX78" s="62">
        <f t="shared" si="68"/>
        <v>868.69266902443132</v>
      </c>
      <c r="CY78" s="62">
        <f ca="1">AVERAGE(OFFSET($CX$3,0,0,'Données projet'!$E$13+1,1))-AVERAGE(OFFSET($H$3,0,0,'Données projet'!$E$13+1,1))</f>
        <v>493.89660144134291</v>
      </c>
      <c r="CZ78" s="62">
        <f t="shared" si="96"/>
        <v>312.97494624463229</v>
      </c>
      <c r="DA78" s="16">
        <f>IF(ISNA(VLOOKUP(A78,'Données projet'!$A$139:$I$159,3,0)),0,VLOOKUP(A78,'Données projet'!$A$139:$I$159,3,0))</f>
        <v>12</v>
      </c>
      <c r="DB78" s="16">
        <f>IF(ISNA(VLOOKUP(A78,'Données projet'!$A$139:$I$159,4,0)),0,VLOOKUP(A78,'Données projet'!$A$139:$I$159,4,0))</f>
        <v>28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2.6220305386682221</v>
      </c>
      <c r="DH78" s="23">
        <f>EXP(-LN(2)/2)*DH77+(1-EXP(-LN(2)/2))/(LN(2)/2)*DB78*DE78*VLOOKUP('Données projet'!$B$13,Paramètres!$A$1:$I$89,3,0)*0.475*44/12</f>
        <v>2.513600053102962E-6</v>
      </c>
      <c r="DI78" s="24">
        <f t="shared" si="69"/>
        <v>2.6220330522682751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60.784967312210199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>
        <f>DO78*VLOOKUP('Données projet'!$B$14,Paramètres!$A$1:$I$89,3,0)*VLOOKUP('Données projet'!$B$14,Paramètres!$A$1:$I$89,5,0)</f>
        <v>0</v>
      </c>
      <c r="DQ78" s="14" t="e">
        <f t="shared" si="97"/>
        <v>#NUM!</v>
      </c>
      <c r="DR78" s="22" t="e">
        <f t="shared" si="70"/>
        <v>#NUM!</v>
      </c>
      <c r="DS78" s="62" t="e">
        <f t="shared" si="71"/>
        <v>#NUM!</v>
      </c>
      <c r="DT78" s="62">
        <f ca="1">AVERAGE(OFFSET($DS$3,0,0,'Données projet'!$E$14+1,1))-AVERAGE(OFFSET($H$3,0,0,'Données projet'!$E$14+1,1))</f>
        <v>210.13237351083279</v>
      </c>
      <c r="DU78" s="62">
        <f t="shared" si="98"/>
        <v>423.06475179432277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40.525532303239359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4.484170856227839E-5</v>
      </c>
      <c r="ED78" s="24">
        <f t="shared" si="72"/>
        <v>40.525577144947924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60.784967312210199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60.784967312210199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60.784967312210199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60.784967312210199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4.5049999999999999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16.518333333333334</v>
      </c>
      <c r="H79" s="70">
        <f t="shared" si="56"/>
        <v>147.64566666666667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60.944827527616631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14</v>
      </c>
      <c r="N79" s="14">
        <f>IF('Données projet'!$A$36&gt;35,N78+M79-V78,IF(A79&lt;'Données projet'!$A$36,$K$205^A79,IF(A79='Données projet'!$A$36,'Données projet'!$B$36,N78+M79-V78)))</f>
        <v>432.00000000000011</v>
      </c>
      <c r="O79" s="14">
        <f>N79*VLOOKUP('Données projet'!$B$9,Paramètres!$A$1:$I$89,3,0)*VLOOKUP('Données projet'!$B$9,Paramètres!$A$1:$I$89,5,0)</f>
        <v>202.17600000000004</v>
      </c>
      <c r="P79" s="14">
        <f t="shared" si="87"/>
        <v>50.22208506756467</v>
      </c>
      <c r="Q79" s="22">
        <f t="shared" si="54"/>
        <v>439.59333149267519</v>
      </c>
      <c r="R79" s="62">
        <f t="shared" si="55"/>
        <v>699.72436576060284</v>
      </c>
      <c r="S79" s="62">
        <f ca="1">AVERAGE(OFFSET($R$3,0,0,'Données projet'!$E$9+1,1))-AVERAGE(OFFSET($H$3,0,0,'Données projet'!$E$9+1,1))</f>
        <v>374.81775021423215</v>
      </c>
      <c r="T79" s="62">
        <f t="shared" si="88"/>
        <v>301.81248585467142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60.944827527616631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241.33200000000014</v>
      </c>
      <c r="AK79" s="14">
        <f t="shared" si="89"/>
        <v>58.726024391301159</v>
      </c>
      <c r="AL79" s="22">
        <f t="shared" si="58"/>
        <v>522.60105914818303</v>
      </c>
      <c r="AM79" s="62">
        <f t="shared" si="59"/>
        <v>782.73209341611073</v>
      </c>
      <c r="AN79" s="62">
        <f ca="1">AVERAGE(OFFSET($AM$3,0,0,'Données projet'!$E$10+1,1))-AVERAGE(OFFSET($H$3,0,0,'Données projet'!$E$10+1,1))</f>
        <v>468.39960552661171</v>
      </c>
      <c r="AO79" s="62">
        <f t="shared" si="90"/>
        <v>291.1952427029787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0.84486150061832688</v>
      </c>
      <c r="AW79" s="23">
        <f>EXP(-LN(2)/2)*AW78+(1-EXP(-LN(2)/2))/(LN(2)/2)*AQ79*AT79*VLOOKUP('Données projet'!$B$10,Paramètres!$A$1:$I$89,3,0)*0.475*44/12</f>
        <v>1.6765622477203604E-6</v>
      </c>
      <c r="AX79" s="23">
        <f t="shared" si="60"/>
        <v>0.84486317718057458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60.944827527616631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3.6</v>
      </c>
      <c r="BD79" s="13">
        <f>IF('Données projet'!$A$88&gt;35,BD78+BC79-BL78,IF(A79&lt;'Données projet'!$A$88,$BA$205^A79,IF(A79='Données projet'!$A$88,'Données projet'!$B$88,BD78+BC79-BL78)))</f>
        <v>218.59999999999994</v>
      </c>
      <c r="BE79" s="14">
        <f>BD79*VLOOKUP('Données projet'!$B$11,Paramètres!$A$1:$I$89,3,0)*VLOOKUP('Données projet'!$B$11,Paramètres!$A$1:$I$89,5,0)</f>
        <v>190.96895999999998</v>
      </c>
      <c r="BF79" s="14">
        <f t="shared" si="91"/>
        <v>47.754112686935557</v>
      </c>
      <c r="BG79" s="22">
        <f t="shared" si="61"/>
        <v>415.77601826307938</v>
      </c>
      <c r="BH79" s="62">
        <f t="shared" si="62"/>
        <v>675.90705253100703</v>
      </c>
      <c r="BI79" s="62">
        <f ca="1">AVERAGE(OFFSET($BH$3,0,0,'Données projet'!$E$11+1,1))-AVERAGE(OFFSET($H$3,0,0,'Données projet'!$E$11+1,1))</f>
        <v>373.50005214669716</v>
      </c>
      <c r="BJ79" s="62">
        <f t="shared" si="92"/>
        <v>383.60460086643036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4.425651478458934</v>
      </c>
      <c r="BR79" s="23">
        <f>EXP(-LN(2)/2)*BR78+(1-EXP(-LN(2)/2))/(LN(2)/2)*BL79*BO79*VLOOKUP('Données projet'!$B$11,Paramètres!$A$1:$I$89,3,0)*0.475*44/12</f>
        <v>1.7755955011321262E-6</v>
      </c>
      <c r="BS79" s="24">
        <f t="shared" si="63"/>
        <v>4.4256532540544349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60.944827527616631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210.13237351083279</v>
      </c>
      <c r="CE79" s="62">
        <f t="shared" si="94"/>
        <v>423.06475179432277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39.73085133290683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3.170787620437792E-5</v>
      </c>
      <c r="CN79" s="24">
        <f t="shared" si="66"/>
        <v>39.730883040783034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60.944827527616631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7.2</v>
      </c>
      <c r="CT79" s="13">
        <f>IF('Données projet'!$A$140&gt;35,CT78+CS79-DB78,IF(A79&lt;'Données projet'!$A$140,$CQ$205^A79,IF(A79='Données projet'!$A$140,'Données projet'!$B$140,CT78+CS79-DB78)))</f>
        <v>291.20000000000005</v>
      </c>
      <c r="CU79" s="18">
        <f>CT79*VLOOKUP('Données projet'!$B$13,Paramètres!$A$1:$I$89,3,0)*VLOOKUP('Données projet'!$B$13,Paramètres!$A$1:$I$89,5,0)</f>
        <v>263.47776000000005</v>
      </c>
      <c r="CV79" s="14">
        <f t="shared" si="95"/>
        <v>63.46312159763346</v>
      </c>
      <c r="CW79" s="22">
        <f t="shared" si="67"/>
        <v>569.42203544921165</v>
      </c>
      <c r="CX79" s="62">
        <f t="shared" si="68"/>
        <v>829.55306971713935</v>
      </c>
      <c r="CY79" s="62">
        <f ca="1">AVERAGE(OFFSET($CX$3,0,0,'Données projet'!$E$13+1,1))-AVERAGE(OFFSET($H$3,0,0,'Données projet'!$E$13+1,1))</f>
        <v>493.89660144134291</v>
      </c>
      <c r="CZ79" s="62">
        <f t="shared" si="96"/>
        <v>312.97494624463229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2.5503309757017463</v>
      </c>
      <c r="DH79" s="23">
        <f>EXP(-LN(2)/2)*DH78+(1-EXP(-LN(2)/2))/(LN(2)/2)*DB79*DE79*VLOOKUP('Données projet'!$B$13,Paramètres!$A$1:$I$89,3,0)*0.475*44/12</f>
        <v>1.7773836427399704E-6</v>
      </c>
      <c r="DI79" s="24">
        <f t="shared" si="69"/>
        <v>2.5503327530853892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60.944827527616631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>
        <f>DO79*VLOOKUP('Données projet'!$B$14,Paramètres!$A$1:$I$89,3,0)*VLOOKUP('Données projet'!$B$14,Paramètres!$A$1:$I$89,5,0)</f>
        <v>0</v>
      </c>
      <c r="DQ79" s="14" t="e">
        <f t="shared" si="97"/>
        <v>#NUM!</v>
      </c>
      <c r="DR79" s="22" t="e">
        <f t="shared" si="70"/>
        <v>#NUM!</v>
      </c>
      <c r="DS79" s="62" t="e">
        <f t="shared" si="71"/>
        <v>#NUM!</v>
      </c>
      <c r="DT79" s="62">
        <f ca="1">AVERAGE(OFFSET($DS$3,0,0,'Données projet'!$E$14+1,1))-AVERAGE(OFFSET($H$3,0,0,'Données projet'!$E$14+1,1))</f>
        <v>210.13237351083279</v>
      </c>
      <c r="DU79" s="62">
        <f t="shared" si="98"/>
        <v>423.06475179432277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39.73085133290683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3.170787620437792E-5</v>
      </c>
      <c r="ED79" s="24">
        <f t="shared" si="72"/>
        <v>39.730883040783034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60.944827527616631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60.944827527616631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60.944827527616631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60.944827527616631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4.5049999999999999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16.518333333333334</v>
      </c>
      <c r="H80" s="70">
        <f t="shared" si="56"/>
        <v>147.64566666666667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61.101914525679653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14</v>
      </c>
      <c r="N80" s="14">
        <f>IF('Données projet'!$A$36&gt;35,N79+M80-V79,IF(A80&lt;'Données projet'!$A$36,$K$205^A80,IF(A80='Données projet'!$A$36,'Données projet'!$B$36,N79+M80-V79)))</f>
        <v>446.00000000000011</v>
      </c>
      <c r="O80" s="14">
        <f>N80*VLOOKUP('Données projet'!$B$9,Paramètres!$A$1:$I$89,3,0)*VLOOKUP('Données projet'!$B$9,Paramètres!$A$1:$I$89,5,0)</f>
        <v>208.72800000000004</v>
      </c>
      <c r="P80" s="14">
        <f t="shared" si="87"/>
        <v>51.657523484203345</v>
      </c>
      <c r="Q80" s="22">
        <f t="shared" si="54"/>
        <v>453.50478673498748</v>
      </c>
      <c r="R80" s="62">
        <f t="shared" si="55"/>
        <v>714.2118066624796</v>
      </c>
      <c r="S80" s="62">
        <f ca="1">AVERAGE(OFFSET($R$3,0,0,'Données projet'!$E$9+1,1))-AVERAGE(OFFSET($H$3,0,0,'Données projet'!$E$9+1,1))</f>
        <v>374.81775021423215</v>
      </c>
      <c r="T80" s="62">
        <f t="shared" si="88"/>
        <v>301.81248585467142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61.101914525679653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247.41600000000014</v>
      </c>
      <c r="AK80" s="14">
        <f t="shared" si="89"/>
        <v>60.032282000540242</v>
      </c>
      <c r="AL80" s="22">
        <f t="shared" si="58"/>
        <v>535.47242448427448</v>
      </c>
      <c r="AM80" s="62">
        <f t="shared" si="59"/>
        <v>796.17944441176655</v>
      </c>
      <c r="AN80" s="62">
        <f ca="1">AVERAGE(OFFSET($AM$3,0,0,'Données projet'!$E$10+1,1))-AVERAGE(OFFSET($H$3,0,0,'Données projet'!$E$10+1,1))</f>
        <v>468.39960552661171</v>
      </c>
      <c r="AO80" s="62">
        <f t="shared" si="90"/>
        <v>291.1952427029787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0.82175871845458337</v>
      </c>
      <c r="AW80" s="23">
        <f>EXP(-LN(2)/2)*AW79+(1-EXP(-LN(2)/2))/(LN(2)/2)*AQ80*AT80*VLOOKUP('Données projet'!$B$10,Paramètres!$A$1:$I$89,3,0)*0.475*44/12</f>
        <v>1.1855085344444271E-6</v>
      </c>
      <c r="AX80" s="23">
        <f t="shared" si="60"/>
        <v>0.82175990396311782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61.101914525679653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3.6</v>
      </c>
      <c r="BD80" s="13">
        <f>IF('Données projet'!$A$88&gt;35,BD79+BC80-BL79,IF(A80&lt;'Données projet'!$A$88,$BA$205^A80,IF(A80='Données projet'!$A$88,'Données projet'!$B$88,BD79+BC80-BL79)))</f>
        <v>222.19999999999993</v>
      </c>
      <c r="BE80" s="14">
        <f>BD80*VLOOKUP('Données projet'!$B$11,Paramètres!$A$1:$I$89,3,0)*VLOOKUP('Données projet'!$B$11,Paramètres!$A$1:$I$89,5,0)</f>
        <v>194.11391999999998</v>
      </c>
      <c r="BF80" s="14">
        <f t="shared" si="91"/>
        <v>48.44834513242396</v>
      </c>
      <c r="BG80" s="22">
        <f t="shared" si="61"/>
        <v>422.46261177230502</v>
      </c>
      <c r="BH80" s="62">
        <f t="shared" si="62"/>
        <v>683.16963169979715</v>
      </c>
      <c r="BI80" s="62">
        <f ca="1">AVERAGE(OFFSET($BH$3,0,0,'Données projet'!$E$11+1,1))-AVERAGE(OFFSET($H$3,0,0,'Données projet'!$E$11+1,1))</f>
        <v>373.50005214669716</v>
      </c>
      <c r="BJ80" s="62">
        <f t="shared" si="92"/>
        <v>383.60460086643036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4.3046318060455784</v>
      </c>
      <c r="BR80" s="23">
        <f>EXP(-LN(2)/2)*BR79+(1-EXP(-LN(2)/2))/(LN(2)/2)*BL80*BO80*VLOOKUP('Données projet'!$B$11,Paramètres!$A$1:$I$89,3,0)*0.475*44/12</f>
        <v>1.2555356194948526E-6</v>
      </c>
      <c r="BS80" s="24">
        <f t="shared" si="63"/>
        <v>4.3046330615811979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61.101914525679653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210.13237351083279</v>
      </c>
      <c r="CE80" s="62">
        <f t="shared" si="94"/>
        <v>423.06475179432277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38.951753571694987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2.2420854281139195E-5</v>
      </c>
      <c r="CN80" s="24">
        <f t="shared" si="66"/>
        <v>38.951775992549265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61.101914525679653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7.2</v>
      </c>
      <c r="CT80" s="13">
        <f>IF('Données projet'!$A$140&gt;35,CT79+CS80-DB79,IF(A80&lt;'Données projet'!$A$140,$CQ$205^A80,IF(A80='Données projet'!$A$140,'Données projet'!$B$140,CT79+CS80-DB79)))</f>
        <v>298.40000000000003</v>
      </c>
      <c r="CU80" s="18">
        <f>CT80*VLOOKUP('Données projet'!$B$13,Paramètres!$A$1:$I$89,3,0)*VLOOKUP('Données projet'!$B$13,Paramètres!$A$1:$I$89,5,0)</f>
        <v>269.99232000000001</v>
      </c>
      <c r="CV80" s="14">
        <f t="shared" si="95"/>
        <v>64.847639395310296</v>
      </c>
      <c r="CW80" s="22">
        <f t="shared" si="67"/>
        <v>583.17959594683214</v>
      </c>
      <c r="CX80" s="62">
        <f t="shared" si="68"/>
        <v>843.88661587432421</v>
      </c>
      <c r="CY80" s="62">
        <f ca="1">AVERAGE(OFFSET($CX$3,0,0,'Données projet'!$E$13+1,1))-AVERAGE(OFFSET($H$3,0,0,'Données projet'!$E$13+1,1))</f>
        <v>493.89660144134291</v>
      </c>
      <c r="CZ80" s="62">
        <f t="shared" si="96"/>
        <v>312.97494624463229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2.4805920410551048</v>
      </c>
      <c r="DH80" s="23">
        <f>EXP(-LN(2)/2)*DH79+(1-EXP(-LN(2)/2))/(LN(2)/2)*DB80*DE80*VLOOKUP('Données projet'!$B$13,Paramètres!$A$1:$I$89,3,0)*0.475*44/12</f>
        <v>1.256800026551481E-6</v>
      </c>
      <c r="DI80" s="24">
        <f t="shared" si="69"/>
        <v>2.4805932978551315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61.101914525679653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>
        <f>DO80*VLOOKUP('Données projet'!$B$14,Paramètres!$A$1:$I$89,3,0)*VLOOKUP('Données projet'!$B$14,Paramètres!$A$1:$I$89,5,0)</f>
        <v>0</v>
      </c>
      <c r="DQ80" s="14" t="e">
        <f t="shared" si="97"/>
        <v>#NUM!</v>
      </c>
      <c r="DR80" s="22" t="e">
        <f t="shared" si="70"/>
        <v>#NUM!</v>
      </c>
      <c r="DS80" s="62" t="e">
        <f t="shared" si="71"/>
        <v>#NUM!</v>
      </c>
      <c r="DT80" s="62">
        <f ca="1">AVERAGE(OFFSET($DS$3,0,0,'Données projet'!$E$14+1,1))-AVERAGE(OFFSET($H$3,0,0,'Données projet'!$E$14+1,1))</f>
        <v>210.13237351083279</v>
      </c>
      <c r="DU80" s="62">
        <f t="shared" si="98"/>
        <v>423.06475179432277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38.951753571694987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2.2420854281139195E-5</v>
      </c>
      <c r="ED80" s="24">
        <f t="shared" si="72"/>
        <v>38.951775992549265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61.101914525679653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61.101914525679653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61.101914525679653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61.101914525679653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4.5049999999999999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16.518333333333334</v>
      </c>
      <c r="H81" s="70">
        <f t="shared" si="56"/>
        <v>147.64566666666667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61.256276415520198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14</v>
      </c>
      <c r="N81" s="14">
        <f>IF('Données projet'!$A$36&gt;35,N80+M81-V80,IF(A81&lt;'Données projet'!$A$36,$K$205^A81,IF(A81='Données projet'!$A$36,'Données projet'!$B$36,N80+M81-V80)))</f>
        <v>460.00000000000011</v>
      </c>
      <c r="O81" s="14">
        <f>N81*VLOOKUP('Données projet'!$B$9,Paramètres!$A$1:$I$89,3,0)*VLOOKUP('Données projet'!$B$9,Paramètres!$A$1:$I$89,5,0)</f>
        <v>215.28000000000003</v>
      </c>
      <c r="P81" s="14">
        <f t="shared" si="87"/>
        <v>53.087725740853138</v>
      </c>
      <c r="Q81" s="22">
        <f t="shared" si="54"/>
        <v>467.40712233198593</v>
      </c>
      <c r="R81" s="62">
        <f t="shared" si="55"/>
        <v>728.68013585556002</v>
      </c>
      <c r="S81" s="62">
        <f ca="1">AVERAGE(OFFSET($R$3,0,0,'Données projet'!$E$9+1,1))-AVERAGE(OFFSET($H$3,0,0,'Données projet'!$E$9+1,1))</f>
        <v>374.81775021423215</v>
      </c>
      <c r="T81" s="62">
        <f t="shared" si="88"/>
        <v>301.81248585467142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61.256276415520198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253.50000000000014</v>
      </c>
      <c r="AK81" s="14">
        <f t="shared" si="89"/>
        <v>61.334805663162555</v>
      </c>
      <c r="AL81" s="22">
        <f t="shared" si="58"/>
        <v>548.33728653000833</v>
      </c>
      <c r="AM81" s="62">
        <f t="shared" si="59"/>
        <v>809.61030005358248</v>
      </c>
      <c r="AN81" s="62">
        <f ca="1">AVERAGE(OFFSET($AM$3,0,0,'Données projet'!$E$10+1,1))-AVERAGE(OFFSET($H$3,0,0,'Données projet'!$E$10+1,1))</f>
        <v>468.39960552661171</v>
      </c>
      <c r="AO81" s="62">
        <f t="shared" si="90"/>
        <v>291.1952427029787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0.79928768308402998</v>
      </c>
      <c r="AW81" s="23">
        <f>EXP(-LN(2)/2)*AW80+(1-EXP(-LN(2)/2))/(LN(2)/2)*AQ81*AT81*VLOOKUP('Données projet'!$B$10,Paramètres!$A$1:$I$89,3,0)*0.475*44/12</f>
        <v>8.3828112386018018E-7</v>
      </c>
      <c r="AX81" s="23">
        <f t="shared" si="60"/>
        <v>0.79928852136515383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61.256276415520198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3.6</v>
      </c>
      <c r="BD81" s="13">
        <f>IF('Données projet'!$A$88&gt;35,BD80+BC81-BL80,IF(A81&lt;'Données projet'!$A$88,$BA$205^A81,IF(A81='Données projet'!$A$88,'Données projet'!$B$88,BD80+BC81-BL80)))</f>
        <v>225.79999999999993</v>
      </c>
      <c r="BE81" s="14">
        <f>BD81*VLOOKUP('Données projet'!$B$11,Paramètres!$A$1:$I$89,3,0)*VLOOKUP('Données projet'!$B$11,Paramètres!$A$1:$I$89,5,0)</f>
        <v>197.25887999999995</v>
      </c>
      <c r="BF81" s="14">
        <f t="shared" si="91"/>
        <v>49.141269519991567</v>
      </c>
      <c r="BG81" s="22">
        <f t="shared" si="61"/>
        <v>429.14692708065189</v>
      </c>
      <c r="BH81" s="62">
        <f t="shared" si="62"/>
        <v>690.41994060422599</v>
      </c>
      <c r="BI81" s="62">
        <f ca="1">AVERAGE(OFFSET($BH$3,0,0,'Données projet'!$E$11+1,1))-AVERAGE(OFFSET($H$3,0,0,'Données projet'!$E$11+1,1))</f>
        <v>373.50005214669716</v>
      </c>
      <c r="BJ81" s="62">
        <f t="shared" si="92"/>
        <v>383.60460086643036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4.1869214229385134</v>
      </c>
      <c r="BR81" s="23">
        <f>EXP(-LN(2)/2)*BR80+(1-EXP(-LN(2)/2))/(LN(2)/2)*BL81*BO81*VLOOKUP('Données projet'!$B$11,Paramètres!$A$1:$I$89,3,0)*0.475*44/12</f>
        <v>8.8779775056606311E-7</v>
      </c>
      <c r="BS81" s="24">
        <f t="shared" si="63"/>
        <v>4.1869223107362643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61.256276415520198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210.13237351083279</v>
      </c>
      <c r="CE81" s="62">
        <f t="shared" si="94"/>
        <v>423.06475179432277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38.187933442377798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1.585393810218896E-5</v>
      </c>
      <c r="CN81" s="24">
        <f t="shared" si="66"/>
        <v>38.1879492963159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61.256276415520198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7.2</v>
      </c>
      <c r="CT81" s="13">
        <f>IF('Données projet'!$A$140&gt;35,CT80+CS81-DB80,IF(A81&lt;'Données projet'!$A$140,$CQ$205^A81,IF(A81='Données projet'!$A$140,'Données projet'!$B$140,CT80+CS81-DB80)))</f>
        <v>305.60000000000002</v>
      </c>
      <c r="CU81" s="18">
        <f>CT81*VLOOKUP('Données projet'!$B$13,Paramètres!$A$1:$I$89,3,0)*VLOOKUP('Données projet'!$B$13,Paramètres!$A$1:$I$89,5,0)</f>
        <v>276.50687999999997</v>
      </c>
      <c r="CV81" s="14">
        <f t="shared" si="95"/>
        <v>66.228273722513677</v>
      </c>
      <c r="CW81" s="22">
        <f t="shared" si="67"/>
        <v>596.93039273337797</v>
      </c>
      <c r="CX81" s="62">
        <f t="shared" si="68"/>
        <v>858.20340625695212</v>
      </c>
      <c r="CY81" s="62">
        <f ca="1">AVERAGE(OFFSET($CX$3,0,0,'Données projet'!$E$13+1,1))-AVERAGE(OFFSET($H$3,0,0,'Données projet'!$E$13+1,1))</f>
        <v>493.89660144134291</v>
      </c>
      <c r="CZ81" s="62">
        <f t="shared" si="96"/>
        <v>312.97494624463229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2.412760121243787</v>
      </c>
      <c r="DH81" s="23">
        <f>EXP(-LN(2)/2)*DH80+(1-EXP(-LN(2)/2))/(LN(2)/2)*DB81*DE81*VLOOKUP('Données projet'!$B$13,Paramètres!$A$1:$I$89,3,0)*0.475*44/12</f>
        <v>8.886918213699852E-7</v>
      </c>
      <c r="DI81" s="24">
        <f t="shared" si="69"/>
        <v>2.4127610099356085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61.256276415520198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>
        <f>DO81*VLOOKUP('Données projet'!$B$14,Paramètres!$A$1:$I$89,3,0)*VLOOKUP('Données projet'!$B$14,Paramètres!$A$1:$I$89,5,0)</f>
        <v>0</v>
      </c>
      <c r="DQ81" s="14" t="e">
        <f t="shared" si="97"/>
        <v>#NUM!</v>
      </c>
      <c r="DR81" s="22" t="e">
        <f t="shared" si="70"/>
        <v>#NUM!</v>
      </c>
      <c r="DS81" s="62" t="e">
        <f t="shared" si="71"/>
        <v>#NUM!</v>
      </c>
      <c r="DT81" s="62">
        <f ca="1">AVERAGE(OFFSET($DS$3,0,0,'Données projet'!$E$14+1,1))-AVERAGE(OFFSET($H$3,0,0,'Données projet'!$E$14+1,1))</f>
        <v>210.13237351083279</v>
      </c>
      <c r="DU81" s="62">
        <f t="shared" si="98"/>
        <v>423.06475179432277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38.187933442377798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1.585393810218896E-5</v>
      </c>
      <c r="ED81" s="24">
        <f t="shared" si="72"/>
        <v>38.1879492963159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61.256276415520198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61.256276415520198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61.256276415520198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61.256276415520198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4.5049999999999999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16.518333333333334</v>
      </c>
      <c r="H82" s="70">
        <f t="shared" si="56"/>
        <v>147.64566666666667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61.407960471673498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>
        <f>VLOOKUP(A82,'Données projet'!$A$35:$I$55,2,0)</f>
        <v>474</v>
      </c>
      <c r="L82" s="13">
        <f>VLOOKUP(A82,'Données projet'!$A$35:$I$55,9,0)</f>
        <v>14</v>
      </c>
      <c r="M82" s="13">
        <f t="array" ref="M82">INDEX(L:L,MIN(IF(ISNUMBER(L82:L278),ROW(L82:L278),"")))</f>
        <v>14</v>
      </c>
      <c r="N82" s="14">
        <f>IF('Données projet'!$A$36&gt;35,N81+M82-V81,IF(A82&lt;'Données projet'!$A$36,$K$205^A82,IF(A82='Données projet'!$A$36,'Données projet'!$B$36,N81+M82-V81)))</f>
        <v>474.00000000000011</v>
      </c>
      <c r="O82" s="14">
        <f>N82*VLOOKUP('Données projet'!$B$9,Paramètres!$A$1:$I$89,3,0)*VLOOKUP('Données projet'!$B$9,Paramètres!$A$1:$I$89,5,0)</f>
        <v>221.83200000000005</v>
      </c>
      <c r="P82" s="14">
        <f t="shared" si="87"/>
        <v>54.512869489435815</v>
      </c>
      <c r="Q82" s="22">
        <f t="shared" si="54"/>
        <v>481.30064769410069</v>
      </c>
      <c r="R82" s="62">
        <f t="shared" si="55"/>
        <v>743.12983609023695</v>
      </c>
      <c r="S82" s="62">
        <f ca="1">AVERAGE(OFFSET($R$3,0,0,'Données projet'!$E$9+1,1))-AVERAGE(OFFSET($H$3,0,0,'Données projet'!$E$9+1,1))</f>
        <v>374.81775021423215</v>
      </c>
      <c r="T82" s="62">
        <f t="shared" si="88"/>
        <v>301.81248585467142</v>
      </c>
      <c r="U82" s="16">
        <f>IF(ISNA(VLOOKUP(A82,'Données projet'!$A$35:$I$55,3,0)),0,VLOOKUP(A82,'Données projet'!$A$35:$I$55,3,0))</f>
        <v>5</v>
      </c>
      <c r="V82" s="16">
        <f>IF(ISNA(VLOOKUP(A82,'Données projet'!$A$35:$I$55,4,0)),0,VLOOKUP(A82,'Données projet'!$A$35:$I$55,4,0))</f>
        <v>84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61.407960471673498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259.58400000000017</v>
      </c>
      <c r="AK82" s="14">
        <f t="shared" si="89"/>
        <v>62.63369530482359</v>
      </c>
      <c r="AL82" s="22">
        <f t="shared" si="58"/>
        <v>561.19581932256801</v>
      </c>
      <c r="AM82" s="62">
        <f t="shared" si="59"/>
        <v>823.02500771870427</v>
      </c>
      <c r="AN82" s="62">
        <f ca="1">AVERAGE(OFFSET($AM$3,0,0,'Données projet'!$E$10+1,1))-AVERAGE(OFFSET($H$3,0,0,'Données projet'!$E$10+1,1))</f>
        <v>468.39960552661171</v>
      </c>
      <c r="AO82" s="62">
        <f t="shared" si="90"/>
        <v>291.1952427029787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0.77743111935738474</v>
      </c>
      <c r="AW82" s="23">
        <f>EXP(-LN(2)/2)*AW81+(1-EXP(-LN(2)/2))/(LN(2)/2)*AQ82*AT82*VLOOKUP('Données projet'!$B$10,Paramètres!$A$1:$I$89,3,0)*0.475*44/12</f>
        <v>5.9275426722221357E-7</v>
      </c>
      <c r="AX82" s="23">
        <f t="shared" si="60"/>
        <v>0.77743171211165196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61.407960471673498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3.6</v>
      </c>
      <c r="BD82" s="13">
        <f>IF('Données projet'!$A$88&gt;35,BD81+BC82-BL81,IF(A82&lt;'Données projet'!$A$88,$BA$205^A82,IF(A82='Données projet'!$A$88,'Données projet'!$B$88,BD81+BC82-BL81)))</f>
        <v>229.39999999999992</v>
      </c>
      <c r="BE82" s="14">
        <f>BD82*VLOOKUP('Données projet'!$B$11,Paramètres!$A$1:$I$89,3,0)*VLOOKUP('Données projet'!$B$11,Paramètres!$A$1:$I$89,5,0)</f>
        <v>200.40383999999997</v>
      </c>
      <c r="BF82" s="14">
        <f t="shared" si="91"/>
        <v>49.832909112305636</v>
      </c>
      <c r="BG82" s="22">
        <f t="shared" si="61"/>
        <v>435.82900470393224</v>
      </c>
      <c r="BH82" s="62">
        <f t="shared" si="62"/>
        <v>697.6581931000685</v>
      </c>
      <c r="BI82" s="62">
        <f ca="1">AVERAGE(OFFSET($BH$3,0,0,'Données projet'!$E$11+1,1))-AVERAGE(OFFSET($H$3,0,0,'Données projet'!$E$11+1,1))</f>
        <v>373.50005214669716</v>
      </c>
      <c r="BJ82" s="62">
        <f t="shared" si="92"/>
        <v>383.60460086643036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4.0724298364476317</v>
      </c>
      <c r="BR82" s="23">
        <f>EXP(-LN(2)/2)*BR81+(1-EXP(-LN(2)/2))/(LN(2)/2)*BL82*BO82*VLOOKUP('Données projet'!$B$11,Paramètres!$A$1:$I$89,3,0)*0.475*44/12</f>
        <v>6.2776780974742628E-7</v>
      </c>
      <c r="BS82" s="24">
        <f t="shared" si="63"/>
        <v>4.0724304642154419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61.407960471673498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210.13237351083279</v>
      </c>
      <c r="CE82" s="62">
        <f t="shared" si="94"/>
        <v>423.06475179432277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37.43909135991224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1.1210427140569598E-5</v>
      </c>
      <c r="CN82" s="24">
        <f t="shared" si="66"/>
        <v>37.439102570339379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61.407960471673498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7.2</v>
      </c>
      <c r="CT82" s="13">
        <f>IF('Données projet'!$A$140&gt;35,CT81+CS82-DB81,IF(A82&lt;'Données projet'!$A$140,$CQ$205^A82,IF(A82='Données projet'!$A$140,'Données projet'!$B$140,CT81+CS82-DB81)))</f>
        <v>312.8</v>
      </c>
      <c r="CU82" s="18">
        <f>CT82*VLOOKUP('Données projet'!$B$13,Paramètres!$A$1:$I$89,3,0)*VLOOKUP('Données projet'!$B$13,Paramètres!$A$1:$I$89,5,0)</f>
        <v>283.02144000000004</v>
      </c>
      <c r="CV82" s="14">
        <f t="shared" si="95"/>
        <v>67.605126603830598</v>
      </c>
      <c r="CW82" s="22">
        <f t="shared" si="67"/>
        <v>610.67460350167164</v>
      </c>
      <c r="CX82" s="62">
        <f t="shared" si="68"/>
        <v>872.50379189780779</v>
      </c>
      <c r="CY82" s="62">
        <f ca="1">AVERAGE(OFFSET($CX$3,0,0,'Données projet'!$E$13+1,1))-AVERAGE(OFFSET($H$3,0,0,'Données projet'!$E$13+1,1))</f>
        <v>493.89660144134291</v>
      </c>
      <c r="CZ82" s="62">
        <f t="shared" si="96"/>
        <v>312.97494624463229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2.3467830688468352</v>
      </c>
      <c r="DH82" s="23">
        <f>EXP(-LN(2)/2)*DH81+(1-EXP(-LN(2)/2))/(LN(2)/2)*DB82*DE82*VLOOKUP('Données projet'!$B$13,Paramètres!$A$1:$I$89,3,0)*0.475*44/12</f>
        <v>6.2840001327574049E-7</v>
      </c>
      <c r="DI82" s="24">
        <f t="shared" si="69"/>
        <v>2.3467836972468485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61.407960471673498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>
        <f>DO82*VLOOKUP('Données projet'!$B$14,Paramètres!$A$1:$I$89,3,0)*VLOOKUP('Données projet'!$B$14,Paramètres!$A$1:$I$89,5,0)</f>
        <v>0</v>
      </c>
      <c r="DQ82" s="14" t="e">
        <f t="shared" si="97"/>
        <v>#NUM!</v>
      </c>
      <c r="DR82" s="22" t="e">
        <f t="shared" si="70"/>
        <v>#NUM!</v>
      </c>
      <c r="DS82" s="62" t="e">
        <f t="shared" si="71"/>
        <v>#NUM!</v>
      </c>
      <c r="DT82" s="62">
        <f ca="1">AVERAGE(OFFSET($DS$3,0,0,'Données projet'!$E$14+1,1))-AVERAGE(OFFSET($H$3,0,0,'Données projet'!$E$14+1,1))</f>
        <v>210.13237351083279</v>
      </c>
      <c r="DU82" s="62">
        <f t="shared" si="98"/>
        <v>423.06475179432277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37.43909135991224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1.1210427140569598E-5</v>
      </c>
      <c r="ED82" s="24">
        <f t="shared" si="72"/>
        <v>37.439102570339379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61.407960471673498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61.407960471673498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61.407960471673498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61.407960471673498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4.5049999999999999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16.518333333333334</v>
      </c>
      <c r="H83" s="70">
        <f t="shared" si="56"/>
        <v>147.64566666666667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61.557013148567279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13.25</v>
      </c>
      <c r="N83" s="14">
        <f>IF('Données projet'!$A$36&gt;35,N82+M83-V82,IF(A83&lt;'Données projet'!$A$36,$K$205^A83,IF(A83='Données projet'!$A$36,'Données projet'!$B$36,N82+M83-V82)))</f>
        <v>403.25000000000011</v>
      </c>
      <c r="O83" s="14">
        <f>N83*VLOOKUP('Données projet'!$B$9,Paramètres!$A$1:$I$89,3,0)*VLOOKUP('Données projet'!$B$9,Paramètres!$A$1:$I$89,5,0)</f>
        <v>188.72100000000006</v>
      </c>
      <c r="P83" s="14">
        <f t="shared" si="87"/>
        <v>47.25707304969405</v>
      </c>
      <c r="Q83" s="22">
        <f t="shared" si="54"/>
        <v>410.99514389488394</v>
      </c>
      <c r="R83" s="62">
        <f t="shared" si="55"/>
        <v>673.37085877296397</v>
      </c>
      <c r="S83" s="62">
        <f ca="1">AVERAGE(OFFSET($R$3,0,0,'Données projet'!$E$9+1,1))-AVERAGE(OFFSET($H$3,0,0,'Données projet'!$E$9+1,1))</f>
        <v>374.81775021423215</v>
      </c>
      <c r="T83" s="62">
        <f t="shared" si="88"/>
        <v>301.81248585467142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61.557013148567279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265.66800000000012</v>
      </c>
      <c r="AK83" s="14">
        <f t="shared" si="89"/>
        <v>63.929045899944406</v>
      </c>
      <c r="AL83" s="22">
        <f t="shared" si="58"/>
        <v>574.04818827573672</v>
      </c>
      <c r="AM83" s="62">
        <f t="shared" si="59"/>
        <v>836.42390315381681</v>
      </c>
      <c r="AN83" s="62">
        <f ca="1">AVERAGE(OFFSET($AM$3,0,0,'Données projet'!$E$10+1,1))-AVERAGE(OFFSET($H$3,0,0,'Données projet'!$E$10+1,1))</f>
        <v>468.39960552661171</v>
      </c>
      <c r="AO83" s="62">
        <f t="shared" si="90"/>
        <v>291.1952427029787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0.75617222451523136</v>
      </c>
      <c r="AW83" s="23">
        <f>EXP(-LN(2)/2)*AW82+(1-EXP(-LN(2)/2))/(LN(2)/2)*AQ83*AT83*VLOOKUP('Données projet'!$B$10,Paramètres!$A$1:$I$89,3,0)*0.475*44/12</f>
        <v>4.1914056193009009E-7</v>
      </c>
      <c r="AX83" s="23">
        <f t="shared" si="60"/>
        <v>0.75617264365579329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61.557013148567279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233</v>
      </c>
      <c r="BB83" s="13">
        <f>VLOOKUP(A83,'Données projet'!$A$87:$I$107,9,0)</f>
        <v>3.6</v>
      </c>
      <c r="BC83" s="13">
        <f t="array" ref="BC83">INDEX(BB:BB,MIN(IF(ISNUMBER(BB83:BB279),ROW(BB83:BB279),"")))</f>
        <v>3.6</v>
      </c>
      <c r="BD83" s="13">
        <f>IF('Données projet'!$A$88&gt;35,BD82+BC83-BL82,IF(A83&lt;'Données projet'!$A$88,$BA$205^A83,IF(A83='Données projet'!$A$88,'Données projet'!$B$88,BD82+BC83-BL82)))</f>
        <v>232.99999999999991</v>
      </c>
      <c r="BE83" s="14">
        <f>BD83*VLOOKUP('Données projet'!$B$11,Paramètres!$A$1:$I$89,3,0)*VLOOKUP('Données projet'!$B$11,Paramètres!$A$1:$I$89,5,0)</f>
        <v>203.54879999999994</v>
      </c>
      <c r="BF83" s="14">
        <f t="shared" si="91"/>
        <v>50.523286400023487</v>
      </c>
      <c r="BG83" s="22">
        <f t="shared" si="61"/>
        <v>442.5088838133741</v>
      </c>
      <c r="BH83" s="62">
        <f t="shared" si="62"/>
        <v>704.88459869145413</v>
      </c>
      <c r="BI83" s="62">
        <f ca="1">AVERAGE(OFFSET($BH$3,0,0,'Données projet'!$E$11+1,1))-AVERAGE(OFFSET($H$3,0,0,'Données projet'!$E$11+1,1))</f>
        <v>373.50005214669716</v>
      </c>
      <c r="BJ83" s="62">
        <f t="shared" si="92"/>
        <v>383.60460086643036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13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3.9610690284101939</v>
      </c>
      <c r="BR83" s="23">
        <f>EXP(-LN(2)/2)*BR82+(1-EXP(-LN(2)/2))/(LN(2)/2)*BL83*BO83*VLOOKUP('Données projet'!$B$11,Paramètres!$A$1:$I$89,3,0)*0.475*44/12</f>
        <v>4.4389887528303155E-7</v>
      </c>
      <c r="BS83" s="24">
        <f t="shared" si="63"/>
        <v>3.9610694723090694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61.557013148567279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210.13237351083279</v>
      </c>
      <c r="CE83" s="62">
        <f t="shared" si="94"/>
        <v>423.06475179432277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36.70493361393526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7.9269690510944799E-6</v>
      </c>
      <c r="CN83" s="24">
        <f t="shared" si="66"/>
        <v>36.704941540904315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61.557013148567279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320</v>
      </c>
      <c r="CR83" s="13">
        <f>VLOOKUP(A83,'Données projet'!$A$139:$I$159,9,0)</f>
        <v>7.2</v>
      </c>
      <c r="CS83" s="13">
        <f t="array" ref="CS83">INDEX(CR:CR,MIN(IF(ISNUMBER(CR83:CR279),ROW(CR83:CR279),"")))</f>
        <v>7.2</v>
      </c>
      <c r="CT83" s="13">
        <f>IF('Données projet'!$A$140&gt;35,CT82+CS83-DB82,IF(A83&lt;'Données projet'!$A$140,$CQ$205^A83,IF(A83='Données projet'!$A$140,'Données projet'!$B$140,CT82+CS83-DB82)))</f>
        <v>320</v>
      </c>
      <c r="CU83" s="18">
        <f>CT83*VLOOKUP('Données projet'!$B$13,Paramètres!$A$1:$I$89,3,0)*VLOOKUP('Données projet'!$B$13,Paramètres!$A$1:$I$89,5,0)</f>
        <v>289.536</v>
      </c>
      <c r="CV83" s="14">
        <f t="shared" si="95"/>
        <v>68.97829509904436</v>
      </c>
      <c r="CW83" s="22">
        <f t="shared" si="67"/>
        <v>624.41239729750225</v>
      </c>
      <c r="CX83" s="62">
        <f t="shared" si="68"/>
        <v>886.78811217558223</v>
      </c>
      <c r="CY83" s="62">
        <f ca="1">AVERAGE(OFFSET($CX$3,0,0,'Données projet'!$E$13+1,1))-AVERAGE(OFFSET($H$3,0,0,'Données projet'!$E$13+1,1))</f>
        <v>493.89660144134291</v>
      </c>
      <c r="CZ83" s="62">
        <f t="shared" si="96"/>
        <v>312.97494624463229</v>
      </c>
      <c r="DA83" s="16">
        <f>IF(ISNA(VLOOKUP(A83,'Données projet'!$A$139:$I$159,3,0)),0,VLOOKUP(A83,'Données projet'!$A$139:$I$159,3,0))</f>
        <v>13</v>
      </c>
      <c r="DB83" s="16">
        <f>IF(ISNA(VLOOKUP(A83,'Données projet'!$A$139:$I$159,4,0)),0,VLOOKUP(A83,'Données projet'!$A$139:$I$159,4,0))</f>
        <v>28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2.2826101624172606</v>
      </c>
      <c r="DH83" s="23">
        <f>EXP(-LN(2)/2)*DH82+(1-EXP(-LN(2)/2))/(LN(2)/2)*DB83*DE83*VLOOKUP('Données projet'!$B$13,Paramètres!$A$1:$I$89,3,0)*0.475*44/12</f>
        <v>4.443459106849926E-7</v>
      </c>
      <c r="DI83" s="24">
        <f t="shared" si="69"/>
        <v>2.2826106067631713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61.557013148567279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>
        <f>DO83*VLOOKUP('Données projet'!$B$14,Paramètres!$A$1:$I$89,3,0)*VLOOKUP('Données projet'!$B$14,Paramètres!$A$1:$I$89,5,0)</f>
        <v>0</v>
      </c>
      <c r="DQ83" s="14" t="e">
        <f t="shared" si="97"/>
        <v>#NUM!</v>
      </c>
      <c r="DR83" s="22" t="e">
        <f t="shared" si="70"/>
        <v>#NUM!</v>
      </c>
      <c r="DS83" s="62" t="e">
        <f t="shared" si="71"/>
        <v>#NUM!</v>
      </c>
      <c r="DT83" s="62">
        <f ca="1">AVERAGE(OFFSET($DS$3,0,0,'Données projet'!$E$14+1,1))-AVERAGE(OFFSET($H$3,0,0,'Données projet'!$E$14+1,1))</f>
        <v>210.13237351083279</v>
      </c>
      <c r="DU83" s="62">
        <f t="shared" si="98"/>
        <v>423.06475179432277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36.70493361393526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7.9269690510944799E-6</v>
      </c>
      <c r="ED83" s="24">
        <f t="shared" si="72"/>
        <v>36.704941540904315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61.557013148567279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61.557013148567279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61.557013148567279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61.557013148567279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4.5049999999999999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16.518333333333334</v>
      </c>
      <c r="H84" s="70">
        <f t="shared" si="56"/>
        <v>147.64566666666667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61.703480094748819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13.25</v>
      </c>
      <c r="N84" s="14">
        <f>IF('Données projet'!$A$36&gt;35,N83+M84-V83,IF(A84&lt;'Données projet'!$A$36,$K$205^A84,IF(A84='Données projet'!$A$36,'Données projet'!$B$36,N83+M84-V83)))</f>
        <v>416.50000000000011</v>
      </c>
      <c r="O84" s="14">
        <f>N84*VLOOKUP('Données projet'!$B$9,Paramètres!$A$1:$I$89,3,0)*VLOOKUP('Données projet'!$B$9,Paramètres!$A$1:$I$89,5,0)</f>
        <v>194.92200000000005</v>
      </c>
      <c r="P84" s="14">
        <f t="shared" si="87"/>
        <v>48.626512129794968</v>
      </c>
      <c r="Q84" s="22">
        <f t="shared" si="54"/>
        <v>424.18032529272637</v>
      </c>
      <c r="R84" s="62">
        <f t="shared" si="55"/>
        <v>687.09308564013872</v>
      </c>
      <c r="S84" s="62">
        <f ca="1">AVERAGE(OFFSET($R$3,0,0,'Données projet'!$E$9+1,1))-AVERAGE(OFFSET($H$3,0,0,'Données projet'!$E$9+1,1))</f>
        <v>374.81775021423215</v>
      </c>
      <c r="T84" s="62">
        <f t="shared" si="88"/>
        <v>301.81248585467142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61.703480094748819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250.05240000000018</v>
      </c>
      <c r="AK84" s="14">
        <f t="shared" si="89"/>
        <v>60.597161386823522</v>
      </c>
      <c r="AL84" s="22">
        <f t="shared" si="58"/>
        <v>541.04798608205112</v>
      </c>
      <c r="AM84" s="62">
        <f t="shared" si="59"/>
        <v>803.96074642946337</v>
      </c>
      <c r="AN84" s="62">
        <f ca="1">AVERAGE(OFFSET($AM$3,0,0,'Données projet'!$E$10+1,1))-AVERAGE(OFFSET($H$3,0,0,'Données projet'!$E$10+1,1))</f>
        <v>468.39960552661171</v>
      </c>
      <c r="AO84" s="62">
        <f t="shared" si="90"/>
        <v>291.1952427029787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0.73549465527049329</v>
      </c>
      <c r="AW84" s="23">
        <f>EXP(-LN(2)/2)*AW83+(1-EXP(-LN(2)/2))/(LN(2)/2)*AQ84*AT84*VLOOKUP('Données projet'!$B$10,Paramètres!$A$1:$I$89,3,0)*0.475*44/12</f>
        <v>2.9637713361110678E-7</v>
      </c>
      <c r="AX84" s="23">
        <f t="shared" si="60"/>
        <v>0.7354949516476269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61.703480094748819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</v>
      </c>
      <c r="BD84" s="13">
        <f>IF('Données projet'!$A$88&gt;35,BD83+BC84-BL83,IF(A84&lt;'Données projet'!$A$88,$BA$205^A84,IF(A84='Données projet'!$A$88,'Données projet'!$B$88,BD83+BC84-BL83)))</f>
        <v>222.99999999999991</v>
      </c>
      <c r="BE84" s="14">
        <f>BD84*VLOOKUP('Données projet'!$B$11,Paramètres!$A$1:$I$89,3,0)*VLOOKUP('Données projet'!$B$11,Paramètres!$A$1:$I$89,5,0)</f>
        <v>194.81279999999995</v>
      </c>
      <c r="BF84" s="14">
        <f t="shared" si="91"/>
        <v>48.602440540253859</v>
      </c>
      <c r="BG84" s="22">
        <f t="shared" si="61"/>
        <v>423.9482106076087</v>
      </c>
      <c r="BH84" s="62">
        <f t="shared" si="62"/>
        <v>686.860970955021</v>
      </c>
      <c r="BI84" s="62">
        <f ca="1">AVERAGE(OFFSET($BH$3,0,0,'Données projet'!$E$11+1,1))-AVERAGE(OFFSET($H$3,0,0,'Données projet'!$E$11+1,1))</f>
        <v>373.50005214669716</v>
      </c>
      <c r="BJ84" s="62">
        <f t="shared" si="92"/>
        <v>383.60460086643036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3.8527533875247499</v>
      </c>
      <c r="BR84" s="23">
        <f>EXP(-LN(2)/2)*BR83+(1-EXP(-LN(2)/2))/(LN(2)/2)*BL84*BO84*VLOOKUP('Données projet'!$B$11,Paramètres!$A$1:$I$89,3,0)*0.475*44/12</f>
        <v>3.1388390487371314E-7</v>
      </c>
      <c r="BS84" s="24">
        <f t="shared" si="63"/>
        <v>3.852753701408655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61.703480094748819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210.13237351083279</v>
      </c>
      <c r="CE84" s="62">
        <f t="shared" si="94"/>
        <v>423.06475179432277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35.985172253564883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5.6052135702847988E-6</v>
      </c>
      <c r="CN84" s="24">
        <f t="shared" si="66"/>
        <v>35.985177858778457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61.703480094748819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6.8</v>
      </c>
      <c r="CT84" s="13">
        <f>IF('Données projet'!$A$140&gt;35,CT83+CS84-DB83,IF(A84&lt;'Données projet'!$A$140,$CQ$205^A84,IF(A84='Données projet'!$A$140,'Données projet'!$B$140,CT83+CS84-DB83)))</f>
        <v>298.8</v>
      </c>
      <c r="CU84" s="18">
        <f>CT84*VLOOKUP('Données projet'!$B$13,Paramètres!$A$1:$I$89,3,0)*VLOOKUP('Données projet'!$B$13,Paramètres!$A$1:$I$89,5,0)</f>
        <v>270.35424</v>
      </c>
      <c r="CV84" s="14">
        <f t="shared" si="95"/>
        <v>64.924442218534367</v>
      </c>
      <c r="CW84" s="22">
        <f t="shared" si="67"/>
        <v>583.94370486394735</v>
      </c>
      <c r="CX84" s="62">
        <f t="shared" si="68"/>
        <v>846.85646521135959</v>
      </c>
      <c r="CY84" s="62">
        <f ca="1">AVERAGE(OFFSET($CX$3,0,0,'Données projet'!$E$13+1,1))-AVERAGE(OFFSET($H$3,0,0,'Données projet'!$E$13+1,1))</f>
        <v>493.89660144134291</v>
      </c>
      <c r="CZ84" s="62">
        <f t="shared" si="96"/>
        <v>312.97494624463229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2.2201920674887092</v>
      </c>
      <c r="DH84" s="23">
        <f>EXP(-LN(2)/2)*DH83+(1-EXP(-LN(2)/2))/(LN(2)/2)*DB84*DE84*VLOOKUP('Données projet'!$B$13,Paramètres!$A$1:$I$89,3,0)*0.475*44/12</f>
        <v>3.1420000663787025E-7</v>
      </c>
      <c r="DI84" s="24">
        <f t="shared" si="69"/>
        <v>2.2201923816887157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61.703480094748819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>
        <f>DO84*VLOOKUP('Données projet'!$B$14,Paramètres!$A$1:$I$89,3,0)*VLOOKUP('Données projet'!$B$14,Paramètres!$A$1:$I$89,5,0)</f>
        <v>0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210.13237351083279</v>
      </c>
      <c r="DU84" s="62">
        <f t="shared" si="98"/>
        <v>423.06475179432277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35.985172253564883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5.6052135702847988E-6</v>
      </c>
      <c r="ED84" s="24">
        <f t="shared" si="72"/>
        <v>35.985177858778457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61.703480094748819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61.703480094748819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61.703480094748819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61.703480094748819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4.5049999999999999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16.518333333333334</v>
      </c>
      <c r="H85" s="70">
        <f t="shared" si="56"/>
        <v>147.64566666666667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61.847406166865149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13.25</v>
      </c>
      <c r="N85" s="14">
        <f>IF('Données projet'!$A$36&gt;35,N84+M85-V84,IF(A85&lt;'Données projet'!$A$36,$K$205^A85,IF(A85='Données projet'!$A$36,'Données projet'!$B$36,N84+M85-V84)))</f>
        <v>429.75000000000011</v>
      </c>
      <c r="O85" s="14">
        <f>N85*VLOOKUP('Données projet'!$B$9,Paramètres!$A$1:$I$89,3,0)*VLOOKUP('Données projet'!$B$9,Paramètres!$A$1:$I$89,5,0)</f>
        <v>201.12300000000005</v>
      </c>
      <c r="P85" s="14">
        <f t="shared" si="87"/>
        <v>49.990888650608809</v>
      </c>
      <c r="Q85" s="22">
        <f t="shared" si="54"/>
        <v>437.35668939981042</v>
      </c>
      <c r="R85" s="62">
        <f t="shared" si="55"/>
        <v>700.79717867831596</v>
      </c>
      <c r="S85" s="62">
        <f ca="1">AVERAGE(OFFSET($R$3,0,0,'Données projet'!$E$9+1,1))-AVERAGE(OFFSET($H$3,0,0,'Données projet'!$E$9+1,1))</f>
        <v>374.81775021423215</v>
      </c>
      <c r="T85" s="62">
        <f t="shared" si="88"/>
        <v>301.81248585467142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61.847406166865149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255.73080000000016</v>
      </c>
      <c r="AK85" s="14">
        <f t="shared" si="89"/>
        <v>61.811482021795285</v>
      </c>
      <c r="AL85" s="22">
        <f t="shared" si="58"/>
        <v>553.05280785462708</v>
      </c>
      <c r="AM85" s="62">
        <f t="shared" si="59"/>
        <v>816.49329713313261</v>
      </c>
      <c r="AN85" s="62">
        <f ca="1">AVERAGE(OFFSET($AM$3,0,0,'Données projet'!$E$10+1,1))-AVERAGE(OFFSET($H$3,0,0,'Données projet'!$E$10+1,1))</f>
        <v>468.39960552661171</v>
      </c>
      <c r="AO85" s="62">
        <f t="shared" si="90"/>
        <v>291.1952427029787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0.71538251524413876</v>
      </c>
      <c r="AW85" s="23">
        <f>EXP(-LN(2)/2)*AW84+(1-EXP(-LN(2)/2))/(LN(2)/2)*AQ85*AT85*VLOOKUP('Données projet'!$B$10,Paramètres!$A$1:$I$89,3,0)*0.475*44/12</f>
        <v>2.0957028096504504E-7</v>
      </c>
      <c r="AX85" s="23">
        <f t="shared" si="60"/>
        <v>0.71538272481441978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61.847406166865149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</v>
      </c>
      <c r="BD85" s="13">
        <f>IF('Données projet'!$A$88&gt;35,BD84+BC85-BL84,IF(A85&lt;'Données projet'!$A$88,$BA$205^A85,IF(A85='Données projet'!$A$88,'Données projet'!$B$88,BD84+BC85-BL84)))</f>
        <v>225.99999999999991</v>
      </c>
      <c r="BE85" s="14">
        <f>BD85*VLOOKUP('Données projet'!$B$11,Paramètres!$A$1:$I$89,3,0)*VLOOKUP('Données projet'!$B$11,Paramètres!$A$1:$I$89,5,0)</f>
        <v>197.43359999999996</v>
      </c>
      <c r="BF85" s="14">
        <f t="shared" si="91"/>
        <v>49.179727436837609</v>
      </c>
      <c r="BG85" s="22">
        <f t="shared" si="61"/>
        <v>429.51821195249204</v>
      </c>
      <c r="BH85" s="62">
        <f t="shared" si="62"/>
        <v>692.95870123099758</v>
      </c>
      <c r="BI85" s="62">
        <f ca="1">AVERAGE(OFFSET($BH$3,0,0,'Données projet'!$E$11+1,1))-AVERAGE(OFFSET($H$3,0,0,'Données projet'!$E$11+1,1))</f>
        <v>373.50005214669716</v>
      </c>
      <c r="BJ85" s="62">
        <f t="shared" si="92"/>
        <v>383.60460086643036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3.7473996435353905</v>
      </c>
      <c r="BR85" s="23">
        <f>EXP(-LN(2)/2)*BR84+(1-EXP(-LN(2)/2))/(LN(2)/2)*BL85*BO85*VLOOKUP('Données projet'!$B$11,Paramètres!$A$1:$I$89,3,0)*0.475*44/12</f>
        <v>2.2194943764151578E-7</v>
      </c>
      <c r="BS85" s="24">
        <f t="shared" si="63"/>
        <v>3.747399865484828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61.847406166865149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210.13237351083279</v>
      </c>
      <c r="CE85" s="62">
        <f t="shared" si="94"/>
        <v>423.06475179432277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35.279524974460287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3.96348452554724E-6</v>
      </c>
      <c r="CN85" s="24">
        <f t="shared" si="66"/>
        <v>35.279528937944811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61.847406166865149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6.8</v>
      </c>
      <c r="CT85" s="13">
        <f>IF('Données projet'!$A$140&gt;35,CT84+CS85-DB84,IF(A85&lt;'Données projet'!$A$140,$CQ$205^A85,IF(A85='Données projet'!$A$140,'Données projet'!$B$140,CT84+CS85-DB84)))</f>
        <v>305.60000000000002</v>
      </c>
      <c r="CU85" s="18">
        <f>CT85*VLOOKUP('Données projet'!$B$13,Paramètres!$A$1:$I$89,3,0)*VLOOKUP('Données projet'!$B$13,Paramètres!$A$1:$I$89,5,0)</f>
        <v>276.50687999999997</v>
      </c>
      <c r="CV85" s="14">
        <f t="shared" si="95"/>
        <v>66.228273722513677</v>
      </c>
      <c r="CW85" s="22">
        <f t="shared" si="67"/>
        <v>596.93039273337797</v>
      </c>
      <c r="CX85" s="62">
        <f t="shared" si="68"/>
        <v>860.37088201188351</v>
      </c>
      <c r="CY85" s="62">
        <f ca="1">AVERAGE(OFFSET($CX$3,0,0,'Données projet'!$E$13+1,1))-AVERAGE(OFFSET($H$3,0,0,'Données projet'!$E$13+1,1))</f>
        <v>493.89660144134291</v>
      </c>
      <c r="CZ85" s="62">
        <f t="shared" si="96"/>
        <v>312.97494624463229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2.1594807986484041</v>
      </c>
      <c r="DH85" s="23">
        <f>EXP(-LN(2)/2)*DH84+(1-EXP(-LN(2)/2))/(LN(2)/2)*DB85*DE85*VLOOKUP('Données projet'!$B$13,Paramètres!$A$1:$I$89,3,0)*0.475*44/12</f>
        <v>2.221729553424963E-7</v>
      </c>
      <c r="DI85" s="24">
        <f t="shared" si="69"/>
        <v>2.1594810208213593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61.847406166865149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>
        <f>DO85*VLOOKUP('Données projet'!$B$14,Paramètres!$A$1:$I$89,3,0)*VLOOKUP('Données projet'!$B$14,Paramètres!$A$1:$I$89,5,0)</f>
        <v>0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210.13237351083279</v>
      </c>
      <c r="DU85" s="62">
        <f t="shared" si="98"/>
        <v>423.06475179432277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35.279524974460287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3.96348452554724E-6</v>
      </c>
      <c r="ED85" s="24">
        <f t="shared" si="72"/>
        <v>35.279528937944811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61.847406166865149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61.847406166865149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61.847406166865149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61.847406166865149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4.5049999999999999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16.518333333333334</v>
      </c>
      <c r="H86" s="70">
        <f t="shared" si="56"/>
        <v>147.64566666666667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61.988835443400745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13.25</v>
      </c>
      <c r="N86" s="14">
        <f>IF('Données projet'!$A$36&gt;35,N85+M86-V85,IF(A86&lt;'Données projet'!$A$36,$K$205^A86,IF(A86='Données projet'!$A$36,'Données projet'!$B$36,N85+M86-V85)))</f>
        <v>443.00000000000011</v>
      </c>
      <c r="O86" s="14">
        <f>N86*VLOOKUP('Données projet'!$B$9,Paramètres!$A$1:$I$89,3,0)*VLOOKUP('Données projet'!$B$9,Paramètres!$A$1:$I$89,5,0)</f>
        <v>207.32400000000007</v>
      </c>
      <c r="P86" s="14">
        <f t="shared" si="87"/>
        <v>51.350376612629724</v>
      </c>
      <c r="Q86" s="22">
        <f t="shared" si="54"/>
        <v>450.52453926699678</v>
      </c>
      <c r="R86" s="62">
        <f t="shared" si="55"/>
        <v>714.48360255946614</v>
      </c>
      <c r="S86" s="62">
        <f ca="1">AVERAGE(OFFSET($R$3,0,0,'Données projet'!$E$9+1,1))-AVERAGE(OFFSET($H$3,0,0,'Données projet'!$E$9+1,1))</f>
        <v>374.81775021423215</v>
      </c>
      <c r="T86" s="62">
        <f t="shared" si="88"/>
        <v>301.81248585467142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61.988835443400745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261.40920000000011</v>
      </c>
      <c r="AK86" s="14">
        <f t="shared" si="89"/>
        <v>63.022667885185157</v>
      </c>
      <c r="AL86" s="22">
        <f t="shared" si="58"/>
        <v>565.052169900031</v>
      </c>
      <c r="AM86" s="62">
        <f t="shared" si="59"/>
        <v>829.01123319250041</v>
      </c>
      <c r="AN86" s="62">
        <f ca="1">AVERAGE(OFFSET($AM$3,0,0,'Données projet'!$E$10+1,1))-AVERAGE(OFFSET($H$3,0,0,'Données projet'!$E$10+1,1))</f>
        <v>468.39960552661171</v>
      </c>
      <c r="AO86" s="62">
        <f t="shared" si="90"/>
        <v>291.1952427029787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0.69582034274445637</v>
      </c>
      <c r="AW86" s="23">
        <f>EXP(-LN(2)/2)*AW85+(1-EXP(-LN(2)/2))/(LN(2)/2)*AQ86*AT86*VLOOKUP('Données projet'!$B$10,Paramètres!$A$1:$I$89,3,0)*0.475*44/12</f>
        <v>1.4818856680555339E-7</v>
      </c>
      <c r="AX86" s="23">
        <f t="shared" si="60"/>
        <v>0.69582049093302312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61.988835443400745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</v>
      </c>
      <c r="BD86" s="13">
        <f>IF('Données projet'!$A$88&gt;35,BD85+BC86-BL85,IF(A86&lt;'Données projet'!$A$88,$BA$205^A86,IF(A86='Données projet'!$A$88,'Données projet'!$B$88,BD85+BC86-BL85)))</f>
        <v>228.99999999999991</v>
      </c>
      <c r="BE86" s="14">
        <f>BD86*VLOOKUP('Données projet'!$B$11,Paramètres!$A$1:$I$89,3,0)*VLOOKUP('Données projet'!$B$11,Paramètres!$A$1:$I$89,5,0)</f>
        <v>200.05439999999993</v>
      </c>
      <c r="BF86" s="14">
        <f t="shared" si="91"/>
        <v>49.756123009618186</v>
      </c>
      <c r="BG86" s="22">
        <f t="shared" si="61"/>
        <v>435.0866609084182</v>
      </c>
      <c r="BH86" s="62">
        <f t="shared" si="62"/>
        <v>699.04572420088766</v>
      </c>
      <c r="BI86" s="62">
        <f ca="1">AVERAGE(OFFSET($BH$3,0,0,'Données projet'!$E$11+1,1))-AVERAGE(OFFSET($H$3,0,0,'Données projet'!$E$11+1,1))</f>
        <v>373.50005214669716</v>
      </c>
      <c r="BJ86" s="62">
        <f t="shared" si="92"/>
        <v>383.60460086643036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3.6449268032157329</v>
      </c>
      <c r="BR86" s="23">
        <f>EXP(-LN(2)/2)*BR85+(1-EXP(-LN(2)/2))/(LN(2)/2)*BL86*BO86*VLOOKUP('Données projet'!$B$11,Paramètres!$A$1:$I$89,3,0)*0.475*44/12</f>
        <v>1.5694195243685657E-7</v>
      </c>
      <c r="BS86" s="24">
        <f t="shared" si="63"/>
        <v>3.6449269601576852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61.988835443400745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210.13237351083279</v>
      </c>
      <c r="CE86" s="62">
        <f t="shared" si="94"/>
        <v>423.06475179432277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34.587715008096588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2.8026067851423994E-6</v>
      </c>
      <c r="CN86" s="24">
        <f t="shared" si="66"/>
        <v>34.587717810703374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61.988835443400745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6.8</v>
      </c>
      <c r="CT86" s="13">
        <f>IF('Données projet'!$A$140&gt;35,CT85+CS86-DB85,IF(A86&lt;'Données projet'!$A$140,$CQ$205^A86,IF(A86='Données projet'!$A$140,'Données projet'!$B$140,CT85+CS86-DB85)))</f>
        <v>312.40000000000003</v>
      </c>
      <c r="CU86" s="18">
        <f>CT86*VLOOKUP('Données projet'!$B$13,Paramètres!$A$1:$I$89,3,0)*VLOOKUP('Données projet'!$B$13,Paramètres!$A$1:$I$89,5,0)</f>
        <v>282.65952000000004</v>
      </c>
      <c r="CV86" s="14">
        <f t="shared" si="95"/>
        <v>67.528732309967324</v>
      </c>
      <c r="CW86" s="22">
        <f t="shared" si="67"/>
        <v>609.91120610652649</v>
      </c>
      <c r="CX86" s="62">
        <f t="shared" si="68"/>
        <v>873.8702693989959</v>
      </c>
      <c r="CY86" s="62">
        <f ca="1">AVERAGE(OFFSET($CX$3,0,0,'Données projet'!$E$13+1,1))-AVERAGE(OFFSET($H$3,0,0,'Données projet'!$E$13+1,1))</f>
        <v>493.89660144134291</v>
      </c>
      <c r="CZ86" s="62">
        <f t="shared" si="96"/>
        <v>312.97494624463229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2.1004296826472038</v>
      </c>
      <c r="DH86" s="23">
        <f>EXP(-LN(2)/2)*DH85+(1-EXP(-LN(2)/2))/(LN(2)/2)*DB86*DE86*VLOOKUP('Données projet'!$B$13,Paramètres!$A$1:$I$89,3,0)*0.475*44/12</f>
        <v>1.5710000331893512E-7</v>
      </c>
      <c r="DI86" s="24">
        <f t="shared" si="69"/>
        <v>2.100429839747207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61.988835443400745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>
        <f>DO86*VLOOKUP('Données projet'!$B$14,Paramètres!$A$1:$I$89,3,0)*VLOOKUP('Données projet'!$B$14,Paramètres!$A$1:$I$89,5,0)</f>
        <v>0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210.13237351083279</v>
      </c>
      <c r="DU86" s="62">
        <f t="shared" si="98"/>
        <v>423.06475179432277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34.587715008096588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2.8026067851423994E-6</v>
      </c>
      <c r="ED86" s="24">
        <f t="shared" si="72"/>
        <v>34.587717810703374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61.988835443400745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61.988835443400745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61.988835443400745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61.988835443400745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4.5049999999999999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16.518333333333334</v>
      </c>
      <c r="H87" s="70">
        <f t="shared" si="56"/>
        <v>147.64566666666667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62.127811238176953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13.25</v>
      </c>
      <c r="N87" s="14">
        <f>IF('Données projet'!$A$36&gt;35,N86+M87-V86,IF(A87&lt;'Données projet'!$A$36,$K$205^A87,IF(A87='Données projet'!$A$36,'Données projet'!$B$36,N86+M87-V86)))</f>
        <v>456.25000000000011</v>
      </c>
      <c r="O87" s="14">
        <f>N87*VLOOKUP('Données projet'!$B$9,Paramètres!$A$1:$I$89,3,0)*VLOOKUP('Données projet'!$B$9,Paramètres!$A$1:$I$89,5,0)</f>
        <v>213.52500000000003</v>
      </c>
      <c r="P87" s="14">
        <f t="shared" si="87"/>
        <v>52.705139016145154</v>
      </c>
      <c r="Q87" s="22">
        <f t="shared" si="54"/>
        <v>463.68415878645283</v>
      </c>
      <c r="R87" s="62">
        <f t="shared" si="55"/>
        <v>728.15279999310155</v>
      </c>
      <c r="S87" s="62">
        <f ca="1">AVERAGE(OFFSET($R$3,0,0,'Données projet'!$E$9+1,1))-AVERAGE(OFFSET($H$3,0,0,'Données projet'!$E$9+1,1))</f>
        <v>374.81775021423215</v>
      </c>
      <c r="T87" s="62">
        <f t="shared" si="88"/>
        <v>301.81248585467142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62.127811238176953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267.08760000000018</v>
      </c>
      <c r="AK87" s="14">
        <f t="shared" si="89"/>
        <v>64.230794913549914</v>
      </c>
      <c r="AL87" s="22">
        <f t="shared" si="58"/>
        <v>577.04620447443301</v>
      </c>
      <c r="AM87" s="62">
        <f t="shared" si="59"/>
        <v>841.51484568108185</v>
      </c>
      <c r="AN87" s="62">
        <f ca="1">AVERAGE(OFFSET($AM$3,0,0,'Données projet'!$E$10+1,1))-AVERAGE(OFFSET($H$3,0,0,'Données projet'!$E$10+1,1))</f>
        <v>468.39960552661171</v>
      </c>
      <c r="AO87" s="62">
        <f t="shared" si="90"/>
        <v>291.1952427029787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0.67679309888050765</v>
      </c>
      <c r="AW87" s="23">
        <f>EXP(-LN(2)/2)*AW86+(1-EXP(-LN(2)/2))/(LN(2)/2)*AQ87*AT87*VLOOKUP('Données projet'!$B$10,Paramètres!$A$1:$I$89,3,0)*0.475*44/12</f>
        <v>1.0478514048252252E-7</v>
      </c>
      <c r="AX87" s="23">
        <f t="shared" si="60"/>
        <v>0.6767932036656481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62.127811238176953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</v>
      </c>
      <c r="BD87" s="13">
        <f>IF('Données projet'!$A$88&gt;35,BD86+BC87-BL86,IF(A87&lt;'Données projet'!$A$88,$BA$205^A87,IF(A87='Données projet'!$A$88,'Données projet'!$B$88,BD86+BC87-BL86)))</f>
        <v>231.99999999999991</v>
      </c>
      <c r="BE87" s="14">
        <f>BD87*VLOOKUP('Données projet'!$B$11,Paramètres!$A$1:$I$89,3,0)*VLOOKUP('Données projet'!$B$11,Paramètres!$A$1:$I$89,5,0)</f>
        <v>202.67519999999993</v>
      </c>
      <c r="BF87" s="14">
        <f t="shared" si="91"/>
        <v>50.33164028531364</v>
      </c>
      <c r="BG87" s="22">
        <f t="shared" si="61"/>
        <v>440.65358016358778</v>
      </c>
      <c r="BH87" s="62">
        <f t="shared" si="62"/>
        <v>705.1222213702365</v>
      </c>
      <c r="BI87" s="62">
        <f ca="1">AVERAGE(OFFSET($BH$3,0,0,'Données projet'!$E$11+1,1))-AVERAGE(OFFSET($H$3,0,0,'Données projet'!$E$11+1,1))</f>
        <v>373.50005214669716</v>
      </c>
      <c r="BJ87" s="62">
        <f t="shared" si="92"/>
        <v>383.60460086643036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3.5452560881034287</v>
      </c>
      <c r="BR87" s="23">
        <f>EXP(-LN(2)/2)*BR86+(1-EXP(-LN(2)/2))/(LN(2)/2)*BL87*BO87*VLOOKUP('Données projet'!$B$11,Paramètres!$A$1:$I$89,3,0)*0.475*44/12</f>
        <v>1.1097471882075789E-7</v>
      </c>
      <c r="BS87" s="24">
        <f t="shared" si="63"/>
        <v>3.5452561990781475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62.127811238176953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210.13237351083279</v>
      </c>
      <c r="CE87" s="62">
        <f t="shared" si="94"/>
        <v>423.06475179432277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33.909471013210869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1.98174226277362E-6</v>
      </c>
      <c r="CN87" s="24">
        <f t="shared" si="66"/>
        <v>33.909472994953134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62.127811238176953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6.8</v>
      </c>
      <c r="CT87" s="13">
        <f>IF('Données projet'!$A$140&gt;35,CT86+CS87-DB86,IF(A87&lt;'Données projet'!$A$140,$CQ$205^A87,IF(A87='Données projet'!$A$140,'Données projet'!$B$140,CT86+CS87-DB86)))</f>
        <v>319.20000000000005</v>
      </c>
      <c r="CU87" s="18">
        <f>CT87*VLOOKUP('Données projet'!$B$13,Paramètres!$A$1:$I$89,3,0)*VLOOKUP('Données projet'!$B$13,Paramètres!$A$1:$I$89,5,0)</f>
        <v>288.81216000000006</v>
      </c>
      <c r="CV87" s="14">
        <f t="shared" si="95"/>
        <v>68.825899854238159</v>
      </c>
      <c r="CW87" s="22">
        <f t="shared" si="67"/>
        <v>622.88628757946492</v>
      </c>
      <c r="CX87" s="62">
        <f t="shared" si="68"/>
        <v>887.35492878611376</v>
      </c>
      <c r="CY87" s="62">
        <f ca="1">AVERAGE(OFFSET($CX$3,0,0,'Données projet'!$E$13+1,1))-AVERAGE(OFFSET($H$3,0,0,'Données projet'!$E$13+1,1))</f>
        <v>493.89660144134291</v>
      </c>
      <c r="CZ87" s="62">
        <f t="shared" si="96"/>
        <v>312.97494624463229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2.0429933225184196</v>
      </c>
      <c r="DH87" s="23">
        <f>EXP(-LN(2)/2)*DH86+(1-EXP(-LN(2)/2))/(LN(2)/2)*DB87*DE87*VLOOKUP('Données projet'!$B$13,Paramètres!$A$1:$I$89,3,0)*0.475*44/12</f>
        <v>1.1108647767124815E-7</v>
      </c>
      <c r="DI87" s="24">
        <f t="shared" si="69"/>
        <v>2.0429934336048974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62.127811238176953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>
        <f>DO87*VLOOKUP('Données projet'!$B$14,Paramètres!$A$1:$I$89,3,0)*VLOOKUP('Données projet'!$B$14,Paramètres!$A$1:$I$89,5,0)</f>
        <v>0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210.13237351083279</v>
      </c>
      <c r="DU87" s="62">
        <f t="shared" si="98"/>
        <v>423.06475179432277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33.909471013210869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1.98174226277362E-6</v>
      </c>
      <c r="ED87" s="24">
        <f t="shared" si="72"/>
        <v>33.909472994953134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62.127811238176953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62.127811238176953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62.127811238176953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62.127811238176953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4.5049999999999999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16.518333333333334</v>
      </c>
      <c r="H88" s="70">
        <f t="shared" si="56"/>
        <v>147.64566666666667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62.264376113617118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13.25</v>
      </c>
      <c r="N88" s="14">
        <f>IF('Données projet'!$A$36&gt;35,N87+M88-V87,IF(A88&lt;'Données projet'!$A$36,$K$205^A88,IF(A88='Données projet'!$A$36,'Données projet'!$B$36,N87+M88-V87)))</f>
        <v>469.50000000000011</v>
      </c>
      <c r="O88" s="14">
        <f>N88*VLOOKUP('Données projet'!$B$9,Paramètres!$A$1:$I$89,3,0)*VLOOKUP('Données projet'!$B$9,Paramètres!$A$1:$I$89,5,0)</f>
        <v>219.72600000000006</v>
      </c>
      <c r="P88" s="14">
        <f t="shared" si="87"/>
        <v>54.055328855681417</v>
      </c>
      <c r="Q88" s="22">
        <f t="shared" si="54"/>
        <v>476.83581442364516</v>
      </c>
      <c r="R88" s="62">
        <f t="shared" si="55"/>
        <v>741.80519350690793</v>
      </c>
      <c r="S88" s="62">
        <f ca="1">AVERAGE(OFFSET($R$3,0,0,'Données projet'!$E$9+1,1))-AVERAGE(OFFSET($H$3,0,0,'Données projet'!$E$9+1,1))</f>
        <v>374.81775021423215</v>
      </c>
      <c r="T88" s="62">
        <f t="shared" si="88"/>
        <v>301.81248585467142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62.264376113617118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272.76600000000019</v>
      </c>
      <c r="AK88" s="14">
        <f t="shared" si="89"/>
        <v>65.435935630087627</v>
      </c>
      <c r="AL88" s="22">
        <f t="shared" si="58"/>
        <v>589.03503788906949</v>
      </c>
      <c r="AM88" s="62">
        <f t="shared" si="59"/>
        <v>854.00441697233225</v>
      </c>
      <c r="AN88" s="62">
        <f ca="1">AVERAGE(OFFSET($AM$3,0,0,'Données projet'!$E$10+1,1))-AVERAGE(OFFSET($H$3,0,0,'Données projet'!$E$10+1,1))</f>
        <v>468.39960552661171</v>
      </c>
      <c r="AO88" s="62">
        <f t="shared" si="90"/>
        <v>291.1952427029787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0.65828615600061791</v>
      </c>
      <c r="AW88" s="23">
        <f>EXP(-LN(2)/2)*AW87+(1-EXP(-LN(2)/2))/(LN(2)/2)*AQ88*AT88*VLOOKUP('Données projet'!$B$10,Paramètres!$A$1:$I$89,3,0)*0.475*44/12</f>
        <v>7.4094283402776696E-8</v>
      </c>
      <c r="AX88" s="23">
        <f t="shared" si="60"/>
        <v>0.65828623009490128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62.264376113617118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235</v>
      </c>
      <c r="BB88" s="13">
        <f>VLOOKUP(A88,'Données projet'!$A$87:$I$107,9,0)</f>
        <v>3</v>
      </c>
      <c r="BC88" s="13">
        <f t="array" ref="BC88">INDEX(BB:BB,MIN(IF(ISNUMBER(BB88:BB284),ROW(BB88:BB284),"")))</f>
        <v>3</v>
      </c>
      <c r="BD88" s="13">
        <f>IF('Données projet'!$A$88&gt;35,BD87+BC88-BL87,IF(A88&lt;'Données projet'!$A$88,$BA$205^A88,IF(A88='Données projet'!$A$88,'Données projet'!$B$88,BD87+BC88-BL87)))</f>
        <v>234.99999999999991</v>
      </c>
      <c r="BE88" s="14">
        <f>BD88*VLOOKUP('Données projet'!$B$11,Paramètres!$A$1:$I$89,3,0)*VLOOKUP('Données projet'!$B$11,Paramètres!$A$1:$I$89,5,0)</f>
        <v>205.29599999999996</v>
      </c>
      <c r="BF88" s="14">
        <f t="shared" si="91"/>
        <v>50.906291934375353</v>
      </c>
      <c r="BG88" s="22">
        <f t="shared" si="61"/>
        <v>446.21899178570357</v>
      </c>
      <c r="BH88" s="62">
        <f t="shared" si="62"/>
        <v>711.18837086896633</v>
      </c>
      <c r="BI88" s="62">
        <f ca="1">AVERAGE(OFFSET($BH$3,0,0,'Données projet'!$E$11+1,1))-AVERAGE(OFFSET($H$3,0,0,'Données projet'!$E$11+1,1))</f>
        <v>373.50005214669716</v>
      </c>
      <c r="BJ88" s="62">
        <f t="shared" si="92"/>
        <v>383.60460086643036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12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3.4483108739373254</v>
      </c>
      <c r="BR88" s="23">
        <f>EXP(-LN(2)/2)*BR87+(1-EXP(-LN(2)/2))/(LN(2)/2)*BL88*BO88*VLOOKUP('Données projet'!$B$11,Paramètres!$A$1:$I$89,3,0)*0.475*44/12</f>
        <v>7.8470976218428284E-8</v>
      </c>
      <c r="BS88" s="24">
        <f t="shared" si="63"/>
        <v>3.4483109524083018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62.264376113617118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210.13237351083279</v>
      </c>
      <c r="CE88" s="62">
        <f t="shared" si="94"/>
        <v>423.06475179432277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33.244526969376871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1.4013033925711997E-6</v>
      </c>
      <c r="CN88" s="24">
        <f t="shared" si="66"/>
        <v>33.244528370680264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62.264376113617118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326</v>
      </c>
      <c r="CR88" s="13">
        <f>VLOOKUP(A88,'Données projet'!$A$139:$I$159,9,0)</f>
        <v>6.8</v>
      </c>
      <c r="CS88" s="13">
        <f t="array" ref="CS88">INDEX(CR:CR,MIN(IF(ISNUMBER(CR88:CR284),ROW(CR88:CR284),"")))</f>
        <v>6.8</v>
      </c>
      <c r="CT88" s="13">
        <f>IF('Données projet'!$A$140&gt;35,CT87+CS88-DB87,IF(A88&lt;'Données projet'!$A$140,$CQ$205^A88,IF(A88='Données projet'!$A$140,'Données projet'!$B$140,CT87+CS88-DB87)))</f>
        <v>326.00000000000006</v>
      </c>
      <c r="CU88" s="18">
        <f>CT88*VLOOKUP('Données projet'!$B$13,Paramètres!$A$1:$I$89,3,0)*VLOOKUP('Données projet'!$B$13,Paramètres!$A$1:$I$89,5,0)</f>
        <v>294.96480000000003</v>
      </c>
      <c r="CV88" s="14">
        <f t="shared" si="95"/>
        <v>70.119854541045001</v>
      </c>
      <c r="CW88" s="22">
        <f t="shared" si="67"/>
        <v>635.85577332565333</v>
      </c>
      <c r="CX88" s="62">
        <f t="shared" si="68"/>
        <v>900.8251524089161</v>
      </c>
      <c r="CY88" s="62">
        <f ca="1">AVERAGE(OFFSET($CX$3,0,0,'Données projet'!$E$13+1,1))-AVERAGE(OFFSET($H$3,0,0,'Données projet'!$E$13+1,1))</f>
        <v>493.89660144134291</v>
      </c>
      <c r="CZ88" s="62">
        <f t="shared" si="96"/>
        <v>312.97494624463229</v>
      </c>
      <c r="DA88" s="16">
        <f>IF(ISNA(VLOOKUP(A88,'Données projet'!$A$139:$I$159,3,0)),0,VLOOKUP(A88,'Données projet'!$A$139:$I$159,3,0))</f>
        <v>14</v>
      </c>
      <c r="DB88" s="16">
        <f>IF(ISNA(VLOOKUP(A88,'Données projet'!$A$139:$I$159,4,0)),0,VLOOKUP(A88,'Données projet'!$A$139:$I$159,4,0))</f>
        <v>28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1.987127562677804</v>
      </c>
      <c r="DH88" s="23">
        <f>EXP(-LN(2)/2)*DH87+(1-EXP(-LN(2)/2))/(LN(2)/2)*DB88*DE88*VLOOKUP('Données projet'!$B$13,Paramètres!$A$1:$I$89,3,0)*0.475*44/12</f>
        <v>7.8550001659467562E-8</v>
      </c>
      <c r="DI88" s="24">
        <f t="shared" si="69"/>
        <v>1.9871276412278056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62.264376113617118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>
        <f>DO88*VLOOKUP('Données projet'!$B$14,Paramètres!$A$1:$I$89,3,0)*VLOOKUP('Données projet'!$B$14,Paramètres!$A$1:$I$89,5,0)</f>
        <v>0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210.13237351083279</v>
      </c>
      <c r="DU88" s="62">
        <f t="shared" si="98"/>
        <v>423.06475179432277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33.244526969376871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1.4013033925711997E-6</v>
      </c>
      <c r="ED88" s="24">
        <f t="shared" si="72"/>
        <v>33.244528370680264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62.264376113617118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62.264376113617118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62.264376113617118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62.264376113617118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4.5049999999999999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16.518333333333334</v>
      </c>
      <c r="H89" s="70">
        <f t="shared" si="56"/>
        <v>147.64566666666667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62.398571893781714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13.25</v>
      </c>
      <c r="N89" s="14">
        <f>IF('Données projet'!$A$36&gt;35,N88+M89-V88,IF(A89&lt;'Données projet'!$A$36,$K$205^A89,IF(A89='Données projet'!$A$36,'Données projet'!$B$36,N88+M89-V88)))</f>
        <v>482.75000000000011</v>
      </c>
      <c r="O89" s="14">
        <f>N89*VLOOKUP('Données projet'!$B$9,Paramètres!$A$1:$I$89,3,0)*VLOOKUP('Données projet'!$B$9,Paramètres!$A$1:$I$89,5,0)</f>
        <v>225.92700000000002</v>
      </c>
      <c r="P89" s="14">
        <f t="shared" si="87"/>
        <v>55.401089999034745</v>
      </c>
      <c r="Q89" s="22">
        <f t="shared" si="54"/>
        <v>489.97975674831883</v>
      </c>
      <c r="R89" s="62">
        <f t="shared" si="55"/>
        <v>755.44118702551839</v>
      </c>
      <c r="S89" s="62">
        <f ca="1">AVERAGE(OFFSET($R$3,0,0,'Données projet'!$E$9+1,1))-AVERAGE(OFFSET($H$3,0,0,'Données projet'!$E$9+1,1))</f>
        <v>374.81775021423215</v>
      </c>
      <c r="T89" s="62">
        <f t="shared" si="88"/>
        <v>301.81248585467142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62.398571893781714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256.94760000000014</v>
      </c>
      <c r="AK89" s="14">
        <f t="shared" si="89"/>
        <v>62.071283104858303</v>
      </c>
      <c r="AL89" s="22">
        <f t="shared" si="58"/>
        <v>555.6245547409618</v>
      </c>
      <c r="AM89" s="62">
        <f t="shared" si="59"/>
        <v>821.08598501816141</v>
      </c>
      <c r="AN89" s="62">
        <f ca="1">AVERAGE(OFFSET($AM$3,0,0,'Données projet'!$E$10+1,1))-AVERAGE(OFFSET($H$3,0,0,'Données projet'!$E$10+1,1))</f>
        <v>468.39960552661171</v>
      </c>
      <c r="AO89" s="62">
        <f t="shared" si="90"/>
        <v>291.1952427029787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0.64028528644701654</v>
      </c>
      <c r="AW89" s="23">
        <f>EXP(-LN(2)/2)*AW88+(1-EXP(-LN(2)/2))/(LN(2)/2)*AQ89*AT89*VLOOKUP('Données projet'!$B$10,Paramètres!$A$1:$I$89,3,0)*0.475*44/12</f>
        <v>5.2392570241261261E-8</v>
      </c>
      <c r="AX89" s="23">
        <f t="shared" si="60"/>
        <v>0.64028533883958683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62.398571893781714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2.6</v>
      </c>
      <c r="BD89" s="13">
        <f>IF('Données projet'!$A$88&gt;35,BD88+BC89-BL88,IF(A89&lt;'Données projet'!$A$88,$BA$205^A89,IF(A89='Données projet'!$A$88,'Données projet'!$B$88,BD88+BC89-BL88)))</f>
        <v>225.59999999999991</v>
      </c>
      <c r="BE89" s="14">
        <f>BD89*VLOOKUP('Données projet'!$B$11,Paramètres!$A$1:$I$89,3,0)*VLOOKUP('Données projet'!$B$11,Paramètres!$A$1:$I$89,5,0)</f>
        <v>197.08415999999994</v>
      </c>
      <c r="BF89" s="14">
        <f t="shared" si="91"/>
        <v>49.102807637925878</v>
      </c>
      <c r="BG89" s="22">
        <f t="shared" si="61"/>
        <v>428.77563530272073</v>
      </c>
      <c r="BH89" s="62">
        <f t="shared" si="62"/>
        <v>694.23706557992023</v>
      </c>
      <c r="BI89" s="62">
        <f ca="1">AVERAGE(OFFSET($BH$3,0,0,'Données projet'!$E$11+1,1))-AVERAGE(OFFSET($H$3,0,0,'Données projet'!$E$11+1,1))</f>
        <v>373.50005214669716</v>
      </c>
      <c r="BJ89" s="62">
        <f t="shared" si="92"/>
        <v>383.60460086643036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3.3540166317507216</v>
      </c>
      <c r="BR89" s="23">
        <f>EXP(-LN(2)/2)*BR88+(1-EXP(-LN(2)/2))/(LN(2)/2)*BL89*BO89*VLOOKUP('Données projet'!$B$11,Paramètres!$A$1:$I$89,3,0)*0.475*44/12</f>
        <v>5.5487359410378944E-8</v>
      </c>
      <c r="BS89" s="24">
        <f t="shared" si="63"/>
        <v>3.3540166872380812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62.398571893781714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210.13237351083279</v>
      </c>
      <c r="CE89" s="62">
        <f t="shared" si="94"/>
        <v>423.06475179432277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32.592622072666636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9.9087113138680999E-7</v>
      </c>
      <c r="CN89" s="24">
        <f t="shared" si="66"/>
        <v>32.592623063537765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62.398571893781714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6.4</v>
      </c>
      <c r="CT89" s="13">
        <f>IF('Données projet'!$A$140&gt;35,CT88+CS89-DB88,IF(A89&lt;'Données projet'!$A$140,$CQ$205^A89,IF(A89='Données projet'!$A$140,'Données projet'!$B$140,CT88+CS89-DB88)))</f>
        <v>304.40000000000003</v>
      </c>
      <c r="CU89" s="18">
        <f>CT89*VLOOKUP('Données projet'!$B$13,Paramètres!$A$1:$I$89,3,0)*VLOOKUP('Données projet'!$B$13,Paramètres!$A$1:$I$89,5,0)</f>
        <v>275.42112000000003</v>
      </c>
      <c r="CV89" s="14">
        <f t="shared" si="95"/>
        <v>65.998433293601067</v>
      </c>
      <c r="CW89" s="22">
        <f t="shared" si="67"/>
        <v>594.63905531968851</v>
      </c>
      <c r="CX89" s="62">
        <f t="shared" si="68"/>
        <v>860.10048559688812</v>
      </c>
      <c r="CY89" s="62">
        <f ca="1">AVERAGE(OFFSET($CX$3,0,0,'Données projet'!$E$13+1,1))-AVERAGE(OFFSET($H$3,0,0,'Données projet'!$E$13+1,1))</f>
        <v>493.89660144134291</v>
      </c>
      <c r="CZ89" s="62">
        <f t="shared" si="96"/>
        <v>312.97494624463229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1.9327894549778826</v>
      </c>
      <c r="DH89" s="23">
        <f>EXP(-LN(2)/2)*DH88+(1-EXP(-LN(2)/2))/(LN(2)/2)*DB89*DE89*VLOOKUP('Données projet'!$B$13,Paramètres!$A$1:$I$89,3,0)*0.475*44/12</f>
        <v>5.5543238835624075E-8</v>
      </c>
      <c r="DI89" s="24">
        <f t="shared" si="69"/>
        <v>1.9327895105211215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62.398571893781714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>
        <f>DO89*VLOOKUP('Données projet'!$B$14,Paramètres!$A$1:$I$89,3,0)*VLOOKUP('Données projet'!$B$14,Paramètres!$A$1:$I$89,5,0)</f>
        <v>0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210.13237351083279</v>
      </c>
      <c r="DU89" s="62">
        <f t="shared" si="98"/>
        <v>423.06475179432277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32.592622072666636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9.9087113138680999E-7</v>
      </c>
      <c r="ED89" s="24">
        <f t="shared" si="72"/>
        <v>32.592623063537765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62.398571893781714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62.398571893781714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62.398571893781714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62.398571893781714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4.5049999999999999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16.518333333333334</v>
      </c>
      <c r="H90" s="70">
        <f t="shared" si="56"/>
        <v>147.64566666666667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62.530439677177284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>
        <f>VLOOKUP(A90,'Données projet'!$A$35:$I$55,2,0)</f>
        <v>496</v>
      </c>
      <c r="L90" s="13">
        <f>VLOOKUP(A90,'Données projet'!$A$35:$I$55,9,0)</f>
        <v>13.25</v>
      </c>
      <c r="M90" s="13">
        <f t="array" ref="M90">INDEX(L:L,MIN(IF(ISNUMBER(L90:L286),ROW(L90:L286),"")))</f>
        <v>13.25</v>
      </c>
      <c r="N90" s="14">
        <f>IF('Données projet'!$A$36&gt;35,N89+M90-V89,IF(A90&lt;'Données projet'!$A$36,$K$205^A90,IF(A90='Données projet'!$A$36,'Données projet'!$B$36,N89+M90-V89)))</f>
        <v>496.00000000000011</v>
      </c>
      <c r="O90" s="14">
        <f>N90*VLOOKUP('Données projet'!$B$9,Paramètres!$A$1:$I$89,3,0)*VLOOKUP('Données projet'!$B$9,Paramètres!$A$1:$I$89,5,0)</f>
        <v>232.12800000000004</v>
      </c>
      <c r="P90" s="14">
        <f t="shared" si="87"/>
        <v>56.742557967082398</v>
      </c>
      <c r="Q90" s="22">
        <f t="shared" si="54"/>
        <v>503.11622179266851</v>
      </c>
      <c r="R90" s="62">
        <f t="shared" si="55"/>
        <v>769.06116727565188</v>
      </c>
      <c r="S90" s="62">
        <f ca="1">AVERAGE(OFFSET($R$3,0,0,'Données projet'!$E$9+1,1))-AVERAGE(OFFSET($H$3,0,0,'Données projet'!$E$9+1,1))</f>
        <v>374.81775021423215</v>
      </c>
      <c r="T90" s="62">
        <f t="shared" si="88"/>
        <v>301.81248585467142</v>
      </c>
      <c r="U90" s="16">
        <f>IF(ISNA(VLOOKUP(A90,'Données projet'!$A$35:$I$55,3,0)),0,VLOOKUP(A90,'Données projet'!$A$35:$I$55,3,0))</f>
        <v>6</v>
      </c>
      <c r="V90" s="16">
        <f>IF(ISNA(VLOOKUP(A90,'Données projet'!$A$35:$I$55,4,0)),0,VLOOKUP(A90,'Données projet'!$A$35:$I$55,4,0))</f>
        <v>85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62.530439677177284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262.42320000000012</v>
      </c>
      <c r="AK90" s="14">
        <f t="shared" si="89"/>
        <v>63.23862706204779</v>
      </c>
      <c r="AL90" s="22">
        <f t="shared" si="58"/>
        <v>567.19434879973335</v>
      </c>
      <c r="AM90" s="62">
        <f t="shared" si="59"/>
        <v>833.13929428271672</v>
      </c>
      <c r="AN90" s="62">
        <f ca="1">AVERAGE(OFFSET($AM$3,0,0,'Données projet'!$E$10+1,1))-AVERAGE(OFFSET($H$3,0,0,'Données projet'!$E$10+1,1))</f>
        <v>468.39960552661171</v>
      </c>
      <c r="AO90" s="62">
        <f t="shared" si="90"/>
        <v>291.1952427029787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0.62277665161798301</v>
      </c>
      <c r="AW90" s="23">
        <f>EXP(-LN(2)/2)*AW89+(1-EXP(-LN(2)/2))/(LN(2)/2)*AQ90*AT90*VLOOKUP('Données projet'!$B$10,Paramètres!$A$1:$I$89,3,0)*0.475*44/12</f>
        <v>3.7047141701388348E-8</v>
      </c>
      <c r="AX90" s="23">
        <f t="shared" si="60"/>
        <v>0.6227766886651247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62.530439677177284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2.6</v>
      </c>
      <c r="BD90" s="13">
        <f>IF('Données projet'!$A$88&gt;35,BD89+BC90-BL89,IF(A90&lt;'Données projet'!$A$88,$BA$205^A90,IF(A90='Données projet'!$A$88,'Données projet'!$B$88,BD89+BC90-BL89)))</f>
        <v>228.1999999999999</v>
      </c>
      <c r="BE90" s="14">
        <f>BD90*VLOOKUP('Données projet'!$B$11,Paramètres!$A$1:$I$89,3,0)*VLOOKUP('Données projet'!$B$11,Paramètres!$A$1:$I$89,5,0)</f>
        <v>199.35551999999996</v>
      </c>
      <c r="BF90" s="14">
        <f t="shared" si="91"/>
        <v>49.602503932783179</v>
      </c>
      <c r="BG90" s="22">
        <f t="shared" si="61"/>
        <v>433.60189168293056</v>
      </c>
      <c r="BH90" s="62">
        <f t="shared" si="62"/>
        <v>699.54683716591398</v>
      </c>
      <c r="BI90" s="62">
        <f ca="1">AVERAGE(OFFSET($BH$3,0,0,'Données projet'!$E$11+1,1))-AVERAGE(OFFSET($H$3,0,0,'Données projet'!$E$11+1,1))</f>
        <v>373.50005214669716</v>
      </c>
      <c r="BJ90" s="62">
        <f t="shared" si="92"/>
        <v>383.60460086643036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3.2623008705754293</v>
      </c>
      <c r="BR90" s="23">
        <f>EXP(-LN(2)/2)*BR89+(1-EXP(-LN(2)/2))/(LN(2)/2)*BL90*BO90*VLOOKUP('Données projet'!$B$11,Paramètres!$A$1:$I$89,3,0)*0.475*44/12</f>
        <v>3.9235488109214142E-8</v>
      </c>
      <c r="BS90" s="24">
        <f t="shared" si="63"/>
        <v>3.2623009098109175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62.530439677177284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210.13237351083279</v>
      </c>
      <c r="CE90" s="62">
        <f t="shared" si="94"/>
        <v>423.06475179432277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31.953500633358168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7.0065169628559984E-7</v>
      </c>
      <c r="CN90" s="24">
        <f t="shared" si="66"/>
        <v>31.953501334009864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62.530439677177284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6.4</v>
      </c>
      <c r="CT90" s="13">
        <f>IF('Données projet'!$A$140&gt;35,CT89+CS90-DB89,IF(A90&lt;'Données projet'!$A$140,$CQ$205^A90,IF(A90='Données projet'!$A$140,'Données projet'!$B$140,CT89+CS90-DB89)))</f>
        <v>310.8</v>
      </c>
      <c r="CU90" s="18">
        <f>CT90*VLOOKUP('Données projet'!$B$13,Paramètres!$A$1:$I$89,3,0)*VLOOKUP('Données projet'!$B$13,Paramètres!$A$1:$I$89,5,0)</f>
        <v>281.21184</v>
      </c>
      <c r="CV90" s="14">
        <f t="shared" si="95"/>
        <v>67.22304110496664</v>
      </c>
      <c r="CW90" s="22">
        <f t="shared" si="67"/>
        <v>606.85741792448357</v>
      </c>
      <c r="CX90" s="62">
        <f t="shared" si="68"/>
        <v>872.80236340746694</v>
      </c>
      <c r="CY90" s="62">
        <f ca="1">AVERAGE(OFFSET($CX$3,0,0,'Données projet'!$E$13+1,1))-AVERAGE(OFFSET($H$3,0,0,'Données projet'!$E$13+1,1))</f>
        <v>493.89660144134291</v>
      </c>
      <c r="CZ90" s="62">
        <f t="shared" si="96"/>
        <v>312.97494624463229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1.8799372256905325</v>
      </c>
      <c r="DH90" s="23">
        <f>EXP(-LN(2)/2)*DH89+(1-EXP(-LN(2)/2))/(LN(2)/2)*DB90*DE90*VLOOKUP('Données projet'!$B$13,Paramètres!$A$1:$I$89,3,0)*0.475*44/12</f>
        <v>3.9275000829733781E-8</v>
      </c>
      <c r="DI90" s="24">
        <f t="shared" si="69"/>
        <v>1.8799372649655333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62.530439677177284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>
        <f>DO90*VLOOKUP('Données projet'!$B$14,Paramètres!$A$1:$I$89,3,0)*VLOOKUP('Données projet'!$B$14,Paramètres!$A$1:$I$89,5,0)</f>
        <v>0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210.13237351083279</v>
      </c>
      <c r="DU90" s="62">
        <f t="shared" si="98"/>
        <v>423.06475179432277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31.953500633358168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7.0065169628559984E-7</v>
      </c>
      <c r="ED90" s="24">
        <f t="shared" si="72"/>
        <v>31.953501334009864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62.530439677177284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62.530439677177284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62.530439677177284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62.530439677177284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4.5049999999999999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16.518333333333334</v>
      </c>
      <c r="H91" s="70">
        <f t="shared" si="56"/>
        <v>147.64566666666667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62.660019849343136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12.25</v>
      </c>
      <c r="N91" s="14">
        <f>IF('Données projet'!$A$36&gt;35,N90+M91-V90,IF(A91&lt;'Données projet'!$A$36,$K$205^A91,IF(A91='Données projet'!$A$36,'Données projet'!$B$36,N90+M91-V90)))</f>
        <v>423.25000000000011</v>
      </c>
      <c r="O91" s="14">
        <f>N91*VLOOKUP('Données projet'!$B$9,Paramètres!$A$1:$I$89,3,0)*VLOOKUP('Données projet'!$B$9,Paramètres!$A$1:$I$89,5,0)</f>
        <v>198.08100000000005</v>
      </c>
      <c r="P91" s="14">
        <f t="shared" si="87"/>
        <v>49.322193251726077</v>
      </c>
      <c r="Q91" s="22">
        <f t="shared" si="54"/>
        <v>430.89389491342303</v>
      </c>
      <c r="R91" s="62">
        <f t="shared" si="55"/>
        <v>697.31396769434787</v>
      </c>
      <c r="S91" s="62">
        <f ca="1">AVERAGE(OFFSET($R$3,0,0,'Données projet'!$E$9+1,1))-AVERAGE(OFFSET($H$3,0,0,'Données projet'!$E$9+1,1))</f>
        <v>374.81775021423215</v>
      </c>
      <c r="T91" s="62">
        <f t="shared" si="88"/>
        <v>301.81248585467142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62.660019849343136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267.89880000000011</v>
      </c>
      <c r="AK91" s="14">
        <f t="shared" si="89"/>
        <v>64.403139057834565</v>
      </c>
      <c r="AL91" s="22">
        <f t="shared" si="58"/>
        <v>578.75921052572869</v>
      </c>
      <c r="AM91" s="62">
        <f t="shared" si="59"/>
        <v>845.17928330665359</v>
      </c>
      <c r="AN91" s="62">
        <f ca="1">AVERAGE(OFFSET($AM$3,0,0,'Données projet'!$E$10+1,1))-AVERAGE(OFFSET($H$3,0,0,'Données projet'!$E$10+1,1))</f>
        <v>468.39960552661171</v>
      </c>
      <c r="AO91" s="62">
        <f t="shared" si="90"/>
        <v>291.1952427029787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0.60574679132908849</v>
      </c>
      <c r="AW91" s="23">
        <f>EXP(-LN(2)/2)*AW90+(1-EXP(-LN(2)/2))/(LN(2)/2)*AQ91*AT91*VLOOKUP('Données projet'!$B$10,Paramètres!$A$1:$I$89,3,0)*0.475*44/12</f>
        <v>2.6196285120630631E-8</v>
      </c>
      <c r="AX91" s="23">
        <f t="shared" si="60"/>
        <v>0.60574681752537363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62.660019849343136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2.6</v>
      </c>
      <c r="BD91" s="13">
        <f>IF('Données projet'!$A$88&gt;35,BD90+BC91-BL90,IF(A91&lt;'Données projet'!$A$88,$BA$205^A91,IF(A91='Données projet'!$A$88,'Données projet'!$B$88,BD90+BC91-BL90)))</f>
        <v>230.7999999999999</v>
      </c>
      <c r="BE91" s="14">
        <f>BD91*VLOOKUP('Données projet'!$B$11,Paramètres!$A$1:$I$89,3,0)*VLOOKUP('Données projet'!$B$11,Paramètres!$A$1:$I$89,5,0)</f>
        <v>201.62687999999994</v>
      </c>
      <c r="BF91" s="14">
        <f t="shared" si="91"/>
        <v>50.101537951964936</v>
      </c>
      <c r="BG91" s="22">
        <f t="shared" si="61"/>
        <v>438.42699459967213</v>
      </c>
      <c r="BH91" s="62">
        <f t="shared" si="62"/>
        <v>704.84706738059697</v>
      </c>
      <c r="BI91" s="62">
        <f ca="1">AVERAGE(OFFSET($BH$3,0,0,'Données projet'!$E$11+1,1))-AVERAGE(OFFSET($H$3,0,0,'Données projet'!$E$11+1,1))</f>
        <v>373.50005214669716</v>
      </c>
      <c r="BJ91" s="62">
        <f t="shared" si="92"/>
        <v>383.60460086643036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3.1730930817125973</v>
      </c>
      <c r="BR91" s="23">
        <f>EXP(-LN(2)/2)*BR90+(1-EXP(-LN(2)/2))/(LN(2)/2)*BL91*BO91*VLOOKUP('Données projet'!$B$11,Paramètres!$A$1:$I$89,3,0)*0.475*44/12</f>
        <v>2.7743679705189472E-8</v>
      </c>
      <c r="BS91" s="24">
        <f t="shared" si="63"/>
        <v>3.1730931094562771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62.660019849343136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210.13237351083279</v>
      </c>
      <c r="CE91" s="62">
        <f t="shared" si="94"/>
        <v>423.06475179432277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31.326911975648951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4.9543556569340499E-7</v>
      </c>
      <c r="CN91" s="24">
        <f t="shared" si="66"/>
        <v>31.326912471084515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62.660019849343136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6.4</v>
      </c>
      <c r="CT91" s="13">
        <f>IF('Données projet'!$A$140&gt;35,CT90+CS91-DB90,IF(A91&lt;'Données projet'!$A$140,$CQ$205^A91,IF(A91='Données projet'!$A$140,'Données projet'!$B$140,CT90+CS91-DB90)))</f>
        <v>317.2</v>
      </c>
      <c r="CU91" s="18">
        <f>CT91*VLOOKUP('Données projet'!$B$13,Paramètres!$A$1:$I$89,3,0)*VLOOKUP('Données projet'!$B$13,Paramètres!$A$1:$I$89,5,0)</f>
        <v>287.00255999999996</v>
      </c>
      <c r="CV91" s="14">
        <f t="shared" si="95"/>
        <v>68.444716936118553</v>
      </c>
      <c r="CW91" s="22">
        <f t="shared" si="67"/>
        <v>619.07067399707296</v>
      </c>
      <c r="CX91" s="62">
        <f t="shared" si="68"/>
        <v>885.49074677799786</v>
      </c>
      <c r="CY91" s="62">
        <f ca="1">AVERAGE(OFFSET($CX$3,0,0,'Données projet'!$E$13+1,1))-AVERAGE(OFFSET($H$3,0,0,'Données projet'!$E$13+1,1))</f>
        <v>493.89660144134291</v>
      </c>
      <c r="CZ91" s="62">
        <f t="shared" si="96"/>
        <v>312.97494624463229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1.8285302433924229</v>
      </c>
      <c r="DH91" s="23">
        <f>EXP(-LN(2)/2)*DH90+(1-EXP(-LN(2)/2))/(LN(2)/2)*DB91*DE91*VLOOKUP('Données projet'!$B$13,Paramètres!$A$1:$I$89,3,0)*0.475*44/12</f>
        <v>2.7771619417812037E-8</v>
      </c>
      <c r="DI91" s="24">
        <f t="shared" si="69"/>
        <v>1.8285302711640423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62.660019849343136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>
        <f>DO91*VLOOKUP('Données projet'!$B$14,Paramètres!$A$1:$I$89,3,0)*VLOOKUP('Données projet'!$B$14,Paramètres!$A$1:$I$89,5,0)</f>
        <v>0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210.13237351083279</v>
      </c>
      <c r="DU91" s="62">
        <f t="shared" si="98"/>
        <v>423.06475179432277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31.326911975648951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4.9543556569340499E-7</v>
      </c>
      <c r="ED91" s="24">
        <f t="shared" si="72"/>
        <v>31.326912471084515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62.660019849343136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62.660019849343136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62.660019849343136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62.660019849343136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4.5049999999999999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16.518333333333334</v>
      </c>
      <c r="H92" s="70">
        <f t="shared" si="56"/>
        <v>147.64566666666667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62.787352095219767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12.25</v>
      </c>
      <c r="N92" s="14">
        <f>IF('Données projet'!$A$36&gt;35,N91+M92-V91,IF(A92&lt;'Données projet'!$A$36,$K$205^A92,IF(A92='Données projet'!$A$36,'Données projet'!$B$36,N91+M92-V91)))</f>
        <v>435.50000000000011</v>
      </c>
      <c r="O92" s="14">
        <f>N92*VLOOKUP('Données projet'!$B$9,Paramètres!$A$1:$I$89,3,0)*VLOOKUP('Données projet'!$B$9,Paramètres!$A$1:$I$89,5,0)</f>
        <v>203.81400000000005</v>
      </c>
      <c r="P92" s="14">
        <f t="shared" si="87"/>
        <v>50.581445724851605</v>
      </c>
      <c r="Q92" s="22">
        <f t="shared" si="54"/>
        <v>443.07206797078328</v>
      </c>
      <c r="R92" s="62">
        <f t="shared" si="55"/>
        <v>709.95902565325582</v>
      </c>
      <c r="S92" s="62">
        <f ca="1">AVERAGE(OFFSET($R$3,0,0,'Données projet'!$E$9+1,1))-AVERAGE(OFFSET($H$3,0,0,'Données projet'!$E$9+1,1))</f>
        <v>374.81775021423215</v>
      </c>
      <c r="T92" s="62">
        <f t="shared" si="88"/>
        <v>301.81248585467142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62.787352095219767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273.37440000000009</v>
      </c>
      <c r="AK92" s="14">
        <f t="shared" si="89"/>
        <v>65.564883644654444</v>
      </c>
      <c r="AL92" s="22">
        <f t="shared" si="58"/>
        <v>590.31925234777327</v>
      </c>
      <c r="AM92" s="62">
        <f t="shared" si="59"/>
        <v>857.20621003024576</v>
      </c>
      <c r="AN92" s="62">
        <f ca="1">AVERAGE(OFFSET($AM$3,0,0,'Données projet'!$E$10+1,1))-AVERAGE(OFFSET($H$3,0,0,'Données projet'!$E$10+1,1))</f>
        <v>468.39960552661171</v>
      </c>
      <c r="AO92" s="62">
        <f t="shared" si="90"/>
        <v>291.1952427029787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0.58918261346535528</v>
      </c>
      <c r="AW92" s="23">
        <f>EXP(-LN(2)/2)*AW91+(1-EXP(-LN(2)/2))/(LN(2)/2)*AQ92*AT92*VLOOKUP('Données projet'!$B$10,Paramètres!$A$1:$I$89,3,0)*0.475*44/12</f>
        <v>1.8523570850694174E-8</v>
      </c>
      <c r="AX92" s="23">
        <f t="shared" si="60"/>
        <v>0.58918263198892618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62.787352095219767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2.6</v>
      </c>
      <c r="BD92" s="13">
        <f>IF('Données projet'!$A$88&gt;35,BD91+BC92-BL91,IF(A92&lt;'Données projet'!$A$88,$BA$205^A92,IF(A92='Données projet'!$A$88,'Données projet'!$B$88,BD91+BC92-BL91)))</f>
        <v>233.39999999999989</v>
      </c>
      <c r="BE92" s="14">
        <f>BD92*VLOOKUP('Données projet'!$B$11,Paramètres!$A$1:$I$89,3,0)*VLOOKUP('Données projet'!$B$11,Paramètres!$A$1:$I$89,5,0)</f>
        <v>203.89823999999993</v>
      </c>
      <c r="BF92" s="14">
        <f t="shared" si="91"/>
        <v>50.59991801943017</v>
      </c>
      <c r="BG92" s="22">
        <f t="shared" si="61"/>
        <v>443.25095855050739</v>
      </c>
      <c r="BH92" s="62">
        <f t="shared" si="62"/>
        <v>710.13791623297993</v>
      </c>
      <c r="BI92" s="62">
        <f ca="1">AVERAGE(OFFSET($BH$3,0,0,'Données projet'!$E$11+1,1))-AVERAGE(OFFSET($H$3,0,0,'Données projet'!$E$11+1,1))</f>
        <v>373.50005214669716</v>
      </c>
      <c r="BJ92" s="62">
        <f t="shared" si="92"/>
        <v>383.60460086643036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3.0863246845274532</v>
      </c>
      <c r="BR92" s="23">
        <f>EXP(-LN(2)/2)*BR91+(1-EXP(-LN(2)/2))/(LN(2)/2)*BL92*BO92*VLOOKUP('Données projet'!$B$11,Paramètres!$A$1:$I$89,3,0)*0.475*44/12</f>
        <v>1.9617744054607071E-8</v>
      </c>
      <c r="BS92" s="24">
        <f t="shared" si="63"/>
        <v>3.0863247041451971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62.787352095219767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210.13237351083279</v>
      </c>
      <c r="CE92" s="62">
        <f t="shared" si="94"/>
        <v>423.06475179432277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30.712610339336067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3.5032584814279992E-7</v>
      </c>
      <c r="CN92" s="24">
        <f t="shared" si="66"/>
        <v>30.712610689661915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62.787352095219767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6.4</v>
      </c>
      <c r="CT92" s="13">
        <f>IF('Données projet'!$A$140&gt;35,CT91+CS92-DB91,IF(A92&lt;'Données projet'!$A$140,$CQ$205^A92,IF(A92='Données projet'!$A$140,'Données projet'!$B$140,CT91+CS92-DB91)))</f>
        <v>323.59999999999997</v>
      </c>
      <c r="CU92" s="18">
        <f>CT92*VLOOKUP('Données projet'!$B$13,Paramètres!$A$1:$I$89,3,0)*VLOOKUP('Données projet'!$B$13,Paramètres!$A$1:$I$89,5,0)</f>
        <v>292.79327999999992</v>
      </c>
      <c r="CV92" s="14">
        <f t="shared" si="95"/>
        <v>69.663526761731433</v>
      </c>
      <c r="CW92" s="22">
        <f t="shared" si="67"/>
        <v>631.27893844334869</v>
      </c>
      <c r="CX92" s="62">
        <f t="shared" si="68"/>
        <v>898.16589612582118</v>
      </c>
      <c r="CY92" s="62">
        <f ca="1">AVERAGE(OFFSET($CX$3,0,0,'Données projet'!$E$13+1,1))-AVERAGE(OFFSET($H$3,0,0,'Données projet'!$E$13+1,1))</f>
        <v>493.89660144134291</v>
      </c>
      <c r="CZ92" s="62">
        <f t="shared" si="96"/>
        <v>312.97494624463229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1.7785289877286308</v>
      </c>
      <c r="DH92" s="23">
        <f>EXP(-LN(2)/2)*DH91+(1-EXP(-LN(2)/2))/(LN(2)/2)*DB92*DE92*VLOOKUP('Données projet'!$B$13,Paramètres!$A$1:$I$89,3,0)*0.475*44/12</f>
        <v>1.963750041486689E-8</v>
      </c>
      <c r="DI92" s="24">
        <f t="shared" si="69"/>
        <v>1.7785290073661313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62.787352095219767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>
        <f>DO92*VLOOKUP('Données projet'!$B$14,Paramètres!$A$1:$I$89,3,0)*VLOOKUP('Données projet'!$B$14,Paramètres!$A$1:$I$89,5,0)</f>
        <v>0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210.13237351083279</v>
      </c>
      <c r="DU92" s="62">
        <f t="shared" si="98"/>
        <v>423.06475179432277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30.712610339336067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3.5032584814279992E-7</v>
      </c>
      <c r="ED92" s="24">
        <f t="shared" si="72"/>
        <v>30.712610689661915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62.787352095219767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62.787352095219767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62.787352095219767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62.787352095219767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4.5049999999999999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16.518333333333334</v>
      </c>
      <c r="H93" s="70">
        <f t="shared" si="56"/>
        <v>147.64566666666667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62.912475411302701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12.25</v>
      </c>
      <c r="N93" s="14">
        <f>IF('Données projet'!$A$36&gt;35,N92+M93-V92,IF(A93&lt;'Données projet'!$A$36,$K$205^A93,IF(A93='Données projet'!$A$36,'Données projet'!$B$36,N92+M93-V92)))</f>
        <v>447.75000000000011</v>
      </c>
      <c r="O93" s="14">
        <f>N93*VLOOKUP('Données projet'!$B$9,Paramètres!$A$1:$I$89,3,0)*VLOOKUP('Données projet'!$B$9,Paramètres!$A$1:$I$89,5,0)</f>
        <v>209.54700000000005</v>
      </c>
      <c r="P93" s="14">
        <f t="shared" si="87"/>
        <v>51.836581362990621</v>
      </c>
      <c r="Q93" s="22">
        <f t="shared" si="54"/>
        <v>455.24307087387547</v>
      </c>
      <c r="R93" s="62">
        <f t="shared" si="55"/>
        <v>722.58881404865201</v>
      </c>
      <c r="S93" s="62">
        <f ca="1">AVERAGE(OFFSET($R$3,0,0,'Données projet'!$E$9+1,1))-AVERAGE(OFFSET($H$3,0,0,'Données projet'!$E$9+1,1))</f>
        <v>374.81775021423215</v>
      </c>
      <c r="T93" s="62">
        <f t="shared" si="88"/>
        <v>301.81248585467142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62.912475411302701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278.85000000000008</v>
      </c>
      <c r="AK93" s="14">
        <f t="shared" si="89"/>
        <v>66.723922641152967</v>
      </c>
      <c r="AL93" s="22">
        <f t="shared" si="58"/>
        <v>601.87458193334146</v>
      </c>
      <c r="AM93" s="62">
        <f t="shared" si="59"/>
        <v>869.220325108118</v>
      </c>
      <c r="AN93" s="62">
        <f ca="1">AVERAGE(OFFSET($AM$3,0,0,'Données projet'!$E$10+1,1))-AVERAGE(OFFSET($H$3,0,0,'Données projet'!$E$10+1,1))</f>
        <v>468.39960552661171</v>
      </c>
      <c r="AO93" s="62">
        <f t="shared" si="90"/>
        <v>291.1952427029787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0.57307138391637813</v>
      </c>
      <c r="AW93" s="23">
        <f>EXP(-LN(2)/2)*AW92+(1-EXP(-LN(2)/2))/(LN(2)/2)*AQ93*AT93*VLOOKUP('Données projet'!$B$10,Paramètres!$A$1:$I$89,3,0)*0.475*44/12</f>
        <v>1.3098142560315315E-8</v>
      </c>
      <c r="AX93" s="23">
        <f t="shared" si="60"/>
        <v>0.5730713970145207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62.912475411302701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236</v>
      </c>
      <c r="BB93" s="13">
        <f>VLOOKUP(A93,'Données projet'!$A$87:$I$107,9,0)</f>
        <v>2.6</v>
      </c>
      <c r="BC93" s="13">
        <f t="array" ref="BC93">INDEX(BB:BB,MIN(IF(ISNUMBER(BB93:BB289),ROW(BB93:BB289),"")))</f>
        <v>2.6</v>
      </c>
      <c r="BD93" s="13">
        <f>IF('Données projet'!$A$88&gt;35,BD92+BC93-BL92,IF(A93&lt;'Données projet'!$A$88,$BA$205^A93,IF(A93='Données projet'!$A$88,'Données projet'!$B$88,BD92+BC93-BL92)))</f>
        <v>235.99999999999989</v>
      </c>
      <c r="BE93" s="14">
        <f>BD93*VLOOKUP('Données projet'!$B$11,Paramètres!$A$1:$I$89,3,0)*VLOOKUP('Données projet'!$B$11,Paramètres!$A$1:$I$89,5,0)</f>
        <v>206.16959999999992</v>
      </c>
      <c r="BF93" s="14">
        <f t="shared" si="91"/>
        <v>51.097652263007333</v>
      </c>
      <c r="BG93" s="22">
        <f t="shared" si="61"/>
        <v>448.07379769140431</v>
      </c>
      <c r="BH93" s="62">
        <f t="shared" si="62"/>
        <v>715.4195408661808</v>
      </c>
      <c r="BI93" s="62">
        <f ca="1">AVERAGE(OFFSET($BH$3,0,0,'Données projet'!$E$11+1,1))-AVERAGE(OFFSET($H$3,0,0,'Données projet'!$E$11+1,1))</f>
        <v>373.50005214669716</v>
      </c>
      <c r="BJ93" s="62">
        <f t="shared" si="92"/>
        <v>383.60460086643036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236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3.0019289737262889</v>
      </c>
      <c r="BR93" s="23">
        <f>EXP(-LN(2)/2)*BR92+(1-EXP(-LN(2)/2))/(LN(2)/2)*BL93*BO93*VLOOKUP('Données projet'!$B$11,Paramètres!$A$1:$I$89,3,0)*0.475*44/12</f>
        <v>1.3871839852594736E-8</v>
      </c>
      <c r="BS93" s="24">
        <f t="shared" si="63"/>
        <v>3.0019289875981285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62.912475411302701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210.13237351083279</v>
      </c>
      <c r="CE93" s="62">
        <f t="shared" si="94"/>
        <v>423.06475179432277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30.110354783424278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2.477177828467025E-7</v>
      </c>
      <c r="CN93" s="24">
        <f t="shared" si="66"/>
        <v>30.11035503114206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62.912475411302701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330</v>
      </c>
      <c r="CR93" s="13">
        <f>VLOOKUP(A93,'Données projet'!$A$139:$I$159,9,0)</f>
        <v>6.4</v>
      </c>
      <c r="CS93" s="13">
        <f t="array" ref="CS93">INDEX(CR:CR,MIN(IF(ISNUMBER(CR93:CR289),ROW(CR93:CR289),"")))</f>
        <v>6.4</v>
      </c>
      <c r="CT93" s="13">
        <f>IF('Données projet'!$A$140&gt;35,CT92+CS93-DB92,IF(A93&lt;'Données projet'!$A$140,$CQ$205^A93,IF(A93='Données projet'!$A$140,'Données projet'!$B$140,CT92+CS93-DB92)))</f>
        <v>329.99999999999994</v>
      </c>
      <c r="CU93" s="18">
        <f>CT93*VLOOKUP('Données projet'!$B$13,Paramètres!$A$1:$I$89,3,0)*VLOOKUP('Données projet'!$B$13,Paramètres!$A$1:$I$89,5,0)</f>
        <v>298.58399999999995</v>
      </c>
      <c r="CV93" s="14">
        <f t="shared" si="95"/>
        <v>70.879533797607607</v>
      </c>
      <c r="CW93" s="22">
        <f t="shared" si="67"/>
        <v>643.48232136416652</v>
      </c>
      <c r="CX93" s="62">
        <f t="shared" si="68"/>
        <v>910.82806453894307</v>
      </c>
      <c r="CY93" s="62">
        <f ca="1">AVERAGE(OFFSET($CX$3,0,0,'Données projet'!$E$13+1,1))-AVERAGE(OFFSET($H$3,0,0,'Données projet'!$E$13+1,1))</f>
        <v>493.89660144134291</v>
      </c>
      <c r="CZ93" s="62">
        <f t="shared" si="96"/>
        <v>312.97494624463229</v>
      </c>
      <c r="DA93" s="16">
        <f>IF(ISNA(VLOOKUP(A93,'Données projet'!$A$139:$I$159,3,0)),0,VLOOKUP(A93,'Données projet'!$A$139:$I$159,3,0))</f>
        <v>15</v>
      </c>
      <c r="DB93" s="16">
        <f>IF(ISNA(VLOOKUP(A93,'Données projet'!$A$139:$I$159,4,0)),0,VLOOKUP(A93,'Données projet'!$A$139:$I$159,4,0))</f>
        <v>28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1.7298950190304168</v>
      </c>
      <c r="DH93" s="23">
        <f>EXP(-LN(2)/2)*DH92+(1-EXP(-LN(2)/2))/(LN(2)/2)*DB93*DE93*VLOOKUP('Données projet'!$B$13,Paramètres!$A$1:$I$89,3,0)*0.475*44/12</f>
        <v>1.3885809708906019E-8</v>
      </c>
      <c r="DI93" s="24">
        <f t="shared" si="69"/>
        <v>1.7298950329162264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62.912475411302701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>
        <f>DO93*VLOOKUP('Données projet'!$B$14,Paramètres!$A$1:$I$89,3,0)*VLOOKUP('Données projet'!$B$14,Paramètres!$A$1:$I$89,5,0)</f>
        <v>0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210.13237351083279</v>
      </c>
      <c r="DU93" s="62">
        <f t="shared" si="98"/>
        <v>423.06475179432277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30.110354783424278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2.477177828467025E-7</v>
      </c>
      <c r="ED93" s="24">
        <f t="shared" si="72"/>
        <v>30.11035503114206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62.912475411302701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62.912475411302701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62.912475411302701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62.912475411302701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4.5049999999999999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16.518333333333334</v>
      </c>
      <c r="H94" s="70">
        <f t="shared" si="56"/>
        <v>147.64566666666667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63.035428117585418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12.25</v>
      </c>
      <c r="N94" s="14">
        <f>IF('Données projet'!$A$36&gt;35,N93+M94-V93,IF(A94&lt;'Données projet'!$A$36,$K$205^A94,IF(A94='Données projet'!$A$36,'Données projet'!$B$36,N93+M94-V93)))</f>
        <v>460.00000000000011</v>
      </c>
      <c r="O94" s="14">
        <f>N94*VLOOKUP('Données projet'!$B$9,Paramètres!$A$1:$I$89,3,0)*VLOOKUP('Données projet'!$B$9,Paramètres!$A$1:$I$89,5,0)</f>
        <v>215.28000000000003</v>
      </c>
      <c r="P94" s="14">
        <f t="shared" si="87"/>
        <v>53.087725740853138</v>
      </c>
      <c r="Q94" s="22">
        <f t="shared" si="54"/>
        <v>467.40712233198593</v>
      </c>
      <c r="R94" s="62">
        <f t="shared" si="55"/>
        <v>735.20369209646583</v>
      </c>
      <c r="S94" s="62">
        <f ca="1">AVERAGE(OFFSET($R$3,0,0,'Données projet'!$E$9+1,1))-AVERAGE(OFFSET($H$3,0,0,'Données projet'!$E$9+1,1))</f>
        <v>374.81775021423215</v>
      </c>
      <c r="T94" s="62">
        <f t="shared" si="88"/>
        <v>301.81248585467142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63.035428117585418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262.62600000000009</v>
      </c>
      <c r="AK94" s="14">
        <f t="shared" si="89"/>
        <v>63.281807230823453</v>
      </c>
      <c r="AL94" s="22">
        <f t="shared" si="58"/>
        <v>567.622764260351</v>
      </c>
      <c r="AM94" s="62">
        <f t="shared" si="59"/>
        <v>835.41933402483085</v>
      </c>
      <c r="AN94" s="62">
        <f ca="1">AVERAGE(OFFSET($AM$3,0,0,'Données projet'!$E$10+1,1))-AVERAGE(OFFSET($H$3,0,0,'Données projet'!$E$10+1,1))</f>
        <v>468.39960552661171</v>
      </c>
      <c r="AO94" s="62">
        <f t="shared" si="90"/>
        <v>291.1952427029787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0.55740071678667047</v>
      </c>
      <c r="AW94" s="23">
        <f>EXP(-LN(2)/2)*AW93+(1-EXP(-LN(2)/2))/(LN(2)/2)*AQ94*AT94*VLOOKUP('Données projet'!$B$10,Paramètres!$A$1:$I$89,3,0)*0.475*44/12</f>
        <v>9.261785425347087E-9</v>
      </c>
      <c r="AX94" s="23">
        <f t="shared" si="60"/>
        <v>0.55740072604845592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63.035428117585418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-9.9316821433603781E-14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373.50005214669716</v>
      </c>
      <c r="BJ94" s="62">
        <f t="shared" si="92"/>
        <v>383.60460086643036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2.9198410680751596</v>
      </c>
      <c r="BR94" s="23">
        <f>EXP(-LN(2)/2)*BR93+(1-EXP(-LN(2)/2))/(LN(2)/2)*BL94*BO94*VLOOKUP('Données projet'!$B$11,Paramètres!$A$1:$I$89,3,0)*0.475*44/12</f>
        <v>9.8088720273035356E-9</v>
      </c>
      <c r="BS94" s="24">
        <f t="shared" si="63"/>
        <v>2.9198410778840316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63.035428117585418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210.13237351083279</v>
      </c>
      <c r="CE94" s="62">
        <f t="shared" si="94"/>
        <v>423.06475179432277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29.519909091624303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1.7516292407139996E-7</v>
      </c>
      <c r="CN94" s="24">
        <f t="shared" si="66"/>
        <v>29.519909266787227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63.035428117585418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6</v>
      </c>
      <c r="CT94" s="13">
        <f>IF('Données projet'!$A$140&gt;35,CT93+CS94-DB93,IF(A94&lt;'Données projet'!$A$140,$CQ$205^A94,IF(A94='Données projet'!$A$140,'Données projet'!$B$140,CT93+CS94-DB93)))</f>
        <v>307.99999999999994</v>
      </c>
      <c r="CU94" s="18">
        <f>CT94*VLOOKUP('Données projet'!$B$13,Paramètres!$A$1:$I$89,3,0)*VLOOKUP('Données projet'!$B$13,Paramètres!$A$1:$I$89,5,0)</f>
        <v>278.67839999999995</v>
      </c>
      <c r="CV94" s="14">
        <f t="shared" si="95"/>
        <v>66.687639951856809</v>
      </c>
      <c r="CW94" s="22">
        <f t="shared" si="67"/>
        <v>601.51251958281716</v>
      </c>
      <c r="CX94" s="62">
        <f t="shared" si="68"/>
        <v>869.309089347297</v>
      </c>
      <c r="CY94" s="62">
        <f ca="1">AVERAGE(OFFSET($CX$3,0,0,'Données projet'!$E$13+1,1))-AVERAGE(OFFSET($H$3,0,0,'Données projet'!$E$13+1,1))</f>
        <v>493.89660144134291</v>
      </c>
      <c r="CZ94" s="62">
        <f t="shared" si="96"/>
        <v>312.97494624463229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1.6825909487638047</v>
      </c>
      <c r="DH94" s="23">
        <f>EXP(-LN(2)/2)*DH93+(1-EXP(-LN(2)/2))/(LN(2)/2)*DB94*DE94*VLOOKUP('Données projet'!$B$13,Paramètres!$A$1:$I$89,3,0)*0.475*44/12</f>
        <v>9.8187502074334452E-9</v>
      </c>
      <c r="DI94" s="24">
        <f t="shared" si="69"/>
        <v>1.6825909585825549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63.035428117585418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>
        <f>DO94*VLOOKUP('Données projet'!$B$14,Paramètres!$A$1:$I$89,3,0)*VLOOKUP('Données projet'!$B$14,Paramètres!$A$1:$I$89,5,0)</f>
        <v>0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210.13237351083279</v>
      </c>
      <c r="DU94" s="62">
        <f t="shared" si="98"/>
        <v>423.06475179432277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29.519909091624303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1.7516292407139996E-7</v>
      </c>
      <c r="ED94" s="24">
        <f t="shared" si="72"/>
        <v>29.519909266787227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63.035428117585418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63.035428117585418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63.035428117585418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63.035428117585418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4.5049999999999999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16.518333333333334</v>
      </c>
      <c r="H95" s="70">
        <f t="shared" si="56"/>
        <v>147.64566666666667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63.156247869295207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12.25</v>
      </c>
      <c r="N95" s="14">
        <f>IF('Données projet'!$A$36&gt;35,N94+M95-V94,IF(A95&lt;'Données projet'!$A$36,$K$205^A95,IF(A95='Données projet'!$A$36,'Données projet'!$B$36,N94+M95-V94)))</f>
        <v>472.25000000000011</v>
      </c>
      <c r="O95" s="14">
        <f>N95*VLOOKUP('Données projet'!$B$9,Paramètres!$A$1:$I$89,3,0)*VLOOKUP('Données projet'!$B$9,Paramètres!$A$1:$I$89,5,0)</f>
        <v>221.01300000000006</v>
      </c>
      <c r="P95" s="14">
        <f t="shared" si="87"/>
        <v>54.334997364111416</v>
      </c>
      <c r="Q95" s="22">
        <f t="shared" si="54"/>
        <v>479.56442874249416</v>
      </c>
      <c r="R95" s="62">
        <f t="shared" si="55"/>
        <v>747.80400426324331</v>
      </c>
      <c r="S95" s="62">
        <f ca="1">AVERAGE(OFFSET($R$3,0,0,'Données projet'!$E$9+1,1))-AVERAGE(OFFSET($H$3,0,0,'Données projet'!$E$9+1,1))</f>
        <v>374.81775021423215</v>
      </c>
      <c r="T95" s="62">
        <f t="shared" si="88"/>
        <v>301.81248585467142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63.156247869295207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267.69600000000008</v>
      </c>
      <c r="AK95" s="14">
        <f t="shared" si="89"/>
        <v>64.360058723585496</v>
      </c>
      <c r="AL95" s="22">
        <f t="shared" si="58"/>
        <v>578.33096894357823</v>
      </c>
      <c r="AM95" s="62">
        <f t="shared" si="59"/>
        <v>846.57054446432744</v>
      </c>
      <c r="AN95" s="62">
        <f ca="1">AVERAGE(OFFSET($AM$3,0,0,'Données projet'!$E$10+1,1))-AVERAGE(OFFSET($H$3,0,0,'Données projet'!$E$10+1,1))</f>
        <v>468.39960552661171</v>
      </c>
      <c r="AO95" s="62">
        <f t="shared" si="90"/>
        <v>291.1952427029787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0.54215856487370928</v>
      </c>
      <c r="AW95" s="23">
        <f>EXP(-LN(2)/2)*AW94+(1-EXP(-LN(2)/2))/(LN(2)/2)*AQ95*AT95*VLOOKUP('Données projet'!$B$10,Paramètres!$A$1:$I$89,3,0)*0.475*44/12</f>
        <v>6.5490712801576577E-9</v>
      </c>
      <c r="AX95" s="23">
        <f t="shared" si="60"/>
        <v>0.54215857142278057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63.156247869295207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-9.9316821433603781E-14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373.50005214669716</v>
      </c>
      <c r="BJ95" s="62">
        <f t="shared" si="92"/>
        <v>383.60460086643036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2.8399978605208762</v>
      </c>
      <c r="BR95" s="23">
        <f>EXP(-LN(2)/2)*BR94+(1-EXP(-LN(2)/2))/(LN(2)/2)*BL95*BO95*VLOOKUP('Données projet'!$B$11,Paramètres!$A$1:$I$89,3,0)*0.475*44/12</f>
        <v>6.935919926297368E-9</v>
      </c>
      <c r="BS95" s="24">
        <f t="shared" si="63"/>
        <v>2.8399978674567961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63.156247869295207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210.13237351083279</v>
      </c>
      <c r="CE95" s="62">
        <f t="shared" si="94"/>
        <v>423.06475179432277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28.941041679704213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1.2385889142335125E-7</v>
      </c>
      <c r="CN95" s="24">
        <f t="shared" si="66"/>
        <v>28.941041803563106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63.156247869295207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6</v>
      </c>
      <c r="CT95" s="13">
        <f>IF('Données projet'!$A$140&gt;35,CT94+CS95-DB94,IF(A95&lt;'Données projet'!$A$140,$CQ$205^A95,IF(A95='Données projet'!$A$140,'Données projet'!$B$140,CT94+CS95-DB94)))</f>
        <v>313.99999999999994</v>
      </c>
      <c r="CU95" s="18">
        <f>CT95*VLOOKUP('Données projet'!$B$13,Paramètres!$A$1:$I$89,3,0)*VLOOKUP('Données projet'!$B$13,Paramètres!$A$1:$I$89,5,0)</f>
        <v>284.10719999999992</v>
      </c>
      <c r="CV95" s="14">
        <f t="shared" si="95"/>
        <v>67.834241327943715</v>
      </c>
      <c r="CW95" s="22">
        <f t="shared" si="67"/>
        <v>612.96467697950186</v>
      </c>
      <c r="CX95" s="62">
        <f t="shared" si="68"/>
        <v>881.20425250025096</v>
      </c>
      <c r="CY95" s="62">
        <f ca="1">AVERAGE(OFFSET($CX$3,0,0,'Données projet'!$E$13+1,1))-AVERAGE(OFFSET($H$3,0,0,'Données projet'!$E$13+1,1))</f>
        <v>493.89660144134291</v>
      </c>
      <c r="CZ95" s="62">
        <f t="shared" si="96"/>
        <v>312.97494624463229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1.6365804107862461</v>
      </c>
      <c r="DH95" s="23">
        <f>EXP(-LN(2)/2)*DH94+(1-EXP(-LN(2)/2))/(LN(2)/2)*DB95*DE95*VLOOKUP('Données projet'!$B$13,Paramètres!$A$1:$I$89,3,0)*0.475*44/12</f>
        <v>6.9429048544530093E-9</v>
      </c>
      <c r="DI95" s="24">
        <f t="shared" si="69"/>
        <v>1.636580417729151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63.156247869295207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>
        <f>DO95*VLOOKUP('Données projet'!$B$14,Paramètres!$A$1:$I$89,3,0)*VLOOKUP('Données projet'!$B$14,Paramètres!$A$1:$I$89,5,0)</f>
        <v>0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210.13237351083279</v>
      </c>
      <c r="DU95" s="62">
        <f t="shared" si="98"/>
        <v>423.06475179432277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28.941041679704213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1.2385889142335125E-7</v>
      </c>
      <c r="ED95" s="24">
        <f t="shared" si="72"/>
        <v>28.941041803563106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63.156247869295207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63.156247869295207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63.156247869295207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63.156247869295207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4.5049999999999999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16.518333333333334</v>
      </c>
      <c r="H96" s="70">
        <f t="shared" si="56"/>
        <v>147.64566666666667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63.274971668425323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12.25</v>
      </c>
      <c r="N96" s="14">
        <f>IF('Données projet'!$A$36&gt;35,N95+M96-V95,IF(A96&lt;'Données projet'!$A$36,$K$205^A96,IF(A96='Données projet'!$A$36,'Données projet'!$B$36,N95+M96-V95)))</f>
        <v>484.50000000000011</v>
      </c>
      <c r="O96" s="14">
        <f>N96*VLOOKUP('Données projet'!$B$9,Paramètres!$A$1:$I$89,3,0)*VLOOKUP('Données projet'!$B$9,Paramètres!$A$1:$I$89,5,0)</f>
        <v>226.74600000000007</v>
      </c>
      <c r="P96" s="14">
        <f t="shared" si="87"/>
        <v>55.578508240245966</v>
      </c>
      <c r="Q96" s="22">
        <f t="shared" si="54"/>
        <v>491.71518518509509</v>
      </c>
      <c r="R96" s="62">
        <f t="shared" si="55"/>
        <v>760.39008130265461</v>
      </c>
      <c r="S96" s="62">
        <f ca="1">AVERAGE(OFFSET($R$3,0,0,'Données projet'!$E$9+1,1))-AVERAGE(OFFSET($H$3,0,0,'Données projet'!$E$9+1,1))</f>
        <v>374.81775021423215</v>
      </c>
      <c r="T96" s="62">
        <f t="shared" si="88"/>
        <v>301.81248585467142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63.274971668425323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272.76600000000008</v>
      </c>
      <c r="AK96" s="14">
        <f t="shared" si="89"/>
        <v>65.435935630087627</v>
      </c>
      <c r="AL96" s="22">
        <f t="shared" si="58"/>
        <v>589.03503788906926</v>
      </c>
      <c r="AM96" s="62">
        <f t="shared" si="59"/>
        <v>857.70993400662883</v>
      </c>
      <c r="AN96" s="62">
        <f ca="1">AVERAGE(OFFSET($AM$3,0,0,'Données projet'!$E$10+1,1))-AVERAGE(OFFSET($H$3,0,0,'Données projet'!$E$10+1,1))</f>
        <v>468.39960552661171</v>
      </c>
      <c r="AO96" s="62">
        <f t="shared" si="90"/>
        <v>291.1952427029787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0.52733321040635794</v>
      </c>
      <c r="AW96" s="23">
        <f>EXP(-LN(2)/2)*AW95+(1-EXP(-LN(2)/2))/(LN(2)/2)*AQ96*AT96*VLOOKUP('Données projet'!$B$10,Paramètres!$A$1:$I$89,3,0)*0.475*44/12</f>
        <v>4.6308927126735435E-9</v>
      </c>
      <c r="AX96" s="23">
        <f t="shared" si="60"/>
        <v>0.52733321503725061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63.274971668425323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-9.9316821433603781E-14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373.50005214669716</v>
      </c>
      <c r="BJ96" s="62">
        <f t="shared" si="92"/>
        <v>383.60460086643036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2.7623379696759365</v>
      </c>
      <c r="BR96" s="23">
        <f>EXP(-LN(2)/2)*BR95+(1-EXP(-LN(2)/2))/(LN(2)/2)*BL96*BO96*VLOOKUP('Données projet'!$B$11,Paramètres!$A$1:$I$89,3,0)*0.475*44/12</f>
        <v>4.9044360136517678E-9</v>
      </c>
      <c r="BS96" s="24">
        <f t="shared" si="63"/>
        <v>2.7623379745803724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63.274971668425323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210.13237351083279</v>
      </c>
      <c r="CE96" s="62">
        <f t="shared" si="94"/>
        <v>423.06475179432277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28.373525504657618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8.7581462035699981E-8</v>
      </c>
      <c r="CN96" s="24">
        <f t="shared" si="66"/>
        <v>28.37352559223908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63.274971668425323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6</v>
      </c>
      <c r="CT96" s="13">
        <f>IF('Données projet'!$A$140&gt;35,CT95+CS96-DB95,IF(A96&lt;'Données projet'!$A$140,$CQ$205^A96,IF(A96='Données projet'!$A$140,'Données projet'!$B$140,CT95+CS96-DB95)))</f>
        <v>319.99999999999994</v>
      </c>
      <c r="CU96" s="18">
        <f>CT96*VLOOKUP('Données projet'!$B$13,Paramètres!$A$1:$I$89,3,0)*VLOOKUP('Données projet'!$B$13,Paramètres!$A$1:$I$89,5,0)</f>
        <v>289.53599999999994</v>
      </c>
      <c r="CV96" s="14">
        <f t="shared" si="95"/>
        <v>68.97829509904436</v>
      </c>
      <c r="CW96" s="22">
        <f t="shared" si="67"/>
        <v>624.41239729750214</v>
      </c>
      <c r="CX96" s="62">
        <f t="shared" si="68"/>
        <v>893.08729341506159</v>
      </c>
      <c r="CY96" s="62">
        <f ca="1">AVERAGE(OFFSET($CX$3,0,0,'Données projet'!$E$13+1,1))-AVERAGE(OFFSET($H$3,0,0,'Données projet'!$E$13+1,1))</f>
        <v>493.89660144134291</v>
      </c>
      <c r="CZ96" s="62">
        <f t="shared" si="96"/>
        <v>312.97494624463229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1.5918280333892727</v>
      </c>
      <c r="DH96" s="23">
        <f>EXP(-LN(2)/2)*DH95+(1-EXP(-LN(2)/2))/(LN(2)/2)*DB96*DE96*VLOOKUP('Données projet'!$B$13,Paramètres!$A$1:$I$89,3,0)*0.475*44/12</f>
        <v>4.9093751037167226E-9</v>
      </c>
      <c r="DI96" s="24">
        <f t="shared" si="69"/>
        <v>1.5918280382986478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63.274971668425323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>
        <f>DO96*VLOOKUP('Données projet'!$B$14,Paramètres!$A$1:$I$89,3,0)*VLOOKUP('Données projet'!$B$14,Paramètres!$A$1:$I$89,5,0)</f>
        <v>0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210.13237351083279</v>
      </c>
      <c r="DU96" s="62">
        <f t="shared" si="98"/>
        <v>423.06475179432277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28.373525504657618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8.7581462035699981E-8</v>
      </c>
      <c r="ED96" s="24">
        <f t="shared" si="72"/>
        <v>28.37352559223908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63.274971668425323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63.274971668425323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63.274971668425323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63.274971668425323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4.5049999999999999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16.518333333333334</v>
      </c>
      <c r="H97" s="70">
        <f t="shared" si="56"/>
        <v>147.64566666666667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63.391635875067188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12.25</v>
      </c>
      <c r="N97" s="14">
        <f>IF('Données projet'!$A$36&gt;35,N96+M97-V96,IF(A97&lt;'Données projet'!$A$36,$K$205^A97,IF(A97='Données projet'!$A$36,'Données projet'!$B$36,N96+M97-V96)))</f>
        <v>496.75000000000011</v>
      </c>
      <c r="O97" s="14">
        <f>N97*VLOOKUP('Données projet'!$B$9,Paramètres!$A$1:$I$89,3,0)*VLOOKUP('Données projet'!$B$9,Paramètres!$A$1:$I$89,5,0)</f>
        <v>232.47900000000007</v>
      </c>
      <c r="P97" s="14">
        <f t="shared" si="87"/>
        <v>56.818364390033999</v>
      </c>
      <c r="Q97" s="22">
        <f t="shared" si="54"/>
        <v>503.85957631264267</v>
      </c>
      <c r="R97" s="62">
        <f t="shared" si="55"/>
        <v>772.96224118788905</v>
      </c>
      <c r="S97" s="62">
        <f ca="1">AVERAGE(OFFSET($R$3,0,0,'Données projet'!$E$9+1,1))-AVERAGE(OFFSET($H$3,0,0,'Données projet'!$E$9+1,1))</f>
        <v>374.81775021423215</v>
      </c>
      <c r="T97" s="62">
        <f t="shared" si="88"/>
        <v>301.81248585467142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63.391635875067188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277.83600000000007</v>
      </c>
      <c r="AK97" s="14">
        <f t="shared" si="89"/>
        <v>66.509487177652318</v>
      </c>
      <c r="AL97" s="22">
        <f t="shared" si="58"/>
        <v>599.73505683441124</v>
      </c>
      <c r="AM97" s="62">
        <f t="shared" si="59"/>
        <v>868.83772170965756</v>
      </c>
      <c r="AN97" s="62">
        <f ca="1">AVERAGE(OFFSET($AM$3,0,0,'Données projet'!$E$10+1,1))-AVERAGE(OFFSET($H$3,0,0,'Données projet'!$E$10+1,1))</f>
        <v>468.39960552661171</v>
      </c>
      <c r="AO97" s="62">
        <f t="shared" si="90"/>
        <v>291.1952427029787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0.5129132560365478</v>
      </c>
      <c r="AW97" s="23">
        <f>EXP(-LN(2)/2)*AW96+(1-EXP(-LN(2)/2))/(LN(2)/2)*AQ97*AT97*VLOOKUP('Données projet'!$B$10,Paramètres!$A$1:$I$89,3,0)*0.475*44/12</f>
        <v>3.2745356400788288E-9</v>
      </c>
      <c r="AX97" s="23">
        <f t="shared" si="60"/>
        <v>0.51291325931108345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63.391635875067188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-9.9316821433603781E-14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373.50005214669716</v>
      </c>
      <c r="BJ97" s="62">
        <f t="shared" si="92"/>
        <v>383.60460086643036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2.6868016926301075</v>
      </c>
      <c r="BR97" s="23">
        <f>EXP(-LN(2)/2)*BR96+(1-EXP(-LN(2)/2))/(LN(2)/2)*BL97*BO97*VLOOKUP('Données projet'!$B$11,Paramètres!$A$1:$I$89,3,0)*0.475*44/12</f>
        <v>3.467959963148684E-9</v>
      </c>
      <c r="BS97" s="24">
        <f t="shared" si="63"/>
        <v>2.6868016960980676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63.391635875067188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210.13237351083279</v>
      </c>
      <c r="CE97" s="62">
        <f t="shared" si="94"/>
        <v>423.06475179432277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27.817137975653001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6.1929445711675624E-8</v>
      </c>
      <c r="CN97" s="24">
        <f t="shared" si="66"/>
        <v>27.817138037582446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63.391635875067188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6</v>
      </c>
      <c r="CT97" s="13">
        <f>IF('Données projet'!$A$140&gt;35,CT96+CS97-DB96,IF(A97&lt;'Données projet'!$A$140,$CQ$205^A97,IF(A97='Données projet'!$A$140,'Données projet'!$B$140,CT96+CS97-DB96)))</f>
        <v>325.99999999999994</v>
      </c>
      <c r="CU97" s="18">
        <f>CT97*VLOOKUP('Données projet'!$B$13,Paramètres!$A$1:$I$89,3,0)*VLOOKUP('Données projet'!$B$13,Paramètres!$A$1:$I$89,5,0)</f>
        <v>294.96479999999997</v>
      </c>
      <c r="CV97" s="14">
        <f t="shared" si="95"/>
        <v>70.119854541045001</v>
      </c>
      <c r="CW97" s="22">
        <f t="shared" si="67"/>
        <v>635.85577332565333</v>
      </c>
      <c r="CX97" s="62">
        <f t="shared" si="68"/>
        <v>904.95843820089965</v>
      </c>
      <c r="CY97" s="62">
        <f ca="1">AVERAGE(OFFSET($CX$3,0,0,'Données projet'!$E$13+1,1))-AVERAGE(OFFSET($H$3,0,0,'Données projet'!$E$13+1,1))</f>
        <v>493.89660144134291</v>
      </c>
      <c r="CZ97" s="62">
        <f t="shared" si="96"/>
        <v>312.97494624463229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1.548299412105645</v>
      </c>
      <c r="DH97" s="23">
        <f>EXP(-LN(2)/2)*DH96+(1-EXP(-LN(2)/2))/(LN(2)/2)*DB97*DE97*VLOOKUP('Données projet'!$B$13,Paramètres!$A$1:$I$89,3,0)*0.475*44/12</f>
        <v>3.4714524272265047E-9</v>
      </c>
      <c r="DI97" s="24">
        <f t="shared" si="69"/>
        <v>1.5482994155770975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63.391635875067188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>
        <f>DO97*VLOOKUP('Données projet'!$B$14,Paramètres!$A$1:$I$89,3,0)*VLOOKUP('Données projet'!$B$14,Paramètres!$A$1:$I$89,5,0)</f>
        <v>0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210.13237351083279</v>
      </c>
      <c r="DU97" s="62">
        <f t="shared" si="98"/>
        <v>423.06475179432277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27.817137975653001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6.1929445711675624E-8</v>
      </c>
      <c r="ED97" s="24">
        <f t="shared" si="72"/>
        <v>27.817138037582446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63.391635875067188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63.391635875067188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63.391635875067188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63.391635875067188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4.5049999999999999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16.518333333333334</v>
      </c>
      <c r="H98" s="70">
        <f t="shared" si="56"/>
        <v>147.64566666666667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63.506276218545906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509</v>
      </c>
      <c r="L98" s="13">
        <f>VLOOKUP(A98,'Données projet'!$A$35:$I$55,9,0)</f>
        <v>12.25</v>
      </c>
      <c r="M98" s="13">
        <f t="array" ref="M98">INDEX(L:L,MIN(IF(ISNUMBER(L98:L294),ROW(L98:L294),"")))</f>
        <v>12.25</v>
      </c>
      <c r="N98" s="14">
        <f>IF('Données projet'!$A$36&gt;35,N97+M98-V97,IF(A98&lt;'Données projet'!$A$36,$K$205^A98,IF(A98='Données projet'!$A$36,'Données projet'!$B$36,N97+M98-V97)))</f>
        <v>509.00000000000011</v>
      </c>
      <c r="O98" s="14">
        <f>N98*VLOOKUP('Données projet'!$B$9,Paramètres!$A$1:$I$89,3,0)*VLOOKUP('Données projet'!$B$9,Paramètres!$A$1:$I$89,5,0)</f>
        <v>238.21200000000005</v>
      </c>
      <c r="P98" s="14">
        <f t="shared" si="87"/>
        <v>58.054666307163821</v>
      </c>
      <c r="Q98" s="22">
        <f t="shared" si="54"/>
        <v>515.99777715164373</v>
      </c>
      <c r="R98" s="62">
        <f t="shared" si="55"/>
        <v>785.5207899529787</v>
      </c>
      <c r="S98" s="62">
        <f ca="1">AVERAGE(OFFSET($R$3,0,0,'Données projet'!$E$9+1,1))-AVERAGE(OFFSET($H$3,0,0,'Données projet'!$E$9+1,1))</f>
        <v>374.81775021423215</v>
      </c>
      <c r="T98" s="62">
        <f t="shared" si="88"/>
        <v>301.81248585467142</v>
      </c>
      <c r="U98" s="16">
        <f>IF(ISNA(VLOOKUP(A98,'Données projet'!$A$35:$I$55,3,0)),0,VLOOKUP(A98,'Données projet'!$A$35:$I$55,3,0))</f>
        <v>7</v>
      </c>
      <c r="V98" s="16">
        <f>IF(ISNA(VLOOKUP(A98,'Données projet'!$A$35:$I$55,4,0)),0,VLOOKUP(A98,'Données projet'!$A$35:$I$55,4,0))</f>
        <v>509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63.506276218545906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282.90600000000006</v>
      </c>
      <c r="AK98" s="14">
        <f t="shared" si="89"/>
        <v>67.580760694123512</v>
      </c>
      <c r="AL98" s="22">
        <f t="shared" si="58"/>
        <v>610.43110820893185</v>
      </c>
      <c r="AM98" s="62">
        <f t="shared" si="59"/>
        <v>879.95412101026682</v>
      </c>
      <c r="AN98" s="62">
        <f ca="1">AVERAGE(OFFSET($AM$3,0,0,'Données projet'!$E$10+1,1))-AVERAGE(OFFSET($H$3,0,0,'Données projet'!$E$10+1,1))</f>
        <v>468.39960552661171</v>
      </c>
      <c r="AO98" s="62">
        <f t="shared" si="90"/>
        <v>291.1952427029787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0.49888761607729254</v>
      </c>
      <c r="AW98" s="23">
        <f>EXP(-LN(2)/2)*AW97+(1-EXP(-LN(2)/2))/(LN(2)/2)*AQ98*AT98*VLOOKUP('Données projet'!$B$10,Paramètres!$A$1:$I$89,3,0)*0.475*44/12</f>
        <v>2.3154463563367717E-9</v>
      </c>
      <c r="AX98" s="23">
        <f t="shared" si="60"/>
        <v>0.49888761839273887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63.506276218545906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-9.9316821433603781E-14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373.50005214669716</v>
      </c>
      <c r="BJ98" s="62">
        <f t="shared" si="92"/>
        <v>383.60460086643036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2.613330959052377</v>
      </c>
      <c r="BR98" s="23">
        <f>EXP(-LN(2)/2)*BR97+(1-EXP(-LN(2)/2))/(LN(2)/2)*BL98*BO98*VLOOKUP('Données projet'!$B$11,Paramètres!$A$1:$I$89,3,0)*0.475*44/12</f>
        <v>2.4522180068258839E-9</v>
      </c>
      <c r="BS98" s="24">
        <f t="shared" si="63"/>
        <v>2.613330961504595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63.506276218545906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210.13237351083279</v>
      </c>
      <c r="CE98" s="62">
        <f t="shared" si="94"/>
        <v>423.06475179432277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27.271660866729281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4.379073101784999E-8</v>
      </c>
      <c r="CN98" s="24">
        <f t="shared" si="66"/>
        <v>27.271660910520012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63.506276218545906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332</v>
      </c>
      <c r="CR98" s="13">
        <f>VLOOKUP(A98,'Données projet'!$A$139:$I$159,9,0)</f>
        <v>6</v>
      </c>
      <c r="CS98" s="13">
        <f t="array" ref="CS98">INDEX(CR:CR,MIN(IF(ISNUMBER(CR98:CR294),ROW(CR98:CR294),"")))</f>
        <v>6</v>
      </c>
      <c r="CT98" s="13">
        <f>IF('Données projet'!$A$140&gt;35,CT97+CS98-DB97,IF(A98&lt;'Données projet'!$A$140,$CQ$205^A98,IF(A98='Données projet'!$A$140,'Données projet'!$B$140,CT97+CS98-DB97)))</f>
        <v>331.99999999999994</v>
      </c>
      <c r="CU98" s="18">
        <f>CT98*VLOOKUP('Données projet'!$B$13,Paramètres!$A$1:$I$89,3,0)*VLOOKUP('Données projet'!$B$13,Paramètres!$A$1:$I$89,5,0)</f>
        <v>300.39359999999994</v>
      </c>
      <c r="CV98" s="14">
        <f t="shared" si="95"/>
        <v>71.258970856492667</v>
      </c>
      <c r="CW98" s="22">
        <f t="shared" si="67"/>
        <v>647.29489424172459</v>
      </c>
      <c r="CX98" s="62">
        <f t="shared" si="68"/>
        <v>916.81790704305956</v>
      </c>
      <c r="CY98" s="62">
        <f ca="1">AVERAGE(OFFSET($CX$3,0,0,'Données projet'!$E$13+1,1))-AVERAGE(OFFSET($H$3,0,0,'Données projet'!$E$13+1,1))</f>
        <v>493.89660144134291</v>
      </c>
      <c r="CZ98" s="62">
        <f t="shared" si="96"/>
        <v>312.97494624463229</v>
      </c>
      <c r="DA98" s="16">
        <f>IF(ISNA(VLOOKUP(A98,'Données projet'!$A$139:$I$159,3,0)),0,VLOOKUP(A98,'Données projet'!$A$139:$I$159,3,0))</f>
        <v>16</v>
      </c>
      <c r="DB98" s="16">
        <f>IF(ISNA(VLOOKUP(A98,'Données projet'!$A$139:$I$159,4,0)),0,VLOOKUP(A98,'Données projet'!$A$139:$I$159,4,0))</f>
        <v>28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1.5059610832600887</v>
      </c>
      <c r="DH98" s="23">
        <f>EXP(-LN(2)/2)*DH97+(1-EXP(-LN(2)/2))/(LN(2)/2)*DB98*DE98*VLOOKUP('Données projet'!$B$13,Paramètres!$A$1:$I$89,3,0)*0.475*44/12</f>
        <v>2.4546875518583613E-9</v>
      </c>
      <c r="DI98" s="24">
        <f t="shared" si="69"/>
        <v>1.5059610857147763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63.506276218545906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>
        <f>DO98*VLOOKUP('Données projet'!$B$14,Paramètres!$A$1:$I$89,3,0)*VLOOKUP('Données projet'!$B$14,Paramètres!$A$1:$I$89,5,0)</f>
        <v>0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210.13237351083279</v>
      </c>
      <c r="DU98" s="62">
        <f t="shared" si="98"/>
        <v>423.06475179432277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27.271660866729281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4.379073101784999E-8</v>
      </c>
      <c r="ED98" s="24">
        <f t="shared" si="72"/>
        <v>27.271660910520012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63.506276218545906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63.506276218545906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63.506276218545906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63.506276218545906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4.5049999999999999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16.518333333333334</v>
      </c>
      <c r="H99" s="70">
        <f t="shared" si="56"/>
        <v>147.64566666666667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63.618927808362685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5.3205440053716299E-14</v>
      </c>
      <c r="P99" s="14">
        <f t="shared" si="87"/>
        <v>8.602146238565607E-13</v>
      </c>
      <c r="Q99" s="22">
        <f t="shared" ref="Q99:Q130" si="107">(O99+P99)*0.475*44/12</f>
        <v>1.590873277977066E-12</v>
      </c>
      <c r="R99" s="62">
        <f t="shared" si="55"/>
        <v>269.93606863066475</v>
      </c>
      <c r="S99" s="62">
        <f ca="1">AVERAGE(OFFSET($R$3,0,0,'Données projet'!$E$9+1,1))-AVERAGE(OFFSET($H$3,0,0,'Données projet'!$E$9+1,1))</f>
        <v>374.81775021423215</v>
      </c>
      <c r="T99" s="62">
        <f t="shared" si="88"/>
        <v>301.81248585467142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63.618927808362685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266.47920000000011</v>
      </c>
      <c r="AK99" s="14">
        <f t="shared" si="89"/>
        <v>64.101496824889679</v>
      </c>
      <c r="AL99" s="22">
        <f t="shared" si="58"/>
        <v>575.76138030334971</v>
      </c>
      <c r="AM99" s="62">
        <f t="shared" si="59"/>
        <v>845.69744893401287</v>
      </c>
      <c r="AN99" s="62">
        <f ca="1">AVERAGE(OFFSET($AM$3,0,0,'Données projet'!$E$10+1,1))-AVERAGE(OFFSET($H$3,0,0,'Données projet'!$E$10+1,1))</f>
        <v>468.39960552661171</v>
      </c>
      <c r="AO99" s="62">
        <f t="shared" si="90"/>
        <v>291.1952427029787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0.48524550798029947</v>
      </c>
      <c r="AW99" s="23">
        <f>EXP(-LN(2)/2)*AW98+(1-EXP(-LN(2)/2))/(LN(2)/2)*AQ99*AT99*VLOOKUP('Données projet'!$B$10,Paramètres!$A$1:$I$89,3,0)*0.475*44/12</f>
        <v>1.6372678200394144E-9</v>
      </c>
      <c r="AX99" s="23">
        <f t="shared" si="60"/>
        <v>0.48524550961756729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63.618927808362685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-9.9316821433603781E-14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373.50005214669716</v>
      </c>
      <c r="BJ99" s="62">
        <f t="shared" si="92"/>
        <v>383.60460086643036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2.5418692865479873</v>
      </c>
      <c r="BR99" s="23">
        <f>EXP(-LN(2)/2)*BR98+(1-EXP(-LN(2)/2))/(LN(2)/2)*BL99*BO99*VLOOKUP('Données projet'!$B$11,Paramètres!$A$1:$I$89,3,0)*0.475*44/12</f>
        <v>1.733979981574342E-9</v>
      </c>
      <c r="BS99" s="24">
        <f t="shared" si="63"/>
        <v>2.5418692882819673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63.618927808362685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210.13237351083279</v>
      </c>
      <c r="CE99" s="62">
        <f t="shared" si="94"/>
        <v>423.06475179432277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26.736880231203372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3.0964722855837812E-8</v>
      </c>
      <c r="CN99" s="24">
        <f t="shared" si="66"/>
        <v>26.736880262168096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63.618927808362685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5.8</v>
      </c>
      <c r="CT99" s="13">
        <f>IF('Données projet'!$A$140&gt;35,CT98+CS99-DB98,IF(A99&lt;'Données projet'!$A$140,$CQ$205^A99,IF(A99='Données projet'!$A$140,'Données projet'!$B$140,CT98+CS99-DB98)))</f>
        <v>309.79999999999995</v>
      </c>
      <c r="CU99" s="18">
        <f>CT99*VLOOKUP('Données projet'!$B$13,Paramètres!$A$1:$I$89,3,0)*VLOOKUP('Données projet'!$B$13,Paramètres!$A$1:$I$89,5,0)</f>
        <v>280.30703999999997</v>
      </c>
      <c r="CV99" s="14">
        <f t="shared" si="95"/>
        <v>67.03189112007388</v>
      </c>
      <c r="CW99" s="22">
        <f t="shared" si="67"/>
        <v>604.94863836746197</v>
      </c>
      <c r="CX99" s="62">
        <f t="shared" si="68"/>
        <v>874.88470699812513</v>
      </c>
      <c r="CY99" s="62">
        <f ca="1">AVERAGE(OFFSET($CX$3,0,0,'Données projet'!$E$13+1,1))-AVERAGE(OFFSET($H$3,0,0,'Données projet'!$E$13+1,1))</f>
        <v>493.89660144134291</v>
      </c>
      <c r="CZ99" s="62">
        <f t="shared" si="96"/>
        <v>312.97494624463229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1.4647804982432902</v>
      </c>
      <c r="DH99" s="23">
        <f>EXP(-LN(2)/2)*DH98+(1-EXP(-LN(2)/2))/(LN(2)/2)*DB99*DE99*VLOOKUP('Données projet'!$B$13,Paramètres!$A$1:$I$89,3,0)*0.475*44/12</f>
        <v>1.7357262136132523E-9</v>
      </c>
      <c r="DI99" s="24">
        <f t="shared" si="69"/>
        <v>1.4647804999790164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63.618927808362685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>
        <f>DO99*VLOOKUP('Données projet'!$B$14,Paramètres!$A$1:$I$89,3,0)*VLOOKUP('Données projet'!$B$14,Paramètres!$A$1:$I$89,5,0)</f>
        <v>0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210.13237351083279</v>
      </c>
      <c r="DU99" s="62">
        <f t="shared" si="98"/>
        <v>423.06475179432277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26.736880231203372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3.0964722855837812E-8</v>
      </c>
      <c r="ED99" s="24">
        <f t="shared" si="72"/>
        <v>26.736880262168096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63.618927808362685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63.618927808362685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63.618927808362685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63.618927808362685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4.5049999999999999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16.518333333333334</v>
      </c>
      <c r="H100" s="70">
        <f t="shared" si="56"/>
        <v>147.64566666666667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63.729625144947363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5.3205440053716299E-14</v>
      </c>
      <c r="P100" s="14">
        <f t="shared" si="87"/>
        <v>8.602146238565607E-13</v>
      </c>
      <c r="Q100" s="22">
        <f t="shared" si="107"/>
        <v>1.590873277977066E-12</v>
      </c>
      <c r="R100" s="62">
        <f t="shared" si="55"/>
        <v>270.34195886480859</v>
      </c>
      <c r="S100" s="62">
        <f ca="1">AVERAGE(OFFSET($R$3,0,0,'Données projet'!$E$9+1,1))-AVERAGE(OFFSET($H$3,0,0,'Données projet'!$E$9+1,1))</f>
        <v>374.81775021423215</v>
      </c>
      <c r="T100" s="62">
        <f t="shared" si="88"/>
        <v>301.81248585467142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63.729625144947363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271.34640000000007</v>
      </c>
      <c r="AK100" s="14">
        <f t="shared" si="89"/>
        <v>65.134926573557365</v>
      </c>
      <c r="AL100" s="22">
        <f t="shared" si="58"/>
        <v>586.03831044894594</v>
      </c>
      <c r="AM100" s="62">
        <f t="shared" si="59"/>
        <v>856.38026931375293</v>
      </c>
      <c r="AN100" s="62">
        <f ca="1">AVERAGE(OFFSET($AM$3,0,0,'Données projet'!$E$10+1,1))-AVERAGE(OFFSET($H$3,0,0,'Données projet'!$E$10+1,1))</f>
        <v>468.39960552661171</v>
      </c>
      <c r="AO100" s="62">
        <f t="shared" si="90"/>
        <v>291.1952427029787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0.47197644404662598</v>
      </c>
      <c r="AW100" s="23">
        <f>EXP(-LN(2)/2)*AW99+(1-EXP(-LN(2)/2))/(LN(2)/2)*AQ100*AT100*VLOOKUP('Données projet'!$B$10,Paramètres!$A$1:$I$89,3,0)*0.475*44/12</f>
        <v>1.1577231781683859E-9</v>
      </c>
      <c r="AX100" s="23">
        <f t="shared" si="60"/>
        <v>0.47197644520434917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63.729625144947363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-9.9316821433603781E-14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373.50005214669716</v>
      </c>
      <c r="BJ100" s="62">
        <f t="shared" si="92"/>
        <v>383.60460086643036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2.4723617372362363</v>
      </c>
      <c r="BR100" s="23">
        <f>EXP(-LN(2)/2)*BR99+(1-EXP(-LN(2)/2))/(LN(2)/2)*BL100*BO100*VLOOKUP('Données projet'!$B$11,Paramètres!$A$1:$I$89,3,0)*0.475*44/12</f>
        <v>1.2261090034129419E-9</v>
      </c>
      <c r="BS100" s="24">
        <f t="shared" si="63"/>
        <v>2.4723617384623453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63.729625144947363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210.13237351083279</v>
      </c>
      <c r="CE100" s="62">
        <f t="shared" si="94"/>
        <v>423.06475179432277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26.212586317756145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2.1895365508924995E-8</v>
      </c>
      <c r="CN100" s="24">
        <f t="shared" si="66"/>
        <v>26.212586339651509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63.729625144947363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5.8</v>
      </c>
      <c r="CT100" s="13">
        <f>IF('Données projet'!$A$140&gt;35,CT99+CS100-DB99,IF(A100&lt;'Données projet'!$A$140,$CQ$205^A100,IF(A100='Données projet'!$A$140,'Données projet'!$B$140,CT99+CS100-DB99)))</f>
        <v>315.59999999999997</v>
      </c>
      <c r="CU100" s="18">
        <f>CT100*VLOOKUP('Données projet'!$B$13,Paramètres!$A$1:$I$89,3,0)*VLOOKUP('Données projet'!$B$13,Paramètres!$A$1:$I$89,5,0)</f>
        <v>285.55487999999997</v>
      </c>
      <c r="CV100" s="14">
        <f t="shared" si="95"/>
        <v>68.139569194998018</v>
      </c>
      <c r="CW100" s="22">
        <f t="shared" si="67"/>
        <v>616.01783234795482</v>
      </c>
      <c r="CX100" s="62">
        <f t="shared" si="68"/>
        <v>886.35979121276182</v>
      </c>
      <c r="CY100" s="62">
        <f ca="1">AVERAGE(OFFSET($CX$3,0,0,'Données projet'!$E$13+1,1))-AVERAGE(OFFSET($H$3,0,0,'Données projet'!$E$13+1,1))</f>
        <v>493.89660144134291</v>
      </c>
      <c r="CZ100" s="62">
        <f t="shared" si="96"/>
        <v>312.97494624463229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1.4247259984893688</v>
      </c>
      <c r="DH100" s="23">
        <f>EXP(-LN(2)/2)*DH99+(1-EXP(-LN(2)/2))/(LN(2)/2)*DB100*DE100*VLOOKUP('Données projet'!$B$13,Paramètres!$A$1:$I$89,3,0)*0.475*44/12</f>
        <v>1.2273437759291807E-9</v>
      </c>
      <c r="DI100" s="24">
        <f t="shared" si="69"/>
        <v>1.4247259997167125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63.729625144947363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>
        <f>DO100*VLOOKUP('Données projet'!$B$14,Paramètres!$A$1:$I$89,3,0)*VLOOKUP('Données projet'!$B$14,Paramètres!$A$1:$I$89,5,0)</f>
        <v>0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210.13237351083279</v>
      </c>
      <c r="DU100" s="62">
        <f t="shared" si="98"/>
        <v>423.06475179432277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26.212586317756145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2.1895365508924995E-8</v>
      </c>
      <c r="ED100" s="24">
        <f t="shared" si="72"/>
        <v>26.212586339651509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63.729625144947363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63.729625144947363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63.729625144947363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63.729625144947363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4.5049999999999999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16.518333333333334</v>
      </c>
      <c r="H101" s="70">
        <f t="shared" si="56"/>
        <v>147.64566666666667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63.838402130224466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5.3205440053716299E-14</v>
      </c>
      <c r="P101" s="14">
        <f t="shared" si="87"/>
        <v>8.602146238565607E-13</v>
      </c>
      <c r="Q101" s="22">
        <f t="shared" si="107"/>
        <v>1.590873277977066E-12</v>
      </c>
      <c r="R101" s="62">
        <f t="shared" si="55"/>
        <v>270.74080781082461</v>
      </c>
      <c r="S101" s="62">
        <f ca="1">AVERAGE(OFFSET($R$3,0,0,'Données projet'!$E$9+1,1))-AVERAGE(OFFSET($H$3,0,0,'Données projet'!$E$9+1,1))</f>
        <v>374.81775021423215</v>
      </c>
      <c r="T101" s="62">
        <f t="shared" si="88"/>
        <v>301.81248585467142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63.838402130224466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276.2136000000001</v>
      </c>
      <c r="AK101" s="14">
        <f t="shared" si="89"/>
        <v>66.166200760877473</v>
      </c>
      <c r="AL101" s="22">
        <f t="shared" si="58"/>
        <v>596.31148632519512</v>
      </c>
      <c r="AM101" s="62">
        <f t="shared" si="59"/>
        <v>867.05229413601819</v>
      </c>
      <c r="AN101" s="62">
        <f ca="1">AVERAGE(OFFSET($AM$3,0,0,'Données projet'!$E$10+1,1))-AVERAGE(OFFSET($H$3,0,0,'Données projet'!$E$10+1,1))</f>
        <v>468.39960552661171</v>
      </c>
      <c r="AO101" s="62">
        <f t="shared" si="90"/>
        <v>291.1952427029787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0.45907022336400849</v>
      </c>
      <c r="AW101" s="23">
        <f>EXP(-LN(2)/2)*AW100+(1-EXP(-LN(2)/2))/(LN(2)/2)*AQ101*AT101*VLOOKUP('Données projet'!$B$10,Paramètres!$A$1:$I$89,3,0)*0.475*44/12</f>
        <v>8.1863391001970721E-10</v>
      </c>
      <c r="AX101" s="23">
        <f t="shared" si="60"/>
        <v>0.45907022418264237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63.838402130224466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-9.9316821433603781E-14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373.50005214669716</v>
      </c>
      <c r="BJ101" s="62">
        <f t="shared" si="92"/>
        <v>383.60460086643036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2.4047548755156583</v>
      </c>
      <c r="BR101" s="23">
        <f>EXP(-LN(2)/2)*BR100+(1-EXP(-LN(2)/2))/(LN(2)/2)*BL101*BO101*VLOOKUP('Données projet'!$B$11,Paramètres!$A$1:$I$89,3,0)*0.475*44/12</f>
        <v>8.66989990787171E-10</v>
      </c>
      <c r="BS101" s="24">
        <f t="shared" si="63"/>
        <v>2.4047548763826483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63.838402130224466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210.13237351083279</v>
      </c>
      <c r="CE101" s="62">
        <f t="shared" si="94"/>
        <v>423.06475179432277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25.698573488163905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1.5482361427918906E-8</v>
      </c>
      <c r="CN101" s="24">
        <f t="shared" si="66"/>
        <v>25.698573503646266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63.838402130224466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5.8</v>
      </c>
      <c r="CT101" s="13">
        <f>IF('Données projet'!$A$140&gt;35,CT100+CS101-DB100,IF(A101&lt;'Données projet'!$A$140,$CQ$205^A101,IF(A101='Données projet'!$A$140,'Données projet'!$B$140,CT100+CS101-DB100)))</f>
        <v>321.39999999999998</v>
      </c>
      <c r="CU101" s="18">
        <f>CT101*VLOOKUP('Données projet'!$B$13,Paramètres!$A$1:$I$89,3,0)*VLOOKUP('Données projet'!$B$13,Paramètres!$A$1:$I$89,5,0)</f>
        <v>290.80271999999997</v>
      </c>
      <c r="CV101" s="14">
        <f t="shared" si="95"/>
        <v>69.244880157128961</v>
      </c>
      <c r="CW101" s="22">
        <f t="shared" si="67"/>
        <v>627.08290360699959</v>
      </c>
      <c r="CX101" s="62">
        <f t="shared" si="68"/>
        <v>897.82371141782255</v>
      </c>
      <c r="CY101" s="62">
        <f ca="1">AVERAGE(OFFSET($CX$3,0,0,'Données projet'!$E$13+1,1))-AVERAGE(OFFSET($H$3,0,0,'Données projet'!$E$13+1,1))</f>
        <v>493.89660144134291</v>
      </c>
      <c r="CZ101" s="62">
        <f t="shared" si="96"/>
        <v>312.97494624463229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1.385766791137593</v>
      </c>
      <c r="DH101" s="23">
        <f>EXP(-LN(2)/2)*DH100+(1-EXP(-LN(2)/2))/(LN(2)/2)*DB101*DE101*VLOOKUP('Données projet'!$B$13,Paramètres!$A$1:$I$89,3,0)*0.475*44/12</f>
        <v>8.6786310680662617E-10</v>
      </c>
      <c r="DI101" s="24">
        <f t="shared" si="69"/>
        <v>1.3857667920054562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63.838402130224466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>
        <f>DO101*VLOOKUP('Données projet'!$B$14,Paramètres!$A$1:$I$89,3,0)*VLOOKUP('Données projet'!$B$14,Paramètres!$A$1:$I$89,5,0)</f>
        <v>0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210.13237351083279</v>
      </c>
      <c r="DU101" s="62">
        <f t="shared" si="98"/>
        <v>423.06475179432277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25.698573488163905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1.5482361427918906E-8</v>
      </c>
      <c r="ED101" s="24">
        <f t="shared" si="72"/>
        <v>25.698573503646266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63.838402130224466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63.838402130224466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63.838402130224466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63.838402130224466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4.5049999999999999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16.518333333333334</v>
      </c>
      <c r="H102" s="70">
        <f t="shared" si="56"/>
        <v>147.64566666666667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63.945292077995923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5.3205440053716299E-14</v>
      </c>
      <c r="P102" s="14">
        <f t="shared" si="87"/>
        <v>8.602146238565607E-13</v>
      </c>
      <c r="Q102" s="22">
        <f t="shared" si="107"/>
        <v>1.590873277977066E-12</v>
      </c>
      <c r="R102" s="62">
        <f t="shared" si="55"/>
        <v>271.13273761932004</v>
      </c>
      <c r="S102" s="62">
        <f ca="1">AVERAGE(OFFSET($R$3,0,0,'Données projet'!$E$9+1,1))-AVERAGE(OFFSET($H$3,0,0,'Données projet'!$E$9+1,1))</f>
        <v>374.81775021423215</v>
      </c>
      <c r="T102" s="62">
        <f t="shared" si="88"/>
        <v>301.81248585467142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63.945292077995923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281.08080000000012</v>
      </c>
      <c r="AK102" s="14">
        <f t="shared" si="89"/>
        <v>67.195361752546177</v>
      </c>
      <c r="AL102" s="22">
        <f t="shared" si="58"/>
        <v>606.58098171901804</v>
      </c>
      <c r="AM102" s="62">
        <f t="shared" si="59"/>
        <v>877.71371933833643</v>
      </c>
      <c r="AN102" s="62">
        <f ca="1">AVERAGE(OFFSET($AM$3,0,0,'Données projet'!$E$10+1,1))-AVERAGE(OFFSET($H$3,0,0,'Données projet'!$E$10+1,1))</f>
        <v>468.39960552661171</v>
      </c>
      <c r="AO102" s="62">
        <f t="shared" si="90"/>
        <v>291.1952427029787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0.44651692396466586</v>
      </c>
      <c r="AW102" s="23">
        <f>EXP(-LN(2)/2)*AW101+(1-EXP(-LN(2)/2))/(LN(2)/2)*AQ102*AT102*VLOOKUP('Données projet'!$B$10,Paramètres!$A$1:$I$89,3,0)*0.475*44/12</f>
        <v>5.7886158908419294E-10</v>
      </c>
      <c r="AX102" s="23">
        <f t="shared" si="60"/>
        <v>0.44651692454352743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63.945292077995923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-9.9316821433603781E-14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373.50005214669716</v>
      </c>
      <c r="BJ102" s="62">
        <f t="shared" si="92"/>
        <v>383.60460086643036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2.3389967269841199</v>
      </c>
      <c r="BR102" s="23">
        <f>EXP(-LN(2)/2)*BR101+(1-EXP(-LN(2)/2))/(LN(2)/2)*BL102*BO102*VLOOKUP('Données projet'!$B$11,Paramètres!$A$1:$I$89,3,0)*0.475*44/12</f>
        <v>6.1305450170647097E-10</v>
      </c>
      <c r="BS102" s="24">
        <f t="shared" si="63"/>
        <v>2.3389967275971744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63.945292077995923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210.13237351083279</v>
      </c>
      <c r="CE102" s="62">
        <f t="shared" si="94"/>
        <v>423.06475179432277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25.194640136643102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1.0947682754462498E-8</v>
      </c>
      <c r="CN102" s="24">
        <f t="shared" si="66"/>
        <v>25.194640147590786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63.945292077995923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5.8</v>
      </c>
      <c r="CT102" s="13">
        <f>IF('Données projet'!$A$140&gt;35,CT101+CS102-DB101,IF(A102&lt;'Données projet'!$A$140,$CQ$205^A102,IF(A102='Données projet'!$A$140,'Données projet'!$B$140,CT101+CS102-DB101)))</f>
        <v>327.2</v>
      </c>
      <c r="CU102" s="18">
        <f>CT102*VLOOKUP('Données projet'!$B$13,Paramètres!$A$1:$I$89,3,0)*VLOOKUP('Données projet'!$B$13,Paramètres!$A$1:$I$89,5,0)</f>
        <v>296.05055999999996</v>
      </c>
      <c r="CV102" s="14">
        <f t="shared" si="95"/>
        <v>70.34787165092402</v>
      </c>
      <c r="CW102" s="22">
        <f t="shared" si="67"/>
        <v>638.14393512535923</v>
      </c>
      <c r="CX102" s="62">
        <f t="shared" si="68"/>
        <v>909.27667274467763</v>
      </c>
      <c r="CY102" s="62">
        <f ca="1">AVERAGE(OFFSET($CX$3,0,0,'Données projet'!$E$13+1,1))-AVERAGE(OFFSET($H$3,0,0,'Données projet'!$E$13+1,1))</f>
        <v>493.89660144134291</v>
      </c>
      <c r="CZ102" s="62">
        <f t="shared" si="96"/>
        <v>312.97494624463229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1.3478729253596273</v>
      </c>
      <c r="DH102" s="23">
        <f>EXP(-LN(2)/2)*DH101+(1-EXP(-LN(2)/2))/(LN(2)/2)*DB102*DE102*VLOOKUP('Données projet'!$B$13,Paramètres!$A$1:$I$89,3,0)*0.475*44/12</f>
        <v>6.1367188796459033E-10</v>
      </c>
      <c r="DI102" s="24">
        <f t="shared" si="69"/>
        <v>1.3478729259732991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63.945292077995923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>
        <f>DO102*VLOOKUP('Données projet'!$B$14,Paramètres!$A$1:$I$89,3,0)*VLOOKUP('Données projet'!$B$14,Paramètres!$A$1:$I$89,5,0)</f>
        <v>0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210.13237351083279</v>
      </c>
      <c r="DU102" s="62">
        <f t="shared" si="98"/>
        <v>423.06475179432277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25.194640136643102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1.0947682754462498E-8</v>
      </c>
      <c r="ED102" s="24">
        <f t="shared" si="72"/>
        <v>25.194640147590786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63.945292077995923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63.945292077995923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63.945292077995923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63.945292077995923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4.5049999999999999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16.518333333333334</v>
      </c>
      <c r="H103" s="70">
        <f t="shared" si="56"/>
        <v>147.64566666666667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64.050327724143671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5.3205440053716299E-14</v>
      </c>
      <c r="P103" s="14">
        <f t="shared" si="87"/>
        <v>8.602146238565607E-13</v>
      </c>
      <c r="Q103" s="22">
        <f t="shared" si="107"/>
        <v>1.590873277977066E-12</v>
      </c>
      <c r="R103" s="62">
        <f t="shared" si="55"/>
        <v>271.51786832186173</v>
      </c>
      <c r="S103" s="62">
        <f ca="1">AVERAGE(OFFSET($R$3,0,0,'Données projet'!$E$9+1,1))-AVERAGE(OFFSET($H$3,0,0,'Données projet'!$E$9+1,1))</f>
        <v>374.81775021423215</v>
      </c>
      <c r="T103" s="62">
        <f t="shared" si="88"/>
        <v>301.81248585467142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64.050327724143671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285.94800000000009</v>
      </c>
      <c r="AK103" s="14">
        <f t="shared" si="89"/>
        <v>68.222450362989363</v>
      </c>
      <c r="AL103" s="22">
        <f t="shared" si="58"/>
        <v>616.84686771553993</v>
      </c>
      <c r="AM103" s="62">
        <f t="shared" si="59"/>
        <v>888.36473603740001</v>
      </c>
      <c r="AN103" s="62">
        <f ca="1">AVERAGE(OFFSET($AM$3,0,0,'Données projet'!$E$10+1,1))-AVERAGE(OFFSET($H$3,0,0,'Données projet'!$E$10+1,1))</f>
        <v>468.39960552661171</v>
      </c>
      <c r="AO103" s="62">
        <f t="shared" si="90"/>
        <v>291.1952427029787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0.43430689519754756</v>
      </c>
      <c r="AW103" s="23">
        <f>EXP(-LN(2)/2)*AW102+(1-EXP(-LN(2)/2))/(LN(2)/2)*AQ103*AT103*VLOOKUP('Données projet'!$B$10,Paramètres!$A$1:$I$89,3,0)*0.475*44/12</f>
        <v>4.093169550098536E-10</v>
      </c>
      <c r="AX103" s="23">
        <f t="shared" si="60"/>
        <v>0.43430689560686453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64.050327724143671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-9.9316821433603781E-14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373.50005214669716</v>
      </c>
      <c r="BJ103" s="62">
        <f t="shared" si="92"/>
        <v>383.60460086643036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2.275036738482247</v>
      </c>
      <c r="BR103" s="23">
        <f>EXP(-LN(2)/2)*BR102+(1-EXP(-LN(2)/2))/(LN(2)/2)*BL103*BO103*VLOOKUP('Données projet'!$B$11,Paramètres!$A$1:$I$89,3,0)*0.475*44/12</f>
        <v>4.334949953935855E-10</v>
      </c>
      <c r="BS103" s="24">
        <f t="shared" si="63"/>
        <v>2.275036738915742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64.050327724143671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210.13237351083279</v>
      </c>
      <c r="CE103" s="62">
        <f t="shared" si="94"/>
        <v>423.06475179432277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24.700588610776627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7.741180713959453E-9</v>
      </c>
      <c r="CN103" s="24">
        <f t="shared" si="66"/>
        <v>24.700588618517809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64.050327724143671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333</v>
      </c>
      <c r="CR103" s="13">
        <f>VLOOKUP(A103,'Données projet'!$A$139:$I$159,9,0)</f>
        <v>5.8</v>
      </c>
      <c r="CS103" s="13">
        <f t="array" ref="CS103">INDEX(CR:CR,MIN(IF(ISNUMBER(CR103:CR299),ROW(CR103:CR299),"")))</f>
        <v>5.8</v>
      </c>
      <c r="CT103" s="13">
        <f>IF('Données projet'!$A$140&gt;35,CT102+CS103-DB102,IF(A103&lt;'Données projet'!$A$140,$CQ$205^A103,IF(A103='Données projet'!$A$140,'Données projet'!$B$140,CT102+CS103-DB102)))</f>
        <v>333</v>
      </c>
      <c r="CU103" s="18">
        <f>CT103*VLOOKUP('Données projet'!$B$13,Paramètres!$A$1:$I$89,3,0)*VLOOKUP('Données projet'!$B$13,Paramètres!$A$1:$I$89,5,0)</f>
        <v>301.29840000000002</v>
      </c>
      <c r="CV103" s="14">
        <f t="shared" si="95"/>
        <v>71.448589534990518</v>
      </c>
      <c r="CW103" s="22">
        <f t="shared" si="67"/>
        <v>649.2010067734418</v>
      </c>
      <c r="CX103" s="62">
        <f t="shared" si="68"/>
        <v>920.71887509530188</v>
      </c>
      <c r="CY103" s="62">
        <f ca="1">AVERAGE(OFFSET($CX$3,0,0,'Données projet'!$E$13+1,1))-AVERAGE(OFFSET($H$3,0,0,'Données projet'!$E$13+1,1))</f>
        <v>493.89660144134291</v>
      </c>
      <c r="CZ103" s="62">
        <f t="shared" si="96"/>
        <v>312.97494624463229</v>
      </c>
      <c r="DA103" s="16">
        <f>IF(ISNA(VLOOKUP(A103,'Données projet'!$A$139:$I$159,3,0)),0,VLOOKUP(A103,'Données projet'!$A$139:$I$159,3,0))</f>
        <v>17</v>
      </c>
      <c r="DB103" s="16">
        <f>IF(ISNA(VLOOKUP(A103,'Données projet'!$A$139:$I$159,4,0)),0,VLOOKUP(A103,'Données projet'!$A$139:$I$159,4,0))</f>
        <v>27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1.3110152693341117</v>
      </c>
      <c r="DH103" s="23">
        <f>EXP(-LN(2)/2)*DH102+(1-EXP(-LN(2)/2))/(LN(2)/2)*DB103*DE103*VLOOKUP('Données projet'!$B$13,Paramètres!$A$1:$I$89,3,0)*0.475*44/12</f>
        <v>4.3393155340331308E-10</v>
      </c>
      <c r="DI103" s="24">
        <f t="shared" si="69"/>
        <v>1.3110152697680433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64.050327724143671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>
        <f>DO103*VLOOKUP('Données projet'!$B$14,Paramètres!$A$1:$I$89,3,0)*VLOOKUP('Données projet'!$B$14,Paramètres!$A$1:$I$89,5,0)</f>
        <v>0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210.13237351083279</v>
      </c>
      <c r="DU103" s="62">
        <f t="shared" si="98"/>
        <v>423.06475179432277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24.700588610776627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7.741180713959453E-9</v>
      </c>
      <c r="ED103" s="24">
        <f t="shared" si="72"/>
        <v>24.700588618517809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64.050327724143671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64.050327724143671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64.050327724143671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64.050327724143671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4.5049999999999999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16.518333333333334</v>
      </c>
      <c r="H104" s="70">
        <f t="shared" si="56"/>
        <v>147.64566666666667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64.153541236655272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5.3205440053716299E-14</v>
      </c>
      <c r="P104" s="14">
        <f t="shared" si="87"/>
        <v>8.602146238565607E-13</v>
      </c>
      <c r="Q104" s="22">
        <f t="shared" si="107"/>
        <v>1.590873277977066E-12</v>
      </c>
      <c r="R104" s="62">
        <f t="shared" si="55"/>
        <v>271.89631786773759</v>
      </c>
      <c r="S104" s="62">
        <f ca="1">AVERAGE(OFFSET($R$3,0,0,'Données projet'!$E$9+1,1))-AVERAGE(OFFSET($H$3,0,0,'Données projet'!$E$9+1,1))</f>
        <v>374.81775021423215</v>
      </c>
      <c r="T104" s="62">
        <f t="shared" si="88"/>
        <v>301.81248585467142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64.153541236655272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269.11560000000014</v>
      </c>
      <c r="AK104" s="14">
        <f t="shared" si="89"/>
        <v>64.661541462287133</v>
      </c>
      <c r="AL104" s="22">
        <f t="shared" si="58"/>
        <v>581.32852138015028</v>
      </c>
      <c r="AM104" s="62">
        <f t="shared" si="59"/>
        <v>853.22483924788628</v>
      </c>
      <c r="AN104" s="62">
        <f ca="1">AVERAGE(OFFSET($AM$3,0,0,'Données projet'!$E$10+1,1))-AVERAGE(OFFSET($H$3,0,0,'Données projet'!$E$10+1,1))</f>
        <v>468.39960552661171</v>
      </c>
      <c r="AO104" s="62">
        <f t="shared" si="90"/>
        <v>291.1952427029787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0.42243075030916361</v>
      </c>
      <c r="AW104" s="23">
        <f>EXP(-LN(2)/2)*AW103+(1-EXP(-LN(2)/2))/(LN(2)/2)*AQ104*AT104*VLOOKUP('Données projet'!$B$10,Paramètres!$A$1:$I$89,3,0)*0.475*44/12</f>
        <v>2.8943079454209647E-10</v>
      </c>
      <c r="AX104" s="23">
        <f t="shared" si="60"/>
        <v>0.42243075059859442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64.153541236655272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-9.9316821433603781E-14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373.50005214669716</v>
      </c>
      <c r="BJ104" s="62">
        <f t="shared" si="92"/>
        <v>383.60460086643036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2.2128257392294675</v>
      </c>
      <c r="BR104" s="23">
        <f>EXP(-LN(2)/2)*BR103+(1-EXP(-LN(2)/2))/(LN(2)/2)*BL104*BO104*VLOOKUP('Données projet'!$B$11,Paramètres!$A$1:$I$89,3,0)*0.475*44/12</f>
        <v>3.0652725085323549E-10</v>
      </c>
      <c r="BS104" s="24">
        <f t="shared" si="63"/>
        <v>2.2128257395359947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64.153541236655272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210.13237351083279</v>
      </c>
      <c r="CE104" s="62">
        <f t="shared" si="94"/>
        <v>423.06475179432277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24.216225133990719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5.4738413772312488E-9</v>
      </c>
      <c r="CN104" s="24">
        <f t="shared" si="66"/>
        <v>24.216225139464559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64.153541236655272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5.4</v>
      </c>
      <c r="CT104" s="13">
        <f>IF('Données projet'!$A$140&gt;35,CT103+CS104-DB103,IF(A104&lt;'Données projet'!$A$140,$CQ$205^A104,IF(A104='Données projet'!$A$140,'Données projet'!$B$140,CT103+CS104-DB103)))</f>
        <v>311.39999999999998</v>
      </c>
      <c r="CU104" s="18">
        <f>CT104*VLOOKUP('Données projet'!$B$13,Paramètres!$A$1:$I$89,3,0)*VLOOKUP('Données projet'!$B$13,Paramètres!$A$1:$I$89,5,0)</f>
        <v>281.75471999999996</v>
      </c>
      <c r="CV104" s="14">
        <f t="shared" si="95"/>
        <v>67.337696723120317</v>
      </c>
      <c r="CW104" s="22">
        <f t="shared" si="67"/>
        <v>608.00262579276773</v>
      </c>
      <c r="CX104" s="62">
        <f t="shared" si="68"/>
        <v>879.89894366050373</v>
      </c>
      <c r="CY104" s="62">
        <f ca="1">AVERAGE(OFFSET($CX$3,0,0,'Données projet'!$E$13+1,1))-AVERAGE(OFFSET($H$3,0,0,'Données projet'!$E$13+1,1))</f>
        <v>493.89660144134291</v>
      </c>
      <c r="CZ104" s="62">
        <f t="shared" si="96"/>
        <v>312.97494624463229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1.2751654878508738</v>
      </c>
      <c r="DH104" s="23">
        <f>EXP(-LN(2)/2)*DH103+(1-EXP(-LN(2)/2))/(LN(2)/2)*DB104*DE104*VLOOKUP('Données projet'!$B$13,Paramètres!$A$1:$I$89,3,0)*0.475*44/12</f>
        <v>3.0683594398229516E-10</v>
      </c>
      <c r="DI104" s="24">
        <f t="shared" si="69"/>
        <v>1.2751654881577097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64.153541236655272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>
        <f>DO104*VLOOKUP('Données projet'!$B$14,Paramètres!$A$1:$I$89,3,0)*VLOOKUP('Données projet'!$B$14,Paramètres!$A$1:$I$89,5,0)</f>
        <v>0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210.13237351083279</v>
      </c>
      <c r="DU104" s="62">
        <f t="shared" si="98"/>
        <v>423.06475179432277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24.216225133990719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5.4738413772312488E-9</v>
      </c>
      <c r="ED104" s="24">
        <f t="shared" si="72"/>
        <v>24.216225139464559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64.153541236655272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64.153541236655272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64.153541236655272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64.153541236655272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4.5049999999999999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16.518333333333334</v>
      </c>
      <c r="H105" s="70">
        <f t="shared" si="56"/>
        <v>147.64566666666667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64.254964225475646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5.3205440053716299E-14</v>
      </c>
      <c r="P105" s="14">
        <f t="shared" si="87"/>
        <v>8.602146238565607E-13</v>
      </c>
      <c r="Q105" s="22">
        <f t="shared" si="107"/>
        <v>1.590873277977066E-12</v>
      </c>
      <c r="R105" s="62">
        <f t="shared" si="55"/>
        <v>272.26820216007894</v>
      </c>
      <c r="S105" s="62">
        <f ca="1">AVERAGE(OFFSET($R$3,0,0,'Données projet'!$E$9+1,1))-AVERAGE(OFFSET($H$3,0,0,'Données projet'!$E$9+1,1))</f>
        <v>374.81775021423215</v>
      </c>
      <c r="T105" s="62">
        <f t="shared" si="88"/>
        <v>301.81248585467142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64.254964225475646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273.57720000000012</v>
      </c>
      <c r="AK105" s="14">
        <f t="shared" si="89"/>
        <v>65.607858889915107</v>
      </c>
      <c r="AL105" s="22">
        <f t="shared" si="58"/>
        <v>590.74731089993566</v>
      </c>
      <c r="AM105" s="62">
        <f t="shared" si="59"/>
        <v>863.01551306001306</v>
      </c>
      <c r="AN105" s="62">
        <f ca="1">AVERAGE(OFFSET($AM$3,0,0,'Données projet'!$E$10+1,1))-AVERAGE(OFFSET($H$3,0,0,'Données projet'!$E$10+1,1))</f>
        <v>468.39960552661171</v>
      </c>
      <c r="AO105" s="62">
        <f t="shared" si="90"/>
        <v>291.1952427029787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0.41087935922729185</v>
      </c>
      <c r="AW105" s="23">
        <f>EXP(-LN(2)/2)*AW104+(1-EXP(-LN(2)/2))/(LN(2)/2)*AQ105*AT105*VLOOKUP('Données projet'!$B$10,Paramètres!$A$1:$I$89,3,0)*0.475*44/12</f>
        <v>2.046584775049268E-10</v>
      </c>
      <c r="AX105" s="23">
        <f t="shared" si="60"/>
        <v>0.41087935943195031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64.254964225475646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-9.9316821433603781E-14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373.50005214669716</v>
      </c>
      <c r="BJ105" s="62">
        <f t="shared" si="92"/>
        <v>383.60460086643036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2.1523159030227896</v>
      </c>
      <c r="BR105" s="23">
        <f>EXP(-LN(2)/2)*BR104+(1-EXP(-LN(2)/2))/(LN(2)/2)*BL105*BO105*VLOOKUP('Données projet'!$B$11,Paramètres!$A$1:$I$89,3,0)*0.475*44/12</f>
        <v>2.1674749769679275E-10</v>
      </c>
      <c r="BS105" s="24">
        <f t="shared" si="63"/>
        <v>2.1523159032395371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64.254964225475646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210.13237351083279</v>
      </c>
      <c r="CE105" s="62">
        <f t="shared" si="94"/>
        <v>423.06475179432277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23.741359729552034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3.8705903569797265E-9</v>
      </c>
      <c r="CN105" s="24">
        <f t="shared" si="66"/>
        <v>23.741359733422623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64.254964225475646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5.4</v>
      </c>
      <c r="CT105" s="13">
        <f>IF('Données projet'!$A$140&gt;35,CT104+CS105-DB104,IF(A105&lt;'Données projet'!$A$140,$CQ$205^A105,IF(A105='Données projet'!$A$140,'Données projet'!$B$140,CT104+CS105-DB104)))</f>
        <v>316.79999999999995</v>
      </c>
      <c r="CU105" s="18">
        <f>CT105*VLOOKUP('Données projet'!$B$13,Paramètres!$A$1:$I$89,3,0)*VLOOKUP('Données projet'!$B$13,Paramètres!$A$1:$I$89,5,0)</f>
        <v>286.64063999999996</v>
      </c>
      <c r="CV105" s="14">
        <f t="shared" si="95"/>
        <v>68.368446832003599</v>
      </c>
      <c r="CW105" s="22">
        <f t="shared" si="67"/>
        <v>618.30749289907283</v>
      </c>
      <c r="CX105" s="62">
        <f t="shared" si="68"/>
        <v>890.57569505915012</v>
      </c>
      <c r="CY105" s="62">
        <f ca="1">AVERAGE(OFFSET($CX$3,0,0,'Données projet'!$E$13+1,1))-AVERAGE(OFFSET($H$3,0,0,'Données projet'!$E$13+1,1))</f>
        <v>493.89660144134291</v>
      </c>
      <c r="CZ105" s="62">
        <f t="shared" si="96"/>
        <v>312.97494624463229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1.2402960205275531</v>
      </c>
      <c r="DH105" s="23">
        <f>EXP(-LN(2)/2)*DH104+(1-EXP(-LN(2)/2))/(LN(2)/2)*DB105*DE105*VLOOKUP('Données projet'!$B$13,Paramètres!$A$1:$I$89,3,0)*0.475*44/12</f>
        <v>2.1696577670165654E-10</v>
      </c>
      <c r="DI105" s="24">
        <f t="shared" si="69"/>
        <v>1.2402960207445188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64.254964225475646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>
        <f>DO105*VLOOKUP('Données projet'!$B$14,Paramètres!$A$1:$I$89,3,0)*VLOOKUP('Données projet'!$B$14,Paramètres!$A$1:$I$89,5,0)</f>
        <v>0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210.13237351083279</v>
      </c>
      <c r="DU105" s="62">
        <f t="shared" si="98"/>
        <v>423.06475179432277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23.741359729552034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3.8705903569797265E-9</v>
      </c>
      <c r="ED105" s="24">
        <f t="shared" si="72"/>
        <v>23.741359733422623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64.254964225475646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64.254964225475646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64.254964225475646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64.254964225475646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4.5049999999999999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16.518333333333334</v>
      </c>
      <c r="H106" s="70">
        <f t="shared" si="56"/>
        <v>147.64566666666667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64.35462775218781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5.3205440053716299E-14</v>
      </c>
      <c r="P106" s="14">
        <f t="shared" si="87"/>
        <v>8.602146238565607E-13</v>
      </c>
      <c r="Q106" s="22">
        <f t="shared" si="107"/>
        <v>1.590873277977066E-12</v>
      </c>
      <c r="R106" s="62">
        <f t="shared" si="55"/>
        <v>272.63363509135689</v>
      </c>
      <c r="S106" s="62">
        <f ca="1">AVERAGE(OFFSET($R$3,0,0,'Données projet'!$E$9+1,1))-AVERAGE(OFFSET($H$3,0,0,'Données projet'!$E$9+1,1))</f>
        <v>374.81775021423215</v>
      </c>
      <c r="T106" s="62">
        <f t="shared" si="88"/>
        <v>301.81248585467142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64.35462775218781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278.03880000000009</v>
      </c>
      <c r="AK106" s="14">
        <f t="shared" si="89"/>
        <v>66.5523815477178</v>
      </c>
      <c r="AL106" s="22">
        <f t="shared" si="58"/>
        <v>600.16297452894207</v>
      </c>
      <c r="AM106" s="62">
        <f t="shared" si="59"/>
        <v>872.79660962029743</v>
      </c>
      <c r="AN106" s="62">
        <f ca="1">AVERAGE(OFFSET($AM$3,0,0,'Données projet'!$E$10+1,1))-AVERAGE(OFFSET($H$3,0,0,'Données projet'!$E$10+1,1))</f>
        <v>468.39960552661171</v>
      </c>
      <c r="AO106" s="62">
        <f t="shared" si="90"/>
        <v>291.1952427029787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0.39964384154201515</v>
      </c>
      <c r="AW106" s="23">
        <f>EXP(-LN(2)/2)*AW105+(1-EXP(-LN(2)/2))/(LN(2)/2)*AQ106*AT106*VLOOKUP('Données projet'!$B$10,Paramètres!$A$1:$I$89,3,0)*0.475*44/12</f>
        <v>1.4471539727104823E-10</v>
      </c>
      <c r="AX106" s="23">
        <f t="shared" si="60"/>
        <v>0.39964384168673056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64.35462775218781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-9.9316821433603781E-14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373.50005214669716</v>
      </c>
      <c r="BJ106" s="62">
        <f t="shared" si="92"/>
        <v>383.60460086643036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2.0934607114692572</v>
      </c>
      <c r="BR106" s="23">
        <f>EXP(-LN(2)/2)*BR105+(1-EXP(-LN(2)/2))/(LN(2)/2)*BL106*BO106*VLOOKUP('Données projet'!$B$11,Paramètres!$A$1:$I$89,3,0)*0.475*44/12</f>
        <v>1.5326362542661774E-10</v>
      </c>
      <c r="BS106" s="24">
        <f t="shared" si="63"/>
        <v>2.0934607116225208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64.35462775218781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210.13237351083279</v>
      </c>
      <c r="CE106" s="62">
        <f t="shared" si="94"/>
        <v>423.06475179432277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23.275806146055093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2.7369206886156244E-9</v>
      </c>
      <c r="CN106" s="24">
        <f t="shared" si="66"/>
        <v>23.275806148792014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64.35462775218781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5.4</v>
      </c>
      <c r="CT106" s="13">
        <f>IF('Données projet'!$A$140&gt;35,CT105+CS106-DB105,IF(A106&lt;'Données projet'!$A$140,$CQ$205^A106,IF(A106='Données projet'!$A$140,'Données projet'!$B$140,CT105+CS106-DB105)))</f>
        <v>322.19999999999993</v>
      </c>
      <c r="CU106" s="18">
        <f>CT106*VLOOKUP('Données projet'!$B$13,Paramètres!$A$1:$I$89,3,0)*VLOOKUP('Données projet'!$B$13,Paramètres!$A$1:$I$89,5,0)</f>
        <v>291.5265599999999</v>
      </c>
      <c r="CV106" s="14">
        <f t="shared" si="95"/>
        <v>69.397153761857183</v>
      </c>
      <c r="CW106" s="22">
        <f t="shared" si="67"/>
        <v>628.60880146856778</v>
      </c>
      <c r="CX106" s="62">
        <f t="shared" si="68"/>
        <v>901.24243655992314</v>
      </c>
      <c r="CY106" s="62">
        <f ca="1">AVERAGE(OFFSET($CX$3,0,0,'Données projet'!$E$13+1,1))-AVERAGE(OFFSET($H$3,0,0,'Données projet'!$E$13+1,1))</f>
        <v>493.89660144134291</v>
      </c>
      <c r="CZ106" s="62">
        <f t="shared" si="96"/>
        <v>312.97494624463229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1.2063800606218942</v>
      </c>
      <c r="DH106" s="23">
        <f>EXP(-LN(2)/2)*DH105+(1-EXP(-LN(2)/2))/(LN(2)/2)*DB106*DE106*VLOOKUP('Données projet'!$B$13,Paramètres!$A$1:$I$89,3,0)*0.475*44/12</f>
        <v>1.5341797199114758E-10</v>
      </c>
      <c r="DI106" s="24">
        <f t="shared" si="69"/>
        <v>1.2063800607753121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64.35462775218781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>
        <f>DO106*VLOOKUP('Données projet'!$B$14,Paramètres!$A$1:$I$89,3,0)*VLOOKUP('Données projet'!$B$14,Paramètres!$A$1:$I$89,5,0)</f>
        <v>0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210.13237351083279</v>
      </c>
      <c r="DU106" s="62">
        <f t="shared" si="98"/>
        <v>423.06475179432277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23.275806146055093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2.7369206886156244E-9</v>
      </c>
      <c r="ED106" s="24">
        <f t="shared" si="72"/>
        <v>23.275806148792014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64.35462775218781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64.35462775218781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64.35462775218781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64.35462775218781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4.5049999999999999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16.518333333333334</v>
      </c>
      <c r="H107" s="70">
        <f t="shared" si="56"/>
        <v>147.64566666666667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64.452562339525798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5.3205440053716299E-14</v>
      </c>
      <c r="P107" s="14">
        <f t="shared" si="87"/>
        <v>8.602146238565607E-13</v>
      </c>
      <c r="Q107" s="22">
        <f t="shared" si="107"/>
        <v>1.590873277977066E-12</v>
      </c>
      <c r="R107" s="62">
        <f t="shared" si="55"/>
        <v>272.99272857826287</v>
      </c>
      <c r="S107" s="62">
        <f ca="1">AVERAGE(OFFSET($R$3,0,0,'Données projet'!$E$9+1,1))-AVERAGE(OFFSET($H$3,0,0,'Données projet'!$E$9+1,1))</f>
        <v>374.81775021423215</v>
      </c>
      <c r="T107" s="62">
        <f t="shared" si="88"/>
        <v>301.81248585467142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64.452562339525798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282.50040000000007</v>
      </c>
      <c r="AK107" s="14">
        <f t="shared" si="89"/>
        <v>67.495141560894439</v>
      </c>
      <c r="AL107" s="22">
        <f t="shared" si="58"/>
        <v>609.57556821855781</v>
      </c>
      <c r="AM107" s="62">
        <f t="shared" si="59"/>
        <v>882.56829679681914</v>
      </c>
      <c r="AN107" s="62">
        <f ca="1">AVERAGE(OFFSET($AM$3,0,0,'Données projet'!$E$10+1,1))-AVERAGE(OFFSET($H$3,0,0,'Données projet'!$E$10+1,1))</f>
        <v>468.39960552661171</v>
      </c>
      <c r="AO107" s="62">
        <f t="shared" si="90"/>
        <v>291.1952427029787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0.38871555967869253</v>
      </c>
      <c r="AW107" s="23">
        <f>EXP(-LN(2)/2)*AW106+(1-EXP(-LN(2)/2))/(LN(2)/2)*AQ107*AT107*VLOOKUP('Données projet'!$B$10,Paramètres!$A$1:$I$89,3,0)*0.475*44/12</f>
        <v>1.023292387524634E-10</v>
      </c>
      <c r="AX107" s="23">
        <f t="shared" si="60"/>
        <v>0.38871555978102179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64.452562339525798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-9.9316821433603781E-14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373.50005214669716</v>
      </c>
      <c r="BJ107" s="62">
        <f t="shared" si="92"/>
        <v>383.60460086643036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2.0362149182238163</v>
      </c>
      <c r="BR107" s="23">
        <f>EXP(-LN(2)/2)*BR106+(1-EXP(-LN(2)/2))/(LN(2)/2)*BL107*BO107*VLOOKUP('Données projet'!$B$11,Paramètres!$A$1:$I$89,3,0)*0.475*44/12</f>
        <v>1.0837374884839638E-10</v>
      </c>
      <c r="BS107" s="24">
        <f t="shared" si="63"/>
        <v>2.03621491833219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64.452562339525798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210.13237351083279</v>
      </c>
      <c r="CE107" s="62">
        <f t="shared" si="94"/>
        <v>423.06475179432277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22.819381784370879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1.9352951784898633E-9</v>
      </c>
      <c r="CN107" s="24">
        <f t="shared" si="66"/>
        <v>22.819381786306174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64.452562339525798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5.4</v>
      </c>
      <c r="CT107" s="13">
        <f>IF('Données projet'!$A$140&gt;35,CT106+CS107-DB106,IF(A107&lt;'Données projet'!$A$140,$CQ$205^A107,IF(A107='Données projet'!$A$140,'Données projet'!$B$140,CT106+CS107-DB106)))</f>
        <v>327.59999999999991</v>
      </c>
      <c r="CU107" s="18">
        <f>CT107*VLOOKUP('Données projet'!$B$13,Paramètres!$A$1:$I$89,3,0)*VLOOKUP('Données projet'!$B$13,Paramètres!$A$1:$I$89,5,0)</f>
        <v>296.4124799999999</v>
      </c>
      <c r="CV107" s="14">
        <f t="shared" si="95"/>
        <v>70.423855708154704</v>
      </c>
      <c r="CW107" s="22">
        <f t="shared" si="67"/>
        <v>638.90661802503598</v>
      </c>
      <c r="CX107" s="62">
        <f t="shared" si="68"/>
        <v>911.89934660329732</v>
      </c>
      <c r="CY107" s="62">
        <f ca="1">AVERAGE(OFFSET($CX$3,0,0,'Données projet'!$E$13+1,1))-AVERAGE(OFFSET($H$3,0,0,'Données projet'!$E$13+1,1))</f>
        <v>493.89660144134291</v>
      </c>
      <c r="CZ107" s="62">
        <f t="shared" si="96"/>
        <v>312.97494624463229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1.1733915344234183</v>
      </c>
      <c r="DH107" s="23">
        <f>EXP(-LN(2)/2)*DH106+(1-EXP(-LN(2)/2))/(LN(2)/2)*DB107*DE107*VLOOKUP('Données projet'!$B$13,Paramètres!$A$1:$I$89,3,0)*0.475*44/12</f>
        <v>1.0848288835082827E-10</v>
      </c>
      <c r="DI107" s="24">
        <f t="shared" si="69"/>
        <v>1.173391534531901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64.452562339525798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>
        <f>DO107*VLOOKUP('Données projet'!$B$14,Paramètres!$A$1:$I$89,3,0)*VLOOKUP('Données projet'!$B$14,Paramètres!$A$1:$I$89,5,0)</f>
        <v>0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210.13237351083279</v>
      </c>
      <c r="DU107" s="62">
        <f t="shared" si="98"/>
        <v>423.06475179432277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22.819381784370879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1.9352951784898633E-9</v>
      </c>
      <c r="ED107" s="24">
        <f t="shared" si="72"/>
        <v>22.819381786306174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64.452562339525798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64.452562339525798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64.452562339525798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64.452562339525798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4.5049999999999999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16.518333333333334</v>
      </c>
      <c r="H108" s="70">
        <f t="shared" si="56"/>
        <v>147.64566666666667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64.548797980722398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5.3205440053716299E-14</v>
      </c>
      <c r="P108" s="14">
        <f t="shared" si="87"/>
        <v>8.602146238565607E-13</v>
      </c>
      <c r="Q108" s="22">
        <f t="shared" si="107"/>
        <v>1.590873277977066E-12</v>
      </c>
      <c r="R108" s="62">
        <f t="shared" si="55"/>
        <v>273.3455925959837</v>
      </c>
      <c r="S108" s="62">
        <f ca="1">AVERAGE(OFFSET($R$3,0,0,'Données projet'!$E$9+1,1))-AVERAGE(OFFSET($H$3,0,0,'Données projet'!$E$9+1,1))</f>
        <v>374.81775021423215</v>
      </c>
      <c r="T108" s="62">
        <f t="shared" si="88"/>
        <v>301.81248585467142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64.548797980722398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286.96200000000005</v>
      </c>
      <c r="AK108" s="14">
        <f t="shared" si="89"/>
        <v>68.436169981717853</v>
      </c>
      <c r="AL108" s="22">
        <f t="shared" si="58"/>
        <v>618.98514605149205</v>
      </c>
      <c r="AM108" s="62">
        <f t="shared" si="59"/>
        <v>892.33073864747416</v>
      </c>
      <c r="AN108" s="62">
        <f ca="1">AVERAGE(OFFSET($AM$3,0,0,'Données projet'!$E$10+1,1))-AVERAGE(OFFSET($H$3,0,0,'Données projet'!$E$10+1,1))</f>
        <v>468.39960552661171</v>
      </c>
      <c r="AO108" s="62">
        <f t="shared" si="90"/>
        <v>291.1952427029787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0.37808611225761585</v>
      </c>
      <c r="AW108" s="23">
        <f>EXP(-LN(2)/2)*AW107+(1-EXP(-LN(2)/2))/(LN(2)/2)*AQ108*AT108*VLOOKUP('Données projet'!$B$10,Paramètres!$A$1:$I$89,3,0)*0.475*44/12</f>
        <v>7.2357698635524117E-11</v>
      </c>
      <c r="AX108" s="23">
        <f t="shared" si="60"/>
        <v>0.37808611232997352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64.548797980722398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-9.9316821433603781E-14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373.50005214669716</v>
      </c>
      <c r="BJ108" s="62">
        <f t="shared" si="92"/>
        <v>383.60460086643036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1.9805345142050974</v>
      </c>
      <c r="BR108" s="23">
        <f>EXP(-LN(2)/2)*BR107+(1-EXP(-LN(2)/2))/(LN(2)/2)*BL108*BO108*VLOOKUP('Données projet'!$B$11,Paramètres!$A$1:$I$89,3,0)*0.475*44/12</f>
        <v>7.6631812713308872E-11</v>
      </c>
      <c r="BS108" s="24">
        <f t="shared" si="63"/>
        <v>1.9805345142817292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64.548797980722398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210.13237351083279</v>
      </c>
      <c r="CE108" s="62">
        <f t="shared" si="94"/>
        <v>423.06475179432277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22.371907626027923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1.3684603443078122E-9</v>
      </c>
      <c r="CN108" s="24">
        <f t="shared" si="66"/>
        <v>22.371907627396382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64.548797980722398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333</v>
      </c>
      <c r="CR108" s="13">
        <f>VLOOKUP(A108,'Données projet'!$A$139:$I$159,9,0)</f>
        <v>5.4</v>
      </c>
      <c r="CS108" s="13">
        <f t="array" ref="CS108">INDEX(CR:CR,MIN(IF(ISNUMBER(CR108:CR304),ROW(CR108:CR304),"")))</f>
        <v>5.4</v>
      </c>
      <c r="CT108" s="13">
        <f>IF('Données projet'!$A$140&gt;35,CT107+CS108-DB107,IF(A108&lt;'Données projet'!$A$140,$CQ$205^A108,IF(A108='Données projet'!$A$140,'Données projet'!$B$140,CT107+CS108-DB107)))</f>
        <v>332.99999999999989</v>
      </c>
      <c r="CU108" s="18">
        <f>CT108*VLOOKUP('Données projet'!$B$13,Paramètres!$A$1:$I$89,3,0)*VLOOKUP('Données projet'!$B$13,Paramètres!$A$1:$I$89,5,0)</f>
        <v>301.2983999999999</v>
      </c>
      <c r="CV108" s="14">
        <f t="shared" si="95"/>
        <v>71.448589534990518</v>
      </c>
      <c r="CW108" s="22">
        <f t="shared" si="67"/>
        <v>649.20100677344158</v>
      </c>
      <c r="CX108" s="62">
        <f t="shared" si="68"/>
        <v>922.54659936942369</v>
      </c>
      <c r="CY108" s="62">
        <f ca="1">AVERAGE(OFFSET($CX$3,0,0,'Données projet'!$E$13+1,1))-AVERAGE(OFFSET($H$3,0,0,'Données projet'!$E$13+1,1))</f>
        <v>493.89660144134291</v>
      </c>
      <c r="CZ108" s="62">
        <f t="shared" si="96"/>
        <v>312.97494624463229</v>
      </c>
      <c r="DA108" s="16">
        <f>IF(ISNA(VLOOKUP(A108,'Données projet'!$A$139:$I$159,3,0)),0,VLOOKUP(A108,'Données projet'!$A$139:$I$159,3,0))</f>
        <v>18</v>
      </c>
      <c r="DB108" s="16">
        <f>IF(ISNA(VLOOKUP(A108,'Données projet'!$A$139:$I$159,4,0)),0,VLOOKUP(A108,'Données projet'!$A$139:$I$159,4,0))</f>
        <v>26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1.1413050812086309</v>
      </c>
      <c r="DH108" s="23">
        <f>EXP(-LN(2)/2)*DH107+(1-EXP(-LN(2)/2))/(LN(2)/2)*DB108*DE108*VLOOKUP('Données projet'!$B$13,Paramètres!$A$1:$I$89,3,0)*0.475*44/12</f>
        <v>7.6708985995573791E-11</v>
      </c>
      <c r="DI108" s="24">
        <f t="shared" si="69"/>
        <v>1.14130508128534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64.548797980722398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>
        <f>DO108*VLOOKUP('Données projet'!$B$14,Paramètres!$A$1:$I$89,3,0)*VLOOKUP('Données projet'!$B$14,Paramètres!$A$1:$I$89,5,0)</f>
        <v>0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210.13237351083279</v>
      </c>
      <c r="DU108" s="62">
        <f t="shared" si="98"/>
        <v>423.06475179432277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22.371907626027923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1.3684603443078122E-9</v>
      </c>
      <c r="ED108" s="24">
        <f t="shared" si="72"/>
        <v>22.371907627396382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64.548797980722398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64.548797980722398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64.548797980722398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64.548797980722398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4.5049999999999999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16.518333333333334</v>
      </c>
      <c r="H109" s="70">
        <f t="shared" si="56"/>
        <v>147.64566666666667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64.6433641486949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5.3205440053716299E-14</v>
      </c>
      <c r="P109" s="14">
        <f t="shared" si="87"/>
        <v>8.602146238565607E-13</v>
      </c>
      <c r="Q109" s="22">
        <f t="shared" si="107"/>
        <v>1.590873277977066E-12</v>
      </c>
      <c r="R109" s="62">
        <f t="shared" si="55"/>
        <v>273.69233521188289</v>
      </c>
      <c r="S109" s="62">
        <f ca="1">AVERAGE(OFFSET($R$3,0,0,'Données projet'!$E$9+1,1))-AVERAGE(OFFSET($H$3,0,0,'Données projet'!$E$9+1,1))</f>
        <v>374.81775021423215</v>
      </c>
      <c r="T109" s="62">
        <f t="shared" si="88"/>
        <v>301.81248585467142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64.6433641486949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267.2</v>
      </c>
      <c r="AJ109" s="14">
        <f>AI109*VLOOKUP('Données projet'!$B$10,Paramètres!$A$1:$I$89,3,0)*VLOOKUP('Données projet'!$B$10,Paramètres!$A$1:$I$89,5,0)</f>
        <v>270.94080000000002</v>
      </c>
      <c r="AK109" s="14">
        <f t="shared" si="89"/>
        <v>65.048890354155489</v>
      </c>
      <c r="AL109" s="22">
        <f t="shared" si="58"/>
        <v>585.1820440334875</v>
      </c>
      <c r="AM109" s="62">
        <f t="shared" si="59"/>
        <v>858.8743792453688</v>
      </c>
      <c r="AN109" s="62">
        <f ca="1">AVERAGE(OFFSET($AM$3,0,0,'Données projet'!$E$10+1,1))-AVERAGE(OFFSET($H$3,0,0,'Données projet'!$E$10+1,1))</f>
        <v>468.39960552661171</v>
      </c>
      <c r="AO109" s="62">
        <f t="shared" si="90"/>
        <v>291.1952427029787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0.36774732763524681</v>
      </c>
      <c r="AW109" s="23">
        <f>EXP(-LN(2)/2)*AW108+(1-EXP(-LN(2)/2))/(LN(2)/2)*AQ109*AT109*VLOOKUP('Données projet'!$B$10,Paramètres!$A$1:$I$89,3,0)*0.475*44/12</f>
        <v>5.11646193762317E-11</v>
      </c>
      <c r="AX109" s="23">
        <f t="shared" si="60"/>
        <v>0.36774732768641144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64.6433641486949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-9.9316821433603781E-14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373.50005214669716</v>
      </c>
      <c r="BJ109" s="62">
        <f t="shared" si="92"/>
        <v>383.60460086643036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1.9263766937623754</v>
      </c>
      <c r="BR109" s="23">
        <f>EXP(-LN(2)/2)*BR108+(1-EXP(-LN(2)/2))/(LN(2)/2)*BL109*BO109*VLOOKUP('Données projet'!$B$11,Paramètres!$A$1:$I$89,3,0)*0.475*44/12</f>
        <v>5.4186874424198188E-11</v>
      </c>
      <c r="BS109" s="24">
        <f t="shared" si="63"/>
        <v>1.9263766938165623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64.6433641486949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210.13237351083279</v>
      </c>
      <c r="CE109" s="62">
        <f t="shared" si="94"/>
        <v>423.06475179432277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21.933208162997783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9.6764758924493163E-10</v>
      </c>
      <c r="CN109" s="24">
        <f t="shared" si="66"/>
        <v>21.933208163965432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64.6433641486949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</v>
      </c>
      <c r="CT109" s="13">
        <f>IF('Données projet'!$A$140&gt;35,CT108+CS109-DB108,IF(A109&lt;'Données projet'!$A$140,$CQ$205^A109,IF(A109='Données projet'!$A$140,'Données projet'!$B$140,CT108+CS109-DB108)))</f>
        <v>311.99999999999989</v>
      </c>
      <c r="CU109" s="18">
        <f>CT109*VLOOKUP('Données projet'!$B$13,Paramètres!$A$1:$I$89,3,0)*VLOOKUP('Données projet'!$B$13,Paramètres!$A$1:$I$89,5,0)</f>
        <v>282.29759999999987</v>
      </c>
      <c r="CV109" s="14">
        <f t="shared" si="95"/>
        <v>67.452326629470178</v>
      </c>
      <c r="CW109" s="22">
        <f t="shared" si="67"/>
        <v>609.14778887966042</v>
      </c>
      <c r="CX109" s="62">
        <f t="shared" si="68"/>
        <v>882.84012409154172</v>
      </c>
      <c r="CY109" s="62">
        <f ca="1">AVERAGE(OFFSET($CX$3,0,0,'Données projet'!$E$13+1,1))-AVERAGE(OFFSET($H$3,0,0,'Données projet'!$E$13+1,1))</f>
        <v>493.89660144134291</v>
      </c>
      <c r="CZ109" s="62">
        <f t="shared" si="96"/>
        <v>312.97494624463229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1.1100960337443553</v>
      </c>
      <c r="DH109" s="23">
        <f>EXP(-LN(2)/2)*DH108+(1-EXP(-LN(2)/2))/(LN(2)/2)*DB109*DE109*VLOOKUP('Données projet'!$B$13,Paramètres!$A$1:$I$89,3,0)*0.475*44/12</f>
        <v>5.4241444175414136E-11</v>
      </c>
      <c r="DI109" s="24">
        <f t="shared" si="69"/>
        <v>1.1100960337985968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64.6433641486949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>
        <f>DO109*VLOOKUP('Données projet'!$B$14,Paramètres!$A$1:$I$89,3,0)*VLOOKUP('Données projet'!$B$14,Paramètres!$A$1:$I$89,5,0)</f>
        <v>0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210.13237351083279</v>
      </c>
      <c r="DU109" s="62">
        <f t="shared" si="98"/>
        <v>423.06475179432277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21.933208162997783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9.6764758924493163E-10</v>
      </c>
      <c r="ED109" s="24">
        <f t="shared" si="72"/>
        <v>21.933208163965432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64.6433641486949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64.6433641486949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64.6433641486949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64.6433641486949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4.5049999999999999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16.518333333333334</v>
      </c>
      <c r="H110" s="70">
        <f t="shared" si="56"/>
        <v>147.64566666666667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64.736289805071365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5.3205440053716299E-14</v>
      </c>
      <c r="P110" s="14">
        <f t="shared" si="87"/>
        <v>8.602146238565607E-13</v>
      </c>
      <c r="Q110" s="22">
        <f t="shared" si="107"/>
        <v>1.590873277977066E-12</v>
      </c>
      <c r="R110" s="62">
        <f t="shared" si="55"/>
        <v>274.0330626185966</v>
      </c>
      <c r="S110" s="62">
        <f ca="1">AVERAGE(OFFSET($R$3,0,0,'Données projet'!$E$9+1,1))-AVERAGE(OFFSET($H$3,0,0,'Données projet'!$E$9+1,1))</f>
        <v>374.81775021423215</v>
      </c>
      <c r="T110" s="62">
        <f t="shared" si="88"/>
        <v>301.81248585467142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64.736289805071365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271.39999999999998</v>
      </c>
      <c r="AJ110" s="14">
        <f>AI110*VLOOKUP('Données projet'!$B$10,Paramètres!$A$1:$I$89,3,0)*VLOOKUP('Données projet'!$B$10,Paramètres!$A$1:$I$89,5,0)</f>
        <v>275.19960000000003</v>
      </c>
      <c r="AK110" s="14">
        <f t="shared" si="89"/>
        <v>65.951527620662617</v>
      </c>
      <c r="AL110" s="22">
        <f t="shared" si="58"/>
        <v>594.17154727265404</v>
      </c>
      <c r="AM110" s="62">
        <f t="shared" si="59"/>
        <v>868.20460989124899</v>
      </c>
      <c r="AN110" s="62">
        <f ca="1">AVERAGE(OFFSET($AM$3,0,0,'Données projet'!$E$10+1,1))-AVERAGE(OFFSET($H$3,0,0,'Données projet'!$E$10+1,1))</f>
        <v>468.39960552661171</v>
      </c>
      <c r="AO110" s="62">
        <f t="shared" si="90"/>
        <v>291.1952427029787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0.35769125762206955</v>
      </c>
      <c r="AW110" s="23">
        <f>EXP(-LN(2)/2)*AW109+(1-EXP(-LN(2)/2))/(LN(2)/2)*AQ110*AT110*VLOOKUP('Données projet'!$B$10,Paramètres!$A$1:$I$89,3,0)*0.475*44/12</f>
        <v>3.6178849317762058E-11</v>
      </c>
      <c r="AX110" s="23">
        <f t="shared" si="60"/>
        <v>0.35769125765824838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64.736289805071365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-9.9316821433603781E-14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373.50005214669716</v>
      </c>
      <c r="BJ110" s="62">
        <f t="shared" si="92"/>
        <v>383.60460086643036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1.8736998217676957</v>
      </c>
      <c r="BR110" s="23">
        <f>EXP(-LN(2)/2)*BR109+(1-EXP(-LN(2)/2))/(LN(2)/2)*BL110*BO110*VLOOKUP('Données projet'!$B$11,Paramètres!$A$1:$I$89,3,0)*0.475*44/12</f>
        <v>3.8315906356654436E-11</v>
      </c>
      <c r="BS110" s="24">
        <f t="shared" si="63"/>
        <v>1.8736998218060117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64.736289805071365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210.13237351083279</v>
      </c>
      <c r="CE110" s="62">
        <f t="shared" si="94"/>
        <v>423.06475179432277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21.503111328857415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6.842301721539061E-10</v>
      </c>
      <c r="CN110" s="24">
        <f t="shared" si="66"/>
        <v>21.503111329541646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64.736289805071365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</v>
      </c>
      <c r="CT110" s="13">
        <f>IF('Données projet'!$A$140&gt;35,CT109+CS110-DB109,IF(A110&lt;'Données projet'!$A$140,$CQ$205^A110,IF(A110='Données projet'!$A$140,'Données projet'!$B$140,CT109+CS110-DB109)))</f>
        <v>316.99999999999989</v>
      </c>
      <c r="CU110" s="18">
        <f>CT110*VLOOKUP('Données projet'!$B$13,Paramètres!$A$1:$I$89,3,0)*VLOOKUP('Données projet'!$B$13,Paramètres!$A$1:$I$89,5,0)</f>
        <v>286.82159999999988</v>
      </c>
      <c r="CV110" s="14">
        <f t="shared" si="95"/>
        <v>68.406583284351413</v>
      </c>
      <c r="CW110" s="22">
        <f t="shared" si="67"/>
        <v>618.68908588691181</v>
      </c>
      <c r="CX110" s="62">
        <f t="shared" si="68"/>
        <v>892.72214850550677</v>
      </c>
      <c r="CY110" s="62">
        <f ca="1">AVERAGE(OFFSET($CX$3,0,0,'Données projet'!$E$13+1,1))-AVERAGE(OFFSET($H$3,0,0,'Données projet'!$E$13+1,1))</f>
        <v>493.89660144134291</v>
      </c>
      <c r="CZ110" s="62">
        <f t="shared" si="96"/>
        <v>312.97494624463229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1.0797403993242027</v>
      </c>
      <c r="DH110" s="23">
        <f>EXP(-LN(2)/2)*DH109+(1-EXP(-LN(2)/2))/(LN(2)/2)*DB110*DE110*VLOOKUP('Données projet'!$B$13,Paramètres!$A$1:$I$89,3,0)*0.475*44/12</f>
        <v>3.8354492997786895E-11</v>
      </c>
      <c r="DI110" s="24">
        <f t="shared" si="69"/>
        <v>1.0797403993625572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64.736289805071365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>
        <f>DO110*VLOOKUP('Données projet'!$B$14,Paramètres!$A$1:$I$89,3,0)*VLOOKUP('Données projet'!$B$14,Paramètres!$A$1:$I$89,5,0)</f>
        <v>0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210.13237351083279</v>
      </c>
      <c r="DU110" s="62">
        <f t="shared" si="98"/>
        <v>423.06475179432277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21.503111328857415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6.842301721539061E-10</v>
      </c>
      <c r="ED110" s="24">
        <f t="shared" si="72"/>
        <v>21.503111329541646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64.736289805071365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64.736289805071365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64.736289805071365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64.736289805071365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4.5049999999999999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16.518333333333334</v>
      </c>
      <c r="H111" s="70">
        <f t="shared" si="56"/>
        <v>147.64566666666667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64.827603409060345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5.3205440053716299E-14</v>
      </c>
      <c r="P111" s="14">
        <f t="shared" si="87"/>
        <v>8.602146238565607E-13</v>
      </c>
      <c r="Q111" s="22">
        <f t="shared" si="107"/>
        <v>1.590873277977066E-12</v>
      </c>
      <c r="R111" s="62">
        <f t="shared" si="55"/>
        <v>274.36787916655618</v>
      </c>
      <c r="S111" s="62">
        <f ca="1">AVERAGE(OFFSET($R$3,0,0,'Données projet'!$E$9+1,1))-AVERAGE(OFFSET($H$3,0,0,'Données projet'!$E$9+1,1))</f>
        <v>374.81775021423215</v>
      </c>
      <c r="T111" s="62">
        <f t="shared" si="88"/>
        <v>301.81248585467142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64.827603409060345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275.59999999999997</v>
      </c>
      <c r="AJ111" s="14">
        <f>AI111*VLOOKUP('Données projet'!$B$10,Paramètres!$A$1:$I$89,3,0)*VLOOKUP('Données projet'!$B$10,Paramètres!$A$1:$I$89,5,0)</f>
        <v>279.45839999999998</v>
      </c>
      <c r="AK111" s="14">
        <f t="shared" si="89"/>
        <v>66.852540337772723</v>
      </c>
      <c r="AL111" s="22">
        <f t="shared" si="58"/>
        <v>603.15822108828741</v>
      </c>
      <c r="AM111" s="62">
        <f t="shared" si="59"/>
        <v>877.52610025484205</v>
      </c>
      <c r="AN111" s="62">
        <f ca="1">AVERAGE(OFFSET($AM$3,0,0,'Données projet'!$E$10+1,1))-AVERAGE(OFFSET($H$3,0,0,'Données projet'!$E$10+1,1))</f>
        <v>468.39960552661171</v>
      </c>
      <c r="AO111" s="62">
        <f t="shared" si="90"/>
        <v>291.1952427029787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0.34791017137222835</v>
      </c>
      <c r="AW111" s="23">
        <f>EXP(-LN(2)/2)*AW110+(1-EXP(-LN(2)/2))/(LN(2)/2)*AQ111*AT111*VLOOKUP('Données projet'!$B$10,Paramètres!$A$1:$I$89,3,0)*0.475*44/12</f>
        <v>2.558230968811585E-11</v>
      </c>
      <c r="AX111" s="23">
        <f t="shared" si="60"/>
        <v>0.34791017139781066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64.827603409060345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-9.9316821433603781E-14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373.50005214669716</v>
      </c>
      <c r="BJ111" s="62">
        <f t="shared" si="92"/>
        <v>383.60460086643036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1.8224634016078669</v>
      </c>
      <c r="BR111" s="23">
        <f>EXP(-LN(2)/2)*BR110+(1-EXP(-LN(2)/2))/(LN(2)/2)*BL111*BO111*VLOOKUP('Données projet'!$B$11,Paramètres!$A$1:$I$89,3,0)*0.475*44/12</f>
        <v>2.7093437212099094E-11</v>
      </c>
      <c r="BS111" s="24">
        <f t="shared" si="63"/>
        <v>1.8224634016349603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64.827603409060345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210.13237351083279</v>
      </c>
      <c r="CE111" s="62">
        <f t="shared" si="94"/>
        <v>423.06475179432277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21.081448431301371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4.8382379462246581E-10</v>
      </c>
      <c r="CN111" s="24">
        <f t="shared" si="66"/>
        <v>21.081448431785194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64.827603409060345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</v>
      </c>
      <c r="CT111" s="13">
        <f>IF('Données projet'!$A$140&gt;35,CT110+CS111-DB110,IF(A111&lt;'Données projet'!$A$140,$CQ$205^A111,IF(A111='Données projet'!$A$140,'Données projet'!$B$140,CT110+CS111-DB110)))</f>
        <v>321.99999999999989</v>
      </c>
      <c r="CU111" s="18">
        <f>CT111*VLOOKUP('Données projet'!$B$13,Paramètres!$A$1:$I$89,3,0)*VLOOKUP('Données projet'!$B$13,Paramètres!$A$1:$I$89,5,0)</f>
        <v>291.34559999999993</v>
      </c>
      <c r="CV111" s="14">
        <f t="shared" si="95"/>
        <v>69.359089490698707</v>
      </c>
      <c r="CW111" s="22">
        <f t="shared" si="67"/>
        <v>628.22733419630015</v>
      </c>
      <c r="CX111" s="62">
        <f t="shared" si="68"/>
        <v>902.59521336285479</v>
      </c>
      <c r="CY111" s="62">
        <f ca="1">AVERAGE(OFFSET($CX$3,0,0,'Données projet'!$E$13+1,1))-AVERAGE(OFFSET($H$3,0,0,'Données projet'!$E$13+1,1))</f>
        <v>493.89660144134291</v>
      </c>
      <c r="CZ111" s="62">
        <f t="shared" si="96"/>
        <v>312.97494624463229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1.0502148413236025</v>
      </c>
      <c r="DH111" s="23">
        <f>EXP(-LN(2)/2)*DH110+(1-EXP(-LN(2)/2))/(LN(2)/2)*DB111*DE111*VLOOKUP('Données projet'!$B$13,Paramètres!$A$1:$I$89,3,0)*0.475*44/12</f>
        <v>2.7120722087707068E-11</v>
      </c>
      <c r="DI111" s="24">
        <f t="shared" si="69"/>
        <v>1.0502148413507233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64.827603409060345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>
        <f>DO111*VLOOKUP('Données projet'!$B$14,Paramètres!$A$1:$I$89,3,0)*VLOOKUP('Données projet'!$B$14,Paramètres!$A$1:$I$89,5,0)</f>
        <v>0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210.13237351083279</v>
      </c>
      <c r="DU111" s="62">
        <f t="shared" si="98"/>
        <v>423.06475179432277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21.081448431301371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4.8382379462246581E-10</v>
      </c>
      <c r="ED111" s="24">
        <f t="shared" si="72"/>
        <v>21.081448431785194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64.827603409060345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64.827603409060345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64.827603409060345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64.827603409060345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4.5049999999999999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16.518333333333334</v>
      </c>
      <c r="H112" s="70">
        <f t="shared" si="56"/>
        <v>147.64566666666667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64.917332926166736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5.3205440053716299E-14</v>
      </c>
      <c r="P112" s="14">
        <f t="shared" si="87"/>
        <v>8.602146238565607E-13</v>
      </c>
      <c r="Q112" s="22">
        <f t="shared" si="107"/>
        <v>1.590873277977066E-12</v>
      </c>
      <c r="R112" s="62">
        <f t="shared" si="55"/>
        <v>274.69688739594631</v>
      </c>
      <c r="S112" s="62">
        <f ca="1">AVERAGE(OFFSET($R$3,0,0,'Données projet'!$E$9+1,1))-AVERAGE(OFFSET($H$3,0,0,'Données projet'!$E$9+1,1))</f>
        <v>374.81775021423215</v>
      </c>
      <c r="T112" s="62">
        <f t="shared" si="88"/>
        <v>301.81248585467142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64.917332926166736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279.79999999999995</v>
      </c>
      <c r="AJ112" s="14">
        <f>AI112*VLOOKUP('Données projet'!$B$10,Paramètres!$A$1:$I$89,3,0)*VLOOKUP('Données projet'!$B$10,Paramètres!$A$1:$I$89,5,0)</f>
        <v>283.71719999999999</v>
      </c>
      <c r="AK112" s="14">
        <f t="shared" si="89"/>
        <v>67.751956122170697</v>
      </c>
      <c r="AL112" s="22">
        <f t="shared" si="58"/>
        <v>612.14211357944725</v>
      </c>
      <c r="AM112" s="62">
        <f t="shared" si="59"/>
        <v>886.83900097539197</v>
      </c>
      <c r="AN112" s="62">
        <f ca="1">AVERAGE(OFFSET($AM$3,0,0,'Données projet'!$E$10+1,1))-AVERAGE(OFFSET($H$3,0,0,'Données projet'!$E$10+1,1))</f>
        <v>468.39960552661171</v>
      </c>
      <c r="AO112" s="62">
        <f t="shared" si="90"/>
        <v>291.1952427029787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0.33839654944025399</v>
      </c>
      <c r="AW112" s="23">
        <f>EXP(-LN(2)/2)*AW111+(1-EXP(-LN(2)/2))/(LN(2)/2)*AQ112*AT112*VLOOKUP('Données projet'!$B$10,Paramètres!$A$1:$I$89,3,0)*0.475*44/12</f>
        <v>1.8089424658881029E-11</v>
      </c>
      <c r="AX112" s="23">
        <f t="shared" si="60"/>
        <v>0.33839654945834341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64.917332926166736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-9.9316821433603781E-14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373.50005214669716</v>
      </c>
      <c r="BJ112" s="62">
        <f t="shared" si="92"/>
        <v>383.60460086643036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1.7726280440517148</v>
      </c>
      <c r="BR112" s="23">
        <f>EXP(-LN(2)/2)*BR111+(1-EXP(-LN(2)/2))/(LN(2)/2)*BL112*BO112*VLOOKUP('Données projet'!$B$11,Paramètres!$A$1:$I$89,3,0)*0.475*44/12</f>
        <v>1.9157953178327218E-11</v>
      </c>
      <c r="BS112" s="24">
        <f t="shared" si="63"/>
        <v>1.7726280440708728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64.917332926166736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210.13237351083279</v>
      </c>
      <c r="CE112" s="62">
        <f t="shared" si="94"/>
        <v>423.06475179432277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20.668054085977431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3.4211508607695305E-10</v>
      </c>
      <c r="CN112" s="24">
        <f t="shared" si="66"/>
        <v>20.668054086319547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64.917332926166736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5</v>
      </c>
      <c r="CT112" s="13">
        <f>IF('Données projet'!$A$140&gt;35,CT111+CS112-DB111,IF(A112&lt;'Données projet'!$A$140,$CQ$205^A112,IF(A112='Données projet'!$A$140,'Données projet'!$B$140,CT111+CS112-DB111)))</f>
        <v>326.99999999999989</v>
      </c>
      <c r="CU112" s="18">
        <f>CT112*VLOOKUP('Données projet'!$B$13,Paramètres!$A$1:$I$89,3,0)*VLOOKUP('Données projet'!$B$13,Paramètres!$A$1:$I$89,5,0)</f>
        <v>295.86959999999988</v>
      </c>
      <c r="CV112" s="14">
        <f t="shared" si="95"/>
        <v>70.309875568291218</v>
      </c>
      <c r="CW112" s="22">
        <f t="shared" si="67"/>
        <v>637.76258661477357</v>
      </c>
      <c r="CX112" s="62">
        <f t="shared" si="68"/>
        <v>912.45947401071828</v>
      </c>
      <c r="CY112" s="62">
        <f ca="1">AVERAGE(OFFSET($CX$3,0,0,'Données projet'!$E$13+1,1))-AVERAGE(OFFSET($H$3,0,0,'Données projet'!$E$13+1,1))</f>
        <v>493.89660144134291</v>
      </c>
      <c r="CZ112" s="62">
        <f t="shared" si="96"/>
        <v>312.97494624463229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1.0214966612592105</v>
      </c>
      <c r="DH112" s="23">
        <f>EXP(-LN(2)/2)*DH111+(1-EXP(-LN(2)/2))/(LN(2)/2)*DB112*DE112*VLOOKUP('Données projet'!$B$13,Paramètres!$A$1:$I$89,3,0)*0.475*44/12</f>
        <v>1.9177246498893448E-11</v>
      </c>
      <c r="DI112" s="24">
        <f t="shared" si="69"/>
        <v>1.0214966612783878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64.917332926166736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>
        <f>DO112*VLOOKUP('Données projet'!$B$14,Paramètres!$A$1:$I$89,3,0)*VLOOKUP('Données projet'!$B$14,Paramètres!$A$1:$I$89,5,0)</f>
        <v>0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210.13237351083279</v>
      </c>
      <c r="DU112" s="62">
        <f t="shared" si="98"/>
        <v>423.06475179432277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20.668054085977431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3.4211508607695305E-10</v>
      </c>
      <c r="ED112" s="24">
        <f t="shared" si="72"/>
        <v>20.668054086319547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64.917332926166736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64.917332926166736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64.917332926166736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64.917332926166736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4.5049999999999999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16.518333333333334</v>
      </c>
      <c r="H113" s="70">
        <f t="shared" si="56"/>
        <v>147.64566666666667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65.005505836756498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5.3205440053716299E-14</v>
      </c>
      <c r="P113" s="14">
        <f t="shared" si="87"/>
        <v>8.602146238565607E-13</v>
      </c>
      <c r="Q113" s="22">
        <f t="shared" si="107"/>
        <v>1.590873277977066E-12</v>
      </c>
      <c r="R113" s="62">
        <f t="shared" si="55"/>
        <v>275.02018806810878</v>
      </c>
      <c r="S113" s="62">
        <f ca="1">AVERAGE(OFFSET($R$3,0,0,'Données projet'!$E$9+1,1))-AVERAGE(OFFSET($H$3,0,0,'Données projet'!$E$9+1,1))</f>
        <v>374.81775021423215</v>
      </c>
      <c r="T113" s="62">
        <f t="shared" si="88"/>
        <v>301.81248585467142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65.005505836756498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284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283.99999999999994</v>
      </c>
      <c r="AJ113" s="14">
        <f>AI113*VLOOKUP('Données projet'!$B$10,Paramètres!$A$1:$I$89,3,0)*VLOOKUP('Données projet'!$B$10,Paramètres!$A$1:$I$89,5,0)</f>
        <v>287.97599999999994</v>
      </c>
      <c r="AK113" s="14">
        <f t="shared" si="89"/>
        <v>68.649801713863141</v>
      </c>
      <c r="AL113" s="22">
        <f t="shared" si="58"/>
        <v>621.12327131831148</v>
      </c>
      <c r="AM113" s="62">
        <f t="shared" si="59"/>
        <v>896.14345938641873</v>
      </c>
      <c r="AN113" s="62">
        <f ca="1">AVERAGE(OFFSET($AM$3,0,0,'Données projet'!$E$10+1,1))-AVERAGE(OFFSET($H$3,0,0,'Données projet'!$E$10+1,1))</f>
        <v>468.39960552661171</v>
      </c>
      <c r="AO113" s="62">
        <f t="shared" si="90"/>
        <v>291.1952427029787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0.32914307800030912</v>
      </c>
      <c r="AW113" s="23">
        <f>EXP(-LN(2)/2)*AW112+(1-EXP(-LN(2)/2))/(LN(2)/2)*AQ113*AT113*VLOOKUP('Données projet'!$B$10,Paramètres!$A$1:$I$89,3,0)*0.475*44/12</f>
        <v>1.2791154844057925E-11</v>
      </c>
      <c r="AX113" s="23">
        <f t="shared" si="60"/>
        <v>0.32914307801310028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65.005505836756498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-9.9316821433603781E-14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373.50005214669716</v>
      </c>
      <c r="BJ113" s="62">
        <f t="shared" si="92"/>
        <v>383.60460086643036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1.7241554369686631</v>
      </c>
      <c r="BR113" s="23">
        <f>EXP(-LN(2)/2)*BR112+(1-EXP(-LN(2)/2))/(LN(2)/2)*BL113*BO113*VLOOKUP('Données projet'!$B$11,Paramètres!$A$1:$I$89,3,0)*0.475*44/12</f>
        <v>1.3546718606049547E-11</v>
      </c>
      <c r="BS113" s="24">
        <f t="shared" si="63"/>
        <v>1.7241554369822099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65.005505836756498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210.13237351083279</v>
      </c>
      <c r="CE113" s="62">
        <f t="shared" si="94"/>
        <v>423.06475179432277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20.26276615161964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2.4191189731123291E-10</v>
      </c>
      <c r="CN113" s="24">
        <f t="shared" si="66"/>
        <v>20.262766151861552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65.005505836756498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332</v>
      </c>
      <c r="CR113" s="13">
        <f>VLOOKUP(A113,'Données projet'!$A$139:$I$159,9,0)</f>
        <v>5</v>
      </c>
      <c r="CS113" s="13">
        <f t="array" ref="CS113">INDEX(CR:CR,MIN(IF(ISNUMBER(CR113:CR309),ROW(CR113:CR309),"")))</f>
        <v>5</v>
      </c>
      <c r="CT113" s="13">
        <f>IF('Données projet'!$A$140&gt;35,CT112+CS113-DB112,IF(A113&lt;'Données projet'!$A$140,$CQ$205^A113,IF(A113='Données projet'!$A$140,'Données projet'!$B$140,CT112+CS113-DB112)))</f>
        <v>331.99999999999989</v>
      </c>
      <c r="CU113" s="18">
        <f>CT113*VLOOKUP('Données projet'!$B$13,Paramètres!$A$1:$I$89,3,0)*VLOOKUP('Données projet'!$B$13,Paramètres!$A$1:$I$89,5,0)</f>
        <v>300.39359999999988</v>
      </c>
      <c r="CV113" s="14">
        <f t="shared" si="95"/>
        <v>71.258970856492667</v>
      </c>
      <c r="CW113" s="22">
        <f t="shared" si="67"/>
        <v>647.29489424172459</v>
      </c>
      <c r="CX113" s="62">
        <f t="shared" si="68"/>
        <v>922.31508230983172</v>
      </c>
      <c r="CY113" s="62">
        <f ca="1">AVERAGE(OFFSET($CX$3,0,0,'Données projet'!$E$13+1,1))-AVERAGE(OFFSET($H$3,0,0,'Données projet'!$E$13+1,1))</f>
        <v>493.89660144134291</v>
      </c>
      <c r="CZ113" s="62">
        <f t="shared" si="96"/>
        <v>312.97494624463229</v>
      </c>
      <c r="DA113" s="16">
        <f>IF(ISNA(VLOOKUP(A113,'Données projet'!$A$139:$I$159,3,0)),0,VLOOKUP(A113,'Données projet'!$A$139:$I$159,3,0))</f>
        <v>19</v>
      </c>
      <c r="DB113" s="16">
        <f>IF(ISNA(VLOOKUP(A113,'Données projet'!$A$139:$I$159,4,0)),0,VLOOKUP(A113,'Données projet'!$A$139:$I$159,4,0))</f>
        <v>25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0.99356378133890255</v>
      </c>
      <c r="DH113" s="23">
        <f>EXP(-LN(2)/2)*DH112+(1-EXP(-LN(2)/2))/(LN(2)/2)*DB113*DE113*VLOOKUP('Données projet'!$B$13,Paramètres!$A$1:$I$89,3,0)*0.475*44/12</f>
        <v>1.3560361043853534E-11</v>
      </c>
      <c r="DI113" s="24">
        <f t="shared" si="69"/>
        <v>0.99356378135246293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65.005505836756498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>
        <f>DO113*VLOOKUP('Données projet'!$B$14,Paramètres!$A$1:$I$89,3,0)*VLOOKUP('Données projet'!$B$14,Paramètres!$A$1:$I$89,5,0)</f>
        <v>0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210.13237351083279</v>
      </c>
      <c r="DU113" s="62">
        <f t="shared" si="98"/>
        <v>423.06475179432277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20.26276615161964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2.4191189731123291E-10</v>
      </c>
      <c r="ED113" s="24">
        <f t="shared" si="72"/>
        <v>20.262766151861552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65.005505836756498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65.005505836756498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65.005505836756498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65.005505836756498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4.5049999999999999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16.518333333333334</v>
      </c>
      <c r="H114" s="70">
        <f t="shared" si="56"/>
        <v>147.64566666666667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65.0921491444726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5.3205440053716299E-14</v>
      </c>
      <c r="P114" s="14">
        <f t="shared" si="87"/>
        <v>8.602146238565607E-13</v>
      </c>
      <c r="Q114" s="22">
        <f t="shared" si="107"/>
        <v>1.590873277977066E-12</v>
      </c>
      <c r="R114" s="62">
        <f t="shared" si="55"/>
        <v>275.33788019640116</v>
      </c>
      <c r="S114" s="62">
        <f ca="1">AVERAGE(OFFSET($R$3,0,0,'Données projet'!$E$9+1,1))-AVERAGE(OFFSET($H$3,0,0,'Données projet'!$E$9+1,1))</f>
        <v>374.81775021423215</v>
      </c>
      <c r="T114" s="62">
        <f t="shared" si="88"/>
        <v>301.81248585467142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65.0921491444726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268.79999999999995</v>
      </c>
      <c r="AJ114" s="14">
        <f>AI114*VLOOKUP('Données projet'!$B$10,Paramètres!$A$1:$I$89,3,0)*VLOOKUP('Données projet'!$B$10,Paramètres!$A$1:$I$89,5,0)</f>
        <v>272.56319999999994</v>
      </c>
      <c r="AK114" s="14">
        <f t="shared" si="89"/>
        <v>65.392945522034609</v>
      </c>
      <c r="AL114" s="22">
        <f t="shared" si="58"/>
        <v>588.60695345087686</v>
      </c>
      <c r="AM114" s="62">
        <f t="shared" si="59"/>
        <v>863.94483364727648</v>
      </c>
      <c r="AN114" s="62">
        <f ca="1">AVERAGE(OFFSET($AM$3,0,0,'Données projet'!$E$10+1,1))-AVERAGE(OFFSET($H$3,0,0,'Données projet'!$E$10+1,1))</f>
        <v>468.39960552661171</v>
      </c>
      <c r="AO114" s="62">
        <f t="shared" si="90"/>
        <v>291.1952427029787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0.32014264322350844</v>
      </c>
      <c r="AW114" s="23">
        <f>EXP(-LN(2)/2)*AW113+(1-EXP(-LN(2)/2))/(LN(2)/2)*AQ114*AT114*VLOOKUP('Données projet'!$B$10,Paramètres!$A$1:$I$89,3,0)*0.475*44/12</f>
        <v>9.0447123294405146E-12</v>
      </c>
      <c r="AX114" s="23">
        <f t="shared" si="60"/>
        <v>0.32014264323255315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65.0921491444726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-9.9316821433603781E-14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373.50005214669716</v>
      </c>
      <c r="BJ114" s="62">
        <f t="shared" si="92"/>
        <v>383.60460086643036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1.6770083158753613</v>
      </c>
      <c r="BR114" s="23">
        <f>EXP(-LN(2)/2)*BR113+(1-EXP(-LN(2)/2))/(LN(2)/2)*BL114*BO114*VLOOKUP('Données projet'!$B$11,Paramètres!$A$1:$I$89,3,0)*0.475*44/12</f>
        <v>9.5789765891636089E-12</v>
      </c>
      <c r="BS114" s="24">
        <f t="shared" si="63"/>
        <v>1.6770083158849403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65.0921491444726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210.13237351083279</v>
      </c>
      <c r="CE114" s="62">
        <f t="shared" si="94"/>
        <v>423.06475179432277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19.865425666453376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1.7105754303847652E-10</v>
      </c>
      <c r="CN114" s="24">
        <f t="shared" si="66"/>
        <v>19.865425666624432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65.0921491444726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4.5999999999999996</v>
      </c>
      <c r="CT114" s="13">
        <f>IF('Données projet'!$A$140&gt;35,CT113+CS114-DB113,IF(A114&lt;'Données projet'!$A$140,$CQ$205^A114,IF(A114='Données projet'!$A$140,'Données projet'!$B$140,CT113+CS114-DB113)))</f>
        <v>311.59999999999991</v>
      </c>
      <c r="CU114" s="18">
        <f>CT114*VLOOKUP('Données projet'!$B$13,Paramètres!$A$1:$I$89,3,0)*VLOOKUP('Données projet'!$B$13,Paramètres!$A$1:$I$89,5,0)</f>
        <v>281.93567999999988</v>
      </c>
      <c r="CV114" s="14">
        <f t="shared" si="95"/>
        <v>67.375909546040361</v>
      </c>
      <c r="CW114" s="22">
        <f t="shared" si="67"/>
        <v>608.38435179268674</v>
      </c>
      <c r="CX114" s="62">
        <f t="shared" si="68"/>
        <v>883.72223198908637</v>
      </c>
      <c r="CY114" s="62">
        <f ca="1">AVERAGE(OFFSET($CX$3,0,0,'Données projet'!$E$13+1,1))-AVERAGE(OFFSET($H$3,0,0,'Données projet'!$E$13+1,1))</f>
        <v>493.89660144134291</v>
      </c>
      <c r="CZ114" s="62">
        <f t="shared" si="96"/>
        <v>312.97494624463229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0.96639472748894184</v>
      </c>
      <c r="DH114" s="23">
        <f>EXP(-LN(2)/2)*DH113+(1-EXP(-LN(2)/2))/(LN(2)/2)*DB114*DE114*VLOOKUP('Données projet'!$B$13,Paramètres!$A$1:$I$89,3,0)*0.475*44/12</f>
        <v>9.5886232494467239E-12</v>
      </c>
      <c r="DI114" s="24">
        <f t="shared" si="69"/>
        <v>0.9663947274985305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65.0921491444726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>
        <f>DO114*VLOOKUP('Données projet'!$B$14,Paramètres!$A$1:$I$89,3,0)*VLOOKUP('Données projet'!$B$14,Paramètres!$A$1:$I$89,5,0)</f>
        <v>0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210.13237351083279</v>
      </c>
      <c r="DU114" s="62">
        <f t="shared" si="98"/>
        <v>423.06475179432277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19.865425666453376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1.7105754303847652E-10</v>
      </c>
      <c r="ED114" s="24">
        <f t="shared" si="72"/>
        <v>19.865425666624432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65.0921491444726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65.0921491444726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65.0921491444726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65.0921491444726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4.5049999999999999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16.518333333333334</v>
      </c>
      <c r="H115" s="70">
        <f t="shared" si="56"/>
        <v>147.64566666666667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65.177289384505258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5.3205440053716299E-14</v>
      </c>
      <c r="P115" s="14">
        <f t="shared" si="87"/>
        <v>8.602146238565607E-13</v>
      </c>
      <c r="Q115" s="22">
        <f t="shared" si="107"/>
        <v>1.590873277977066E-12</v>
      </c>
      <c r="R115" s="62">
        <f t="shared" si="55"/>
        <v>275.6500610765209</v>
      </c>
      <c r="S115" s="62">
        <f ca="1">AVERAGE(OFFSET($R$3,0,0,'Données projet'!$E$9+1,1))-AVERAGE(OFFSET($H$3,0,0,'Données projet'!$E$9+1,1))</f>
        <v>374.81775021423215</v>
      </c>
      <c r="T115" s="62">
        <f t="shared" si="88"/>
        <v>301.81248585467142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65.177289384505258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272.59999999999997</v>
      </c>
      <c r="AJ115" s="14">
        <f>AI115*VLOOKUP('Données projet'!$B$10,Paramètres!$A$1:$I$89,3,0)*VLOOKUP('Données projet'!$B$10,Paramètres!$A$1:$I$89,5,0)</f>
        <v>276.41640000000001</v>
      </c>
      <c r="AK115" s="14">
        <f t="shared" si="89"/>
        <v>66.209124371313408</v>
      </c>
      <c r="AL115" s="22">
        <f t="shared" si="58"/>
        <v>596.7394549467042</v>
      </c>
      <c r="AM115" s="62">
        <f t="shared" si="59"/>
        <v>872.38951602322345</v>
      </c>
      <c r="AN115" s="62">
        <f ca="1">AVERAGE(OFFSET($AM$3,0,0,'Données projet'!$E$10+1,1))-AVERAGE(OFFSET($H$3,0,0,'Données projet'!$E$10+1,1))</f>
        <v>468.39960552661171</v>
      </c>
      <c r="AO115" s="62">
        <f t="shared" si="90"/>
        <v>291.1952427029787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0.31138832580899167</v>
      </c>
      <c r="AW115" s="23">
        <f>EXP(-LN(2)/2)*AW114+(1-EXP(-LN(2)/2))/(LN(2)/2)*AQ115*AT115*VLOOKUP('Données projet'!$B$10,Paramètres!$A$1:$I$89,3,0)*0.475*44/12</f>
        <v>6.3955774220289625E-12</v>
      </c>
      <c r="AX115" s="23">
        <f t="shared" si="60"/>
        <v>0.31138832581538722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65.177289384505258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-9.9316821433603781E-14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373.50005214669716</v>
      </c>
      <c r="BJ115" s="62">
        <f t="shared" si="92"/>
        <v>383.60460086643036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1.6311504352877151</v>
      </c>
      <c r="BR115" s="23">
        <f>EXP(-LN(2)/2)*BR114+(1-EXP(-LN(2)/2))/(LN(2)/2)*BL115*BO115*VLOOKUP('Données projet'!$B$11,Paramètres!$A$1:$I$89,3,0)*0.475*44/12</f>
        <v>6.7733593030247734E-12</v>
      </c>
      <c r="BS115" s="24">
        <f t="shared" si="63"/>
        <v>1.6311504352944883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65.177289384505258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210.13237351083279</v>
      </c>
      <c r="CE115" s="62">
        <f t="shared" si="94"/>
        <v>423.06475179432277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19.475876785847454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1.2095594865561645E-10</v>
      </c>
      <c r="CN115" s="24">
        <f t="shared" si="66"/>
        <v>19.47587678596841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65.177289384505258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4.5999999999999996</v>
      </c>
      <c r="CT115" s="13">
        <f>IF('Données projet'!$A$140&gt;35,CT114+CS115-DB114,IF(A115&lt;'Données projet'!$A$140,$CQ$205^A115,IF(A115='Données projet'!$A$140,'Données projet'!$B$140,CT114+CS115-DB114)))</f>
        <v>316.19999999999993</v>
      </c>
      <c r="CU115" s="18">
        <f>CT115*VLOOKUP('Données projet'!$B$13,Paramètres!$A$1:$I$89,3,0)*VLOOKUP('Données projet'!$B$13,Paramètres!$A$1:$I$89,5,0)</f>
        <v>286.09775999999994</v>
      </c>
      <c r="CV115" s="14">
        <f t="shared" si="95"/>
        <v>68.254020651723678</v>
      </c>
      <c r="CW115" s="22">
        <f t="shared" si="67"/>
        <v>617.16268463508527</v>
      </c>
      <c r="CX115" s="62">
        <f t="shared" si="68"/>
        <v>892.81274571160452</v>
      </c>
      <c r="CY115" s="62">
        <f ca="1">AVERAGE(OFFSET($CX$3,0,0,'Données projet'!$E$13+1,1))-AVERAGE(OFFSET($H$3,0,0,'Données projet'!$E$13+1,1))</f>
        <v>493.89660144134291</v>
      </c>
      <c r="CZ115" s="62">
        <f t="shared" si="96"/>
        <v>312.97494624463229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0.93996861284526678</v>
      </c>
      <c r="DH115" s="23">
        <f>EXP(-LN(2)/2)*DH114+(1-EXP(-LN(2)/2))/(LN(2)/2)*DB115*DE115*VLOOKUP('Données projet'!$B$13,Paramètres!$A$1:$I$89,3,0)*0.475*44/12</f>
        <v>6.7801805219267669E-12</v>
      </c>
      <c r="DI115" s="24">
        <f t="shared" si="69"/>
        <v>0.93996861285204691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65.177289384505258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>
        <f>DO115*VLOOKUP('Données projet'!$B$14,Paramètres!$A$1:$I$89,3,0)*VLOOKUP('Données projet'!$B$14,Paramètres!$A$1:$I$89,5,0)</f>
        <v>0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210.13237351083279</v>
      </c>
      <c r="DU115" s="62">
        <f t="shared" si="98"/>
        <v>423.06475179432277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19.475876785847454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1.2095594865561645E-10</v>
      </c>
      <c r="ED115" s="24">
        <f t="shared" si="72"/>
        <v>19.47587678596841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65.177289384505258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65.177289384505258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65.177289384505258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65.177289384505258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4.5049999999999999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16.518333333333334</v>
      </c>
      <c r="H116" s="70">
        <f t="shared" si="56"/>
        <v>147.64566666666667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65.260952631718411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5.3205440053716299E-14</v>
      </c>
      <c r="P116" s="14">
        <f t="shared" si="87"/>
        <v>8.602146238565607E-13</v>
      </c>
      <c r="Q116" s="22">
        <f t="shared" si="107"/>
        <v>1.590873277977066E-12</v>
      </c>
      <c r="R116" s="62">
        <f t="shared" si="55"/>
        <v>275.9568263163024</v>
      </c>
      <c r="S116" s="62">
        <f ca="1">AVERAGE(OFFSET($R$3,0,0,'Données projet'!$E$9+1,1))-AVERAGE(OFFSET($H$3,0,0,'Données projet'!$E$9+1,1))</f>
        <v>374.81775021423215</v>
      </c>
      <c r="T116" s="62">
        <f t="shared" si="88"/>
        <v>301.81248585467142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65.260952631718411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276.39999999999998</v>
      </c>
      <c r="AJ116" s="14">
        <f>AI116*VLOOKUP('Données projet'!$B$10,Paramètres!$A$1:$I$89,3,0)*VLOOKUP('Données projet'!$B$10,Paramètres!$A$1:$I$89,5,0)</f>
        <v>280.26960000000003</v>
      </c>
      <c r="AK116" s="14">
        <f t="shared" si="89"/>
        <v>67.023979919595945</v>
      </c>
      <c r="AL116" s="22">
        <f t="shared" si="58"/>
        <v>604.8696516932963</v>
      </c>
      <c r="AM116" s="62">
        <f t="shared" si="59"/>
        <v>880.82647800959717</v>
      </c>
      <c r="AN116" s="62">
        <f ca="1">AVERAGE(OFFSET($AM$3,0,0,'Données projet'!$E$10+1,1))-AVERAGE(OFFSET($H$3,0,0,'Données projet'!$E$10+1,1))</f>
        <v>468.39960552661171</v>
      </c>
      <c r="AO116" s="62">
        <f t="shared" si="90"/>
        <v>291.1952427029787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0.30287339566454441</v>
      </c>
      <c r="AW116" s="23">
        <f>EXP(-LN(2)/2)*AW115+(1-EXP(-LN(2)/2))/(LN(2)/2)*AQ116*AT116*VLOOKUP('Données projet'!$B$10,Paramètres!$A$1:$I$89,3,0)*0.475*44/12</f>
        <v>4.5223561647202573E-12</v>
      </c>
      <c r="AX116" s="23">
        <f t="shared" si="60"/>
        <v>0.30287339566906679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65.260952631718411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-9.9316821433603781E-14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373.50005214669716</v>
      </c>
      <c r="BJ116" s="62">
        <f t="shared" si="92"/>
        <v>383.60460086643036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1.5865465408562991</v>
      </c>
      <c r="BR116" s="23">
        <f>EXP(-LN(2)/2)*BR115+(1-EXP(-LN(2)/2))/(LN(2)/2)*BL116*BO116*VLOOKUP('Données projet'!$B$11,Paramètres!$A$1:$I$89,3,0)*0.475*44/12</f>
        <v>4.7894882945818045E-12</v>
      </c>
      <c r="BS116" s="24">
        <f t="shared" si="63"/>
        <v>1.5865465408610886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65.260952631718411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210.13237351083279</v>
      </c>
      <c r="CE116" s="62">
        <f t="shared" si="94"/>
        <v>423.06475179432277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19.09396672118886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8.5528771519238262E-11</v>
      </c>
      <c r="CN116" s="24">
        <f t="shared" si="66"/>
        <v>19.093966721274388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65.260952631718411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4.5999999999999996</v>
      </c>
      <c r="CT116" s="13">
        <f>IF('Données projet'!$A$140&gt;35,CT115+CS116-DB115,IF(A116&lt;'Données projet'!$A$140,$CQ$205^A116,IF(A116='Données projet'!$A$140,'Données projet'!$B$140,CT115+CS116-DB115)))</f>
        <v>320.79999999999995</v>
      </c>
      <c r="CU116" s="18">
        <f>CT116*VLOOKUP('Données projet'!$B$13,Paramètres!$A$1:$I$89,3,0)*VLOOKUP('Données projet'!$B$13,Paramètres!$A$1:$I$89,5,0)</f>
        <v>290.25983999999994</v>
      </c>
      <c r="CV116" s="14">
        <f t="shared" si="95"/>
        <v>69.130646003237317</v>
      </c>
      <c r="CW116" s="22">
        <f t="shared" si="67"/>
        <v>625.93842978897146</v>
      </c>
      <c r="CX116" s="62">
        <f t="shared" si="68"/>
        <v>901.89525610527221</v>
      </c>
      <c r="CY116" s="62">
        <f ca="1">AVERAGE(OFFSET($CX$3,0,0,'Données projet'!$E$13+1,1))-AVERAGE(OFFSET($H$3,0,0,'Données projet'!$E$13+1,1))</f>
        <v>493.89660144134291</v>
      </c>
      <c r="CZ116" s="62">
        <f t="shared" si="96"/>
        <v>312.97494624463229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0.91426512169621199</v>
      </c>
      <c r="DH116" s="23">
        <f>EXP(-LN(2)/2)*DH115+(1-EXP(-LN(2)/2))/(LN(2)/2)*DB116*DE116*VLOOKUP('Données projet'!$B$13,Paramètres!$A$1:$I$89,3,0)*0.475*44/12</f>
        <v>4.7943116247233619E-12</v>
      </c>
      <c r="DI116" s="24">
        <f t="shared" si="69"/>
        <v>0.91426512170100627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65.260952631718411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>
        <f>DO116*VLOOKUP('Données projet'!$B$14,Paramètres!$A$1:$I$89,3,0)*VLOOKUP('Données projet'!$B$14,Paramètres!$A$1:$I$89,5,0)</f>
        <v>0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210.13237351083279</v>
      </c>
      <c r="DU116" s="62">
        <f t="shared" si="98"/>
        <v>423.06475179432277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19.09396672118886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8.5528771519238262E-11</v>
      </c>
      <c r="ED116" s="24">
        <f t="shared" si="72"/>
        <v>19.093966721274388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65.260952631718411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65.260952631718411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65.260952631718411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65.260952631718411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4.5049999999999999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16.518333333333334</v>
      </c>
      <c r="H117" s="70">
        <f t="shared" si="56"/>
        <v>147.64566666666667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65.343164508635425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5.3205440053716299E-14</v>
      </c>
      <c r="P117" s="14">
        <f t="shared" si="87"/>
        <v>8.602146238565607E-13</v>
      </c>
      <c r="Q117" s="22">
        <f t="shared" si="107"/>
        <v>1.590873277977066E-12</v>
      </c>
      <c r="R117" s="62">
        <f t="shared" si="55"/>
        <v>276.25826986499811</v>
      </c>
      <c r="S117" s="62">
        <f ca="1">AVERAGE(OFFSET($R$3,0,0,'Données projet'!$E$9+1,1))-AVERAGE(OFFSET($H$3,0,0,'Données projet'!$E$9+1,1))</f>
        <v>374.81775021423215</v>
      </c>
      <c r="T117" s="62">
        <f t="shared" si="88"/>
        <v>301.81248585467142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65.343164508635425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280.2</v>
      </c>
      <c r="AJ117" s="14">
        <f>AI117*VLOOKUP('Données projet'!$B$10,Paramètres!$A$1:$I$89,3,0)*VLOOKUP('Données projet'!$B$10,Paramètres!$A$1:$I$89,5,0)</f>
        <v>284.12279999999998</v>
      </c>
      <c r="AK117" s="14">
        <f t="shared" si="89"/>
        <v>67.837532462585557</v>
      </c>
      <c r="AL117" s="22">
        <f t="shared" si="58"/>
        <v>612.99757903900309</v>
      </c>
      <c r="AM117" s="62">
        <f t="shared" si="59"/>
        <v>889.25584890399955</v>
      </c>
      <c r="AN117" s="62">
        <f ca="1">AVERAGE(OFFSET($AM$3,0,0,'Données projet'!$E$10+1,1))-AVERAGE(OFFSET($H$3,0,0,'Données projet'!$E$10+1,1))</f>
        <v>468.39960552661171</v>
      </c>
      <c r="AO117" s="62">
        <f t="shared" si="90"/>
        <v>291.1952427029787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0.2945913067326778</v>
      </c>
      <c r="AW117" s="23">
        <f>EXP(-LN(2)/2)*AW116+(1-EXP(-LN(2)/2))/(LN(2)/2)*AQ117*AT117*VLOOKUP('Données projet'!$B$10,Paramètres!$A$1:$I$89,3,0)*0.475*44/12</f>
        <v>3.1977887110144813E-12</v>
      </c>
      <c r="AX117" s="23">
        <f t="shared" si="60"/>
        <v>0.29459130673587558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65.343164508635425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-9.9316821433603781E-14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373.50005214669716</v>
      </c>
      <c r="BJ117" s="62">
        <f t="shared" si="92"/>
        <v>383.60460086643036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1.5431623422637271</v>
      </c>
      <c r="BR117" s="23">
        <f>EXP(-LN(2)/2)*BR116+(1-EXP(-LN(2)/2))/(LN(2)/2)*BL117*BO117*VLOOKUP('Données projet'!$B$11,Paramètres!$A$1:$I$89,3,0)*0.475*44/12</f>
        <v>3.3866796515123867E-12</v>
      </c>
      <c r="BS117" s="24">
        <f t="shared" si="63"/>
        <v>1.5431623422671137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65.343164508635425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210.13237351083279</v>
      </c>
      <c r="CE117" s="62">
        <f t="shared" si="94"/>
        <v>423.06475179432277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18.719545679956081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6.0477974327808227E-11</v>
      </c>
      <c r="CN117" s="24">
        <f t="shared" si="66"/>
        <v>18.719545680016559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65.343164508635425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4.5999999999999996</v>
      </c>
      <c r="CT117" s="13">
        <f>IF('Données projet'!$A$140&gt;35,CT116+CS117-DB116,IF(A117&lt;'Données projet'!$A$140,$CQ$205^A117,IF(A117='Données projet'!$A$140,'Données projet'!$B$140,CT116+CS117-DB116)))</f>
        <v>325.39999999999998</v>
      </c>
      <c r="CU117" s="18">
        <f>CT117*VLOOKUP('Données projet'!$B$13,Paramètres!$A$1:$I$89,3,0)*VLOOKUP('Données projet'!$B$13,Paramètres!$A$1:$I$89,5,0)</f>
        <v>294.42191999999994</v>
      </c>
      <c r="CV117" s="14">
        <f t="shared" si="95"/>
        <v>70.005809366676559</v>
      </c>
      <c r="CW117" s="22">
        <f t="shared" si="67"/>
        <v>634.71162864696146</v>
      </c>
      <c r="CX117" s="62">
        <f t="shared" si="68"/>
        <v>910.96989851195804</v>
      </c>
      <c r="CY117" s="62">
        <f ca="1">AVERAGE(OFFSET($CX$3,0,0,'Données projet'!$E$13+1,1))-AVERAGE(OFFSET($H$3,0,0,'Données projet'!$E$13+1,1))</f>
        <v>493.89660144134291</v>
      </c>
      <c r="CZ117" s="62">
        <f t="shared" si="96"/>
        <v>312.97494624463229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0.88926449386431594</v>
      </c>
      <c r="DH117" s="23">
        <f>EXP(-LN(2)/2)*DH116+(1-EXP(-LN(2)/2))/(LN(2)/2)*DB117*DE117*VLOOKUP('Données projet'!$B$13,Paramètres!$A$1:$I$89,3,0)*0.475*44/12</f>
        <v>3.3900902609633835E-12</v>
      </c>
      <c r="DI117" s="24">
        <f t="shared" si="69"/>
        <v>0.88926449386770601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65.343164508635425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>
        <f>DO117*VLOOKUP('Données projet'!$B$14,Paramètres!$A$1:$I$89,3,0)*VLOOKUP('Données projet'!$B$14,Paramètres!$A$1:$I$89,5,0)</f>
        <v>0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210.13237351083279</v>
      </c>
      <c r="DU117" s="62">
        <f t="shared" si="98"/>
        <v>423.06475179432277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18.719545679956081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6.0477974327808227E-11</v>
      </c>
      <c r="ED117" s="24">
        <f t="shared" si="72"/>
        <v>18.719545680016559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65.343164508635425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65.343164508635425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65.343164508635425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65.343164508635425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4.5049999999999999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16.518333333333334</v>
      </c>
      <c r="H118" s="70">
        <f t="shared" si="56"/>
        <v>147.64566666666667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65.423950193286146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5.3205440053716299E-14</v>
      </c>
      <c r="P118" s="14">
        <f t="shared" si="87"/>
        <v>8.602146238565607E-13</v>
      </c>
      <c r="Q118" s="22">
        <f t="shared" si="107"/>
        <v>1.590873277977066E-12</v>
      </c>
      <c r="R118" s="62">
        <f t="shared" si="55"/>
        <v>276.55448404205077</v>
      </c>
      <c r="S118" s="62">
        <f ca="1">AVERAGE(OFFSET($R$3,0,0,'Données projet'!$E$9+1,1))-AVERAGE(OFFSET($H$3,0,0,'Données projet'!$E$9+1,1))</f>
        <v>374.81775021423215</v>
      </c>
      <c r="T118" s="62">
        <f t="shared" si="88"/>
        <v>301.81248585467142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65.423950193286146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284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284</v>
      </c>
      <c r="AJ118" s="14">
        <f>AI118*VLOOKUP('Données projet'!$B$10,Paramètres!$A$1:$I$89,3,0)*VLOOKUP('Données projet'!$B$10,Paramètres!$A$1:$I$89,5,0)</f>
        <v>287.976</v>
      </c>
      <c r="AK118" s="14">
        <f t="shared" si="89"/>
        <v>68.649801713863141</v>
      </c>
      <c r="AL118" s="22">
        <f t="shared" si="58"/>
        <v>621.12327131831159</v>
      </c>
      <c r="AM118" s="62">
        <f t="shared" si="59"/>
        <v>897.67775536036083</v>
      </c>
      <c r="AN118" s="62">
        <f ca="1">AVERAGE(OFFSET($AM$3,0,0,'Données projet'!$E$10+1,1))-AVERAGE(OFFSET($H$3,0,0,'Données projet'!$E$10+1,1))</f>
        <v>468.39960552661171</v>
      </c>
      <c r="AO118" s="62">
        <f t="shared" si="90"/>
        <v>291.1952427029787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0.28653569195818923</v>
      </c>
      <c r="AW118" s="23">
        <f>EXP(-LN(2)/2)*AW117+(1-EXP(-LN(2)/2))/(LN(2)/2)*AQ118*AT118*VLOOKUP('Données projet'!$B$10,Paramètres!$A$1:$I$89,3,0)*0.475*44/12</f>
        <v>2.2611780823601287E-12</v>
      </c>
      <c r="AX118" s="23">
        <f t="shared" si="60"/>
        <v>0.28653569196045042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65.423950193286146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-9.9316821433603781E-14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373.50005214669716</v>
      </c>
      <c r="BJ118" s="62">
        <f t="shared" si="92"/>
        <v>383.60460086643036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1.5009644868631449</v>
      </c>
      <c r="BR118" s="23">
        <f>EXP(-LN(2)/2)*BR117+(1-EXP(-LN(2)/2))/(LN(2)/2)*BL118*BO118*VLOOKUP('Données projet'!$B$11,Paramètres!$A$1:$I$89,3,0)*0.475*44/12</f>
        <v>2.3947441472909022E-12</v>
      </c>
      <c r="BS118" s="24">
        <f t="shared" si="63"/>
        <v>1.5009644868655396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65.423950193286146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210.13237351083279</v>
      </c>
      <c r="CE118" s="62">
        <f t="shared" si="94"/>
        <v>423.06475179432277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18.352466806967595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4.2764385759619131E-11</v>
      </c>
      <c r="CN118" s="24">
        <f t="shared" si="66"/>
        <v>18.352466807010359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65.423950193286146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330</v>
      </c>
      <c r="CR118" s="13">
        <f>VLOOKUP(A118,'Données projet'!$A$139:$I$159,9,0)</f>
        <v>4.5999999999999996</v>
      </c>
      <c r="CS118" s="13">
        <f t="array" ref="CS118">INDEX(CR:CR,MIN(IF(ISNUMBER(CR118:CR314),ROW(CR118:CR314),"")))</f>
        <v>4.5999999999999996</v>
      </c>
      <c r="CT118" s="13">
        <f>IF('Données projet'!$A$140&gt;35,CT117+CS118-DB117,IF(A118&lt;'Données projet'!$A$140,$CQ$205^A118,IF(A118='Données projet'!$A$140,'Données projet'!$B$140,CT117+CS118-DB117)))</f>
        <v>330</v>
      </c>
      <c r="CU118" s="18">
        <f>CT118*VLOOKUP('Données projet'!$B$13,Paramètres!$A$1:$I$89,3,0)*VLOOKUP('Données projet'!$B$13,Paramètres!$A$1:$I$89,5,0)</f>
        <v>298.58399999999995</v>
      </c>
      <c r="CV118" s="14">
        <f t="shared" si="95"/>
        <v>70.879533797607607</v>
      </c>
      <c r="CW118" s="22">
        <f t="shared" si="67"/>
        <v>643.48232136416652</v>
      </c>
      <c r="CX118" s="62">
        <f t="shared" si="68"/>
        <v>920.03680540621576</v>
      </c>
      <c r="CY118" s="62">
        <f ca="1">AVERAGE(OFFSET($CX$3,0,0,'Données projet'!$E$13+1,1))-AVERAGE(OFFSET($H$3,0,0,'Données projet'!$E$13+1,1))</f>
        <v>493.89660144134291</v>
      </c>
      <c r="CZ118" s="62">
        <f t="shared" si="96"/>
        <v>312.97494624463229</v>
      </c>
      <c r="DA118" s="16">
        <f>IF(ISNA(VLOOKUP(A118,'Données projet'!$A$139:$I$159,3,0)),0,VLOOKUP(A118,'Données projet'!$A$139:$I$159,3,0))</f>
        <v>20</v>
      </c>
      <c r="DB118" s="16">
        <f>IF(ISNA(VLOOKUP(A118,'Données projet'!$A$139:$I$159,4,0)),0,VLOOKUP(A118,'Données projet'!$A$139:$I$159,4,0))</f>
        <v>330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0.86494750951520893</v>
      </c>
      <c r="DH118" s="23">
        <f>EXP(-LN(2)/2)*DH117+(1-EXP(-LN(2)/2))/(LN(2)/2)*DB118*DE118*VLOOKUP('Données projet'!$B$13,Paramètres!$A$1:$I$89,3,0)*0.475*44/12</f>
        <v>2.397155812361681E-12</v>
      </c>
      <c r="DI118" s="24">
        <f t="shared" si="69"/>
        <v>0.86494750951760613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65.423950193286146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>
        <f>DO118*VLOOKUP('Données projet'!$B$14,Paramètres!$A$1:$I$89,3,0)*VLOOKUP('Données projet'!$B$14,Paramètres!$A$1:$I$89,5,0)</f>
        <v>0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210.13237351083279</v>
      </c>
      <c r="DU118" s="62">
        <f t="shared" si="98"/>
        <v>423.06475179432277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18.352466806967595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4.2764385759619131E-11</v>
      </c>
      <c r="ED118" s="24">
        <f t="shared" si="72"/>
        <v>18.352466807010359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65.423950193286146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65.423950193286146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65.423950193286146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65.423950193286146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4.5049999999999999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16.518333333333334</v>
      </c>
      <c r="H119" s="70">
        <f t="shared" si="56"/>
        <v>147.64566666666667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65.503334426917903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5.3205440053716299E-14</v>
      </c>
      <c r="P119" s="14">
        <f t="shared" si="87"/>
        <v>8.602146238565607E-13</v>
      </c>
      <c r="Q119" s="22">
        <f t="shared" si="107"/>
        <v>1.590873277977066E-12</v>
      </c>
      <c r="R119" s="62">
        <f t="shared" si="55"/>
        <v>276.84555956536724</v>
      </c>
      <c r="S119" s="62">
        <f ca="1">AVERAGE(OFFSET($R$3,0,0,'Données projet'!$E$9+1,1))-AVERAGE(OFFSET($H$3,0,0,'Données projet'!$E$9+1,1))</f>
        <v>374.81775021423215</v>
      </c>
      <c r="T119" s="62">
        <f t="shared" si="88"/>
        <v>301.81248585467142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65.503334426917903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269.60000000000002</v>
      </c>
      <c r="AJ119" s="14">
        <f>AI119*VLOOKUP('Données projet'!$B$10,Paramètres!$A$1:$I$89,3,0)*VLOOKUP('Données projet'!$B$10,Paramètres!$A$1:$I$89,5,0)</f>
        <v>273.37440000000004</v>
      </c>
      <c r="AK119" s="14">
        <f t="shared" si="89"/>
        <v>65.564883644654444</v>
      </c>
      <c r="AL119" s="22">
        <f t="shared" si="58"/>
        <v>590.31925234777316</v>
      </c>
      <c r="AM119" s="62">
        <f t="shared" si="59"/>
        <v>867.16481191313881</v>
      </c>
      <c r="AN119" s="62">
        <f ca="1">AVERAGE(OFFSET($AM$3,0,0,'Données projet'!$E$10+1,1))-AVERAGE(OFFSET($H$3,0,0,'Données projet'!$E$10+1,1))</f>
        <v>468.39960552661171</v>
      </c>
      <c r="AO119" s="62">
        <f t="shared" si="90"/>
        <v>291.1952427029787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0.2787003583933354</v>
      </c>
      <c r="AW119" s="23">
        <f>EXP(-LN(2)/2)*AW118+(1-EXP(-LN(2)/2))/(LN(2)/2)*AQ119*AT119*VLOOKUP('Données projet'!$B$10,Paramètres!$A$1:$I$89,3,0)*0.475*44/12</f>
        <v>1.5988943555072406E-12</v>
      </c>
      <c r="AX119" s="23">
        <f t="shared" si="60"/>
        <v>0.27870035839493429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65.503334426917903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-9.9316821433603781E-14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373.50005214669716</v>
      </c>
      <c r="BJ119" s="62">
        <f t="shared" si="92"/>
        <v>383.60460086643036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1.4599205340375803</v>
      </c>
      <c r="BR119" s="23">
        <f>EXP(-LN(2)/2)*BR118+(1-EXP(-LN(2)/2))/(LN(2)/2)*BL119*BO119*VLOOKUP('Données projet'!$B$11,Paramètres!$A$1:$I$89,3,0)*0.475*44/12</f>
        <v>1.6933398257561934E-12</v>
      </c>
      <c r="BS119" s="24">
        <f t="shared" si="63"/>
        <v>1.4599205340392736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65.503334426917903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210.13237351083279</v>
      </c>
      <c r="CE119" s="62">
        <f t="shared" si="94"/>
        <v>423.06475179432277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17.992586126782406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3.0238987163904113E-11</v>
      </c>
      <c r="CN119" s="24">
        <f t="shared" si="66"/>
        <v>17.992586126812647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65.503334426917903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493.89660144134291</v>
      </c>
      <c r="CZ119" s="62">
        <f t="shared" si="96"/>
        <v>312.97494624463229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0.84129547438190289</v>
      </c>
      <c r="DH119" s="23">
        <f>EXP(-LN(2)/2)*DH118+(1-EXP(-LN(2)/2))/(LN(2)/2)*DB119*DE119*VLOOKUP('Données projet'!$B$13,Paramètres!$A$1:$I$89,3,0)*0.475*44/12</f>
        <v>1.6950451304816917E-12</v>
      </c>
      <c r="DI119" s="24">
        <f t="shared" si="69"/>
        <v>0.84129547438359797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65.503334426917903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>
        <f>DO119*VLOOKUP('Données projet'!$B$14,Paramètres!$A$1:$I$89,3,0)*VLOOKUP('Données projet'!$B$14,Paramètres!$A$1:$I$89,5,0)</f>
        <v>0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210.13237351083279</v>
      </c>
      <c r="DU119" s="62">
        <f t="shared" si="98"/>
        <v>423.06475179432277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17.992586126782406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3.0238987163904113E-11</v>
      </c>
      <c r="ED119" s="24">
        <f t="shared" si="72"/>
        <v>17.992586126812647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65.503334426917903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65.503334426917903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65.503334426917903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65.503334426917903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4.5049999999999999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16.518333333333334</v>
      </c>
      <c r="H120" s="70">
        <f t="shared" si="56"/>
        <v>147.64566666666667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65.58134152157271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5.3205440053716299E-14</v>
      </c>
      <c r="P120" s="14">
        <f t="shared" si="87"/>
        <v>8.602146238565607E-13</v>
      </c>
      <c r="Q120" s="22">
        <f t="shared" si="107"/>
        <v>1.590873277977066E-12</v>
      </c>
      <c r="R120" s="62">
        <f t="shared" si="55"/>
        <v>277.13158557910151</v>
      </c>
      <c r="S120" s="62">
        <f ca="1">AVERAGE(OFFSET($R$3,0,0,'Données projet'!$E$9+1,1))-AVERAGE(OFFSET($H$3,0,0,'Données projet'!$E$9+1,1))</f>
        <v>374.81775021423215</v>
      </c>
      <c r="T120" s="62">
        <f t="shared" si="88"/>
        <v>301.81248585467142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65.58134152157271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273.20000000000005</v>
      </c>
      <c r="AJ120" s="14">
        <f>AI120*VLOOKUP('Données projet'!$B$10,Paramètres!$A$1:$I$89,3,0)*VLOOKUP('Données projet'!$B$10,Paramètres!$A$1:$I$89,5,0)</f>
        <v>277.02480000000008</v>
      </c>
      <c r="AK120" s="14">
        <f t="shared" si="89"/>
        <v>66.337873221533528</v>
      </c>
      <c r="AL120" s="22">
        <f t="shared" si="58"/>
        <v>598.02332252750432</v>
      </c>
      <c r="AM120" s="62">
        <f t="shared" si="59"/>
        <v>875.15490810660424</v>
      </c>
      <c r="AN120" s="62">
        <f ca="1">AVERAGE(OFFSET($AM$3,0,0,'Données projet'!$E$10+1,1))-AVERAGE(OFFSET($H$3,0,0,'Données projet'!$E$10+1,1))</f>
        <v>468.39960552661171</v>
      </c>
      <c r="AO120" s="62">
        <f t="shared" si="90"/>
        <v>291.1952427029787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0.27107928243685475</v>
      </c>
      <c r="AW120" s="23">
        <f>EXP(-LN(2)/2)*AW119+(1-EXP(-LN(2)/2))/(LN(2)/2)*AQ120*AT120*VLOOKUP('Données projet'!$B$10,Paramètres!$A$1:$I$89,3,0)*0.475*44/12</f>
        <v>1.1305890411800643E-12</v>
      </c>
      <c r="AX120" s="23">
        <f t="shared" si="60"/>
        <v>0.27107928243798535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65.58134152157271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-9.9316821433603781E-14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373.50005214669716</v>
      </c>
      <c r="BJ120" s="62">
        <f t="shared" si="92"/>
        <v>383.60460086643036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1.4199989302604383</v>
      </c>
      <c r="BR120" s="23">
        <f>EXP(-LN(2)/2)*BR119+(1-EXP(-LN(2)/2))/(LN(2)/2)*BL120*BO120*VLOOKUP('Données projet'!$B$11,Paramètres!$A$1:$I$89,3,0)*0.475*44/12</f>
        <v>1.1973720736454511E-12</v>
      </c>
      <c r="BS120" s="24">
        <f t="shared" si="63"/>
        <v>1.4199989302616356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65.58134152157271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210.13237351083279</v>
      </c>
      <c r="CE120" s="62">
        <f t="shared" si="94"/>
        <v>423.06475179432277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17.639762487230108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2.1382192879809566E-11</v>
      </c>
      <c r="CN120" s="24">
        <f t="shared" si="66"/>
        <v>17.639762487251492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65.58134152157271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493.89660144134291</v>
      </c>
      <c r="CZ120" s="62">
        <f t="shared" si="96"/>
        <v>312.97494624463229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0.81829020539312358</v>
      </c>
      <c r="DH120" s="23">
        <f>EXP(-LN(2)/2)*DH119+(1-EXP(-LN(2)/2))/(LN(2)/2)*DB120*DE120*VLOOKUP('Données projet'!$B$13,Paramètres!$A$1:$I$89,3,0)*0.475*44/12</f>
        <v>1.1985779061808405E-12</v>
      </c>
      <c r="DI120" s="24">
        <f t="shared" si="69"/>
        <v>0.81829020539432218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65.58134152157271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>
        <f>DO120*VLOOKUP('Données projet'!$B$14,Paramètres!$A$1:$I$89,3,0)*VLOOKUP('Données projet'!$B$14,Paramètres!$A$1:$I$89,5,0)</f>
        <v>0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210.13237351083279</v>
      </c>
      <c r="DU120" s="62">
        <f t="shared" si="98"/>
        <v>423.06475179432277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17.639762487230108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2.1382192879809566E-11</v>
      </c>
      <c r="ED120" s="24">
        <f t="shared" si="72"/>
        <v>17.639762487251492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65.58134152157271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65.58134152157271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65.58134152157271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65.58134152157271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4.5049999999999999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16.518333333333334</v>
      </c>
      <c r="H121" s="70">
        <f t="shared" si="56"/>
        <v>147.64566666666667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65.65799536753299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5.3205440053716299E-14</v>
      </c>
      <c r="P121" s="14">
        <f t="shared" si="87"/>
        <v>8.602146238565607E-13</v>
      </c>
      <c r="Q121" s="22">
        <f t="shared" si="107"/>
        <v>1.590873277977066E-12</v>
      </c>
      <c r="R121" s="62">
        <f t="shared" si="55"/>
        <v>277.41264968095589</v>
      </c>
      <c r="S121" s="62">
        <f ca="1">AVERAGE(OFFSET($R$3,0,0,'Données projet'!$E$9+1,1))-AVERAGE(OFFSET($H$3,0,0,'Données projet'!$E$9+1,1))</f>
        <v>374.81775021423215</v>
      </c>
      <c r="T121" s="62">
        <f t="shared" si="88"/>
        <v>301.81248585467142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65.65799536753299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276.80000000000007</v>
      </c>
      <c r="AJ121" s="14">
        <f>AI121*VLOOKUP('Données projet'!$B$10,Paramètres!$A$1:$I$89,3,0)*VLOOKUP('Données projet'!$B$10,Paramètres!$A$1:$I$89,5,0)</f>
        <v>280.67520000000007</v>
      </c>
      <c r="AK121" s="14">
        <f t="shared" si="89"/>
        <v>67.109678043026491</v>
      </c>
      <c r="AL121" s="22">
        <f t="shared" si="58"/>
        <v>605.72532925827124</v>
      </c>
      <c r="AM121" s="62">
        <f t="shared" si="59"/>
        <v>883.1379789392256</v>
      </c>
      <c r="AN121" s="62">
        <f ca="1">AVERAGE(OFFSET($AM$3,0,0,'Données projet'!$E$10+1,1))-AVERAGE(OFFSET($H$3,0,0,'Données projet'!$E$10+1,1))</f>
        <v>468.39960552661171</v>
      </c>
      <c r="AO121" s="62">
        <f t="shared" si="90"/>
        <v>291.1952427029787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0.26366660520317903</v>
      </c>
      <c r="AW121" s="23">
        <f>EXP(-LN(2)/2)*AW120+(1-EXP(-LN(2)/2))/(LN(2)/2)*AQ121*AT121*VLOOKUP('Données projet'!$B$10,Paramètres!$A$1:$I$89,3,0)*0.475*44/12</f>
        <v>7.9944717775362032E-13</v>
      </c>
      <c r="AX121" s="23">
        <f t="shared" si="60"/>
        <v>0.2636666052039785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65.65799536753299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-9.9316821433603781E-14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373.50005214669716</v>
      </c>
      <c r="BJ121" s="62">
        <f t="shared" si="92"/>
        <v>383.60460086643036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1.3811689848379685</v>
      </c>
      <c r="BR121" s="23">
        <f>EXP(-LN(2)/2)*BR120+(1-EXP(-LN(2)/2))/(LN(2)/2)*BL121*BO121*VLOOKUP('Données projet'!$B$11,Paramètres!$A$1:$I$89,3,0)*0.475*44/12</f>
        <v>8.4666991287809668E-13</v>
      </c>
      <c r="BS121" s="24">
        <f t="shared" si="63"/>
        <v>1.3811689848388151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65.65799536753299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210.13237351083279</v>
      </c>
      <c r="CE121" s="62">
        <f t="shared" si="94"/>
        <v>423.06475179432277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17.293857504048262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1.5119493581952057E-11</v>
      </c>
      <c r="CN121" s="24">
        <f t="shared" si="66"/>
        <v>17.293857504063382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65.65799536753299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493.89660144134291</v>
      </c>
      <c r="CZ121" s="62">
        <f t="shared" si="96"/>
        <v>312.97494624463229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0.79591401669463691</v>
      </c>
      <c r="DH121" s="23">
        <f>EXP(-LN(2)/2)*DH120+(1-EXP(-LN(2)/2))/(LN(2)/2)*DB121*DE121*VLOOKUP('Données projet'!$B$13,Paramètres!$A$1:$I$89,3,0)*0.475*44/12</f>
        <v>8.4752256524084587E-13</v>
      </c>
      <c r="DI121" s="24">
        <f t="shared" si="69"/>
        <v>0.79591401669548445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65.65799536753299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>
        <f>DO121*VLOOKUP('Données projet'!$B$14,Paramètres!$A$1:$I$89,3,0)*VLOOKUP('Données projet'!$B$14,Paramètres!$A$1:$I$89,5,0)</f>
        <v>0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210.13237351083279</v>
      </c>
      <c r="DU121" s="62">
        <f t="shared" si="98"/>
        <v>423.06475179432277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17.293857504048262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1.5119493581952057E-11</v>
      </c>
      <c r="ED121" s="24">
        <f t="shared" si="72"/>
        <v>17.293857504063382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65.65799536753299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65.65799536753299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65.65799536753299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65.65799536753299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4.5049999999999999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16.518333333333334</v>
      </c>
      <c r="H122" s="70">
        <f t="shared" si="56"/>
        <v>147.64566666666667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65.733319440638184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5.3205440053716299E-14</v>
      </c>
      <c r="P122" s="14">
        <f t="shared" si="87"/>
        <v>8.602146238565607E-13</v>
      </c>
      <c r="Q122" s="22">
        <f t="shared" si="107"/>
        <v>1.590873277977066E-12</v>
      </c>
      <c r="R122" s="62">
        <f t="shared" si="55"/>
        <v>277.68883794900825</v>
      </c>
      <c r="S122" s="62">
        <f ca="1">AVERAGE(OFFSET($R$3,0,0,'Données projet'!$E$9+1,1))-AVERAGE(OFFSET($H$3,0,0,'Données projet'!$E$9+1,1))</f>
        <v>374.81775021423215</v>
      </c>
      <c r="T122" s="62">
        <f t="shared" si="88"/>
        <v>301.81248585467142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65.733319440638184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280.40000000000009</v>
      </c>
      <c r="AJ122" s="14">
        <f>AI122*VLOOKUP('Données projet'!$B$10,Paramètres!$A$1:$I$89,3,0)*VLOOKUP('Données projet'!$B$10,Paramètres!$A$1:$I$89,5,0)</f>
        <v>284.32560000000012</v>
      </c>
      <c r="AK122" s="14">
        <f t="shared" si="89"/>
        <v>67.880315299331201</v>
      </c>
      <c r="AL122" s="22">
        <f t="shared" si="58"/>
        <v>613.42530247966863</v>
      </c>
      <c r="AM122" s="62">
        <f t="shared" si="59"/>
        <v>891.11414042867523</v>
      </c>
      <c r="AN122" s="62">
        <f ca="1">AVERAGE(OFFSET($AM$3,0,0,'Données projet'!$E$10+1,1))-AVERAGE(OFFSET($H$3,0,0,'Données projet'!$E$10+1,1))</f>
        <v>468.39960552661171</v>
      </c>
      <c r="AO122" s="62">
        <f t="shared" si="90"/>
        <v>291.1952427029787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0.25645662801827396</v>
      </c>
      <c r="AW122" s="23">
        <f>EXP(-LN(2)/2)*AW121+(1-EXP(-LN(2)/2))/(LN(2)/2)*AQ122*AT122*VLOOKUP('Données projet'!$B$10,Paramètres!$A$1:$I$89,3,0)*0.475*44/12</f>
        <v>5.6529452059003216E-13</v>
      </c>
      <c r="AX122" s="23">
        <f t="shared" si="60"/>
        <v>0.25645662801883923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65.733319440638184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-9.9316821433603781E-14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373.50005214669716</v>
      </c>
      <c r="BJ122" s="62">
        <f t="shared" si="92"/>
        <v>383.60460086643036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1.343400846315054</v>
      </c>
      <c r="BR122" s="23">
        <f>EXP(-LN(2)/2)*BR121+(1-EXP(-LN(2)/2))/(LN(2)/2)*BL122*BO122*VLOOKUP('Données projet'!$B$11,Paramètres!$A$1:$I$89,3,0)*0.475*44/12</f>
        <v>5.9868603682272556E-13</v>
      </c>
      <c r="BS122" s="24">
        <f t="shared" si="63"/>
        <v>1.3434008463156526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65.733319440638184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210.13237351083279</v>
      </c>
      <c r="CE122" s="62">
        <f t="shared" si="94"/>
        <v>423.06475179432277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16.954735506605402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1.0691096439904783E-11</v>
      </c>
      <c r="CN122" s="24">
        <f t="shared" si="66"/>
        <v>16.954735506616093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65.733319440638184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493.89660144134291</v>
      </c>
      <c r="CZ122" s="62">
        <f t="shared" si="96"/>
        <v>312.97494624463229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0.77414970605282296</v>
      </c>
      <c r="DH122" s="23">
        <f>EXP(-LN(2)/2)*DH121+(1-EXP(-LN(2)/2))/(LN(2)/2)*DB122*DE122*VLOOKUP('Données projet'!$B$13,Paramètres!$A$1:$I$89,3,0)*0.475*44/12</f>
        <v>5.9928895309042024E-13</v>
      </c>
      <c r="DI122" s="24">
        <f t="shared" si="69"/>
        <v>0.77414970605342226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65.733319440638184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>
        <f>DO122*VLOOKUP('Données projet'!$B$14,Paramètres!$A$1:$I$89,3,0)*VLOOKUP('Données projet'!$B$14,Paramètres!$A$1:$I$89,5,0)</f>
        <v>0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210.13237351083279</v>
      </c>
      <c r="DU122" s="62">
        <f t="shared" si="98"/>
        <v>423.06475179432277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16.954735506605402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1.0691096439904783E-11</v>
      </c>
      <c r="ED122" s="24">
        <f t="shared" si="72"/>
        <v>16.954735506616093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65.733319440638184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65.733319440638184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65.733319440638184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65.733319440638184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4.5049999999999999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16.518333333333334</v>
      </c>
      <c r="H123" s="70">
        <f t="shared" si="56"/>
        <v>147.64566666666667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65.807336809474407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5.3205440053716299E-14</v>
      </c>
      <c r="P123" s="14">
        <f t="shared" si="87"/>
        <v>8.602146238565607E-13</v>
      </c>
      <c r="Q123" s="22">
        <f t="shared" si="107"/>
        <v>1.590873277977066E-12</v>
      </c>
      <c r="R123" s="62">
        <f t="shared" si="55"/>
        <v>277.96023496807442</v>
      </c>
      <c r="S123" s="62">
        <f ca="1">AVERAGE(OFFSET($R$3,0,0,'Données projet'!$E$9+1,1))-AVERAGE(OFFSET($H$3,0,0,'Données projet'!$E$9+1,1))</f>
        <v>374.81775021423215</v>
      </c>
      <c r="T123" s="62">
        <f t="shared" si="88"/>
        <v>301.81248585467142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65.807336809474407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284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284.00000000000011</v>
      </c>
      <c r="AJ123" s="14">
        <f>AI123*VLOOKUP('Données projet'!$B$10,Paramètres!$A$1:$I$89,3,0)*VLOOKUP('Données projet'!$B$10,Paramètres!$A$1:$I$89,5,0)</f>
        <v>287.97600000000011</v>
      </c>
      <c r="AK123" s="14">
        <f t="shared" si="89"/>
        <v>68.649801713863141</v>
      </c>
      <c r="AL123" s="22">
        <f t="shared" si="58"/>
        <v>621.12327131831182</v>
      </c>
      <c r="AM123" s="62">
        <f t="shared" si="59"/>
        <v>899.08350628638459</v>
      </c>
      <c r="AN123" s="62">
        <f ca="1">AVERAGE(OFFSET($AM$3,0,0,'Données projet'!$E$10+1,1))-AVERAGE(OFFSET($H$3,0,0,'Données projet'!$E$10+1,1))</f>
        <v>468.39960552661171</v>
      </c>
      <c r="AO123" s="62">
        <f t="shared" si="90"/>
        <v>291.1952427029787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284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0.24944380803864633</v>
      </c>
      <c r="AW123" s="23">
        <f>EXP(-LN(2)/2)*AW122+(1-EXP(-LN(2)/2))/(LN(2)/2)*AQ123*AT123*VLOOKUP('Données projet'!$B$10,Paramètres!$A$1:$I$89,3,0)*0.475*44/12</f>
        <v>3.9972358887681016E-13</v>
      </c>
      <c r="AX123" s="23">
        <f t="shared" si="60"/>
        <v>0.24944380803904606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65.807336809474407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-9.9316821433603781E-14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373.50005214669716</v>
      </c>
      <c r="BJ123" s="62">
        <f t="shared" si="92"/>
        <v>383.60460086643036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1.3066654795261887</v>
      </c>
      <c r="BR123" s="23">
        <f>EXP(-LN(2)/2)*BR122+(1-EXP(-LN(2)/2))/(LN(2)/2)*BL123*BO123*VLOOKUP('Données projet'!$B$11,Paramètres!$A$1:$I$89,3,0)*0.475*44/12</f>
        <v>4.2333495643904834E-13</v>
      </c>
      <c r="BS123" s="24">
        <f t="shared" si="63"/>
        <v>1.3066654795266122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65.807336809474407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210.13237351083279</v>
      </c>
      <c r="CE123" s="62">
        <f t="shared" si="94"/>
        <v>423.06475179432277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16.622263484688403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7.5597467909760283E-12</v>
      </c>
      <c r="CN123" s="24">
        <f t="shared" si="66"/>
        <v>16.622263484695964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65.807336809474407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493.89660144134291</v>
      </c>
      <c r="CZ123" s="62">
        <f t="shared" si="96"/>
        <v>312.97494624463229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0.7529805416300448</v>
      </c>
      <c r="DH123" s="23">
        <f>EXP(-LN(2)/2)*DH122+(1-EXP(-LN(2)/2))/(LN(2)/2)*DB123*DE123*VLOOKUP('Données projet'!$B$13,Paramètres!$A$1:$I$89,3,0)*0.475*44/12</f>
        <v>4.2376128262042293E-13</v>
      </c>
      <c r="DI123" s="24">
        <f t="shared" si="69"/>
        <v>0.75298054163046857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65.807336809474407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>
        <f>DO123*VLOOKUP('Données projet'!$B$14,Paramètres!$A$1:$I$89,3,0)*VLOOKUP('Données projet'!$B$14,Paramètres!$A$1:$I$89,5,0)</f>
        <v>0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210.13237351083279</v>
      </c>
      <c r="DU123" s="62">
        <f t="shared" si="98"/>
        <v>423.06475179432277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16.622263484688403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7.5597467909760283E-12</v>
      </c>
      <c r="ED123" s="24">
        <f t="shared" si="72"/>
        <v>16.622263484695964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65.807336809474407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65.807336809474407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65.807336809474407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65.807336809474407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4.5049999999999999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16.518333333333334</v>
      </c>
      <c r="H124" s="70">
        <f t="shared" si="56"/>
        <v>147.64566666666667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65.880070142439379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5.3205440053716299E-14</v>
      </c>
      <c r="P124" s="14">
        <f t="shared" si="87"/>
        <v>8.602146238565607E-13</v>
      </c>
      <c r="Q124" s="22">
        <f t="shared" si="107"/>
        <v>1.590873277977066E-12</v>
      </c>
      <c r="R124" s="62">
        <f t="shared" si="55"/>
        <v>278.22692385561265</v>
      </c>
      <c r="S124" s="62">
        <f ca="1">AVERAGE(OFFSET($R$3,0,0,'Données projet'!$E$9+1,1))-AVERAGE(OFFSET($H$3,0,0,'Données projet'!$E$9+1,1))</f>
        <v>374.81775021423215</v>
      </c>
      <c r="T124" s="62">
        <f t="shared" si="88"/>
        <v>301.81248585467142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65.880070142439379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1.1527845344971866E-13</v>
      </c>
      <c r="AK124" s="14">
        <f t="shared" si="89"/>
        <v>1.7033846239409443E-12</v>
      </c>
      <c r="AL124" s="22">
        <f t="shared" si="58"/>
        <v>3.1675048597887374E-12</v>
      </c>
      <c r="AM124" s="62">
        <f t="shared" si="59"/>
        <v>278.22692385561425</v>
      </c>
      <c r="AN124" s="62">
        <f ca="1">AVERAGE(OFFSET($AM$3,0,0,'Données projet'!$E$10+1,1))-AVERAGE(OFFSET($H$3,0,0,'Données projet'!$E$10+1,1))</f>
        <v>468.39960552661171</v>
      </c>
      <c r="AO124" s="62">
        <f t="shared" si="90"/>
        <v>291.1952427029787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0.24262275399014979</v>
      </c>
      <c r="AW124" s="23">
        <f>EXP(-LN(2)/2)*AW123+(1-EXP(-LN(2)/2))/(LN(2)/2)*AQ124*AT124*VLOOKUP('Données projet'!$B$10,Paramètres!$A$1:$I$89,3,0)*0.475*44/12</f>
        <v>2.8264726029501608E-13</v>
      </c>
      <c r="AX124" s="23">
        <f t="shared" si="60"/>
        <v>0.24262275399043243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65.880070142439379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-9.9316821433603781E-14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373.50005214669716</v>
      </c>
      <c r="BJ124" s="62">
        <f t="shared" si="92"/>
        <v>383.60460086643036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1.2709346432739939</v>
      </c>
      <c r="BR124" s="23">
        <f>EXP(-LN(2)/2)*BR123+(1-EXP(-LN(2)/2))/(LN(2)/2)*BL124*BO124*VLOOKUP('Données projet'!$B$11,Paramètres!$A$1:$I$89,3,0)*0.475*44/12</f>
        <v>2.9934301841136278E-13</v>
      </c>
      <c r="BS124" s="24">
        <f t="shared" si="63"/>
        <v>1.2709346432742932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65.880070142439379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210.13237351083279</v>
      </c>
      <c r="CE124" s="62">
        <f t="shared" si="94"/>
        <v>423.06475179432277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16.296311036333289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5.3455482199523914E-12</v>
      </c>
      <c r="CN124" s="24">
        <f t="shared" si="66"/>
        <v>16.296311036338636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65.880070142439379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493.89660144134291</v>
      </c>
      <c r="CZ124" s="62">
        <f t="shared" si="96"/>
        <v>312.97494624463229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0.73239024912164552</v>
      </c>
      <c r="DH124" s="23">
        <f>EXP(-LN(2)/2)*DH123+(1-EXP(-LN(2)/2))/(LN(2)/2)*DB124*DE124*VLOOKUP('Données projet'!$B$13,Paramètres!$A$1:$I$89,3,0)*0.475*44/12</f>
        <v>2.9964447654521012E-13</v>
      </c>
      <c r="DI124" s="24">
        <f t="shared" si="69"/>
        <v>0.73239024912194517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65.880070142439379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>
        <f>DO124*VLOOKUP('Données projet'!$B$14,Paramètres!$A$1:$I$89,3,0)*VLOOKUP('Données projet'!$B$14,Paramètres!$A$1:$I$89,5,0)</f>
        <v>0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210.13237351083279</v>
      </c>
      <c r="DU124" s="62">
        <f t="shared" si="98"/>
        <v>423.06475179432277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16.296311036333289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5.3455482199523914E-12</v>
      </c>
      <c r="ED124" s="24">
        <f t="shared" si="72"/>
        <v>16.296311036338636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65.880070142439379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65.880070142439379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65.880070142439379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65.880070142439379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4.5049999999999999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16.518333333333334</v>
      </c>
      <c r="H125" s="70">
        <f t="shared" si="56"/>
        <v>147.64566666666667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65.951541714684765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5.3205440053716299E-14</v>
      </c>
      <c r="P125" s="14">
        <f t="shared" si="87"/>
        <v>8.602146238565607E-13</v>
      </c>
      <c r="Q125" s="22">
        <f t="shared" si="107"/>
        <v>1.590873277977066E-12</v>
      </c>
      <c r="R125" s="62">
        <f t="shared" si="55"/>
        <v>278.4889862871791</v>
      </c>
      <c r="S125" s="62">
        <f ca="1">AVERAGE(OFFSET($R$3,0,0,'Données projet'!$E$9+1,1))-AVERAGE(OFFSET($H$3,0,0,'Données projet'!$E$9+1,1))</f>
        <v>374.81775021423215</v>
      </c>
      <c r="T125" s="62">
        <f t="shared" si="88"/>
        <v>301.81248585467142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65.951541714684765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1.1527845344971866E-13</v>
      </c>
      <c r="AK125" s="14">
        <f t="shared" si="89"/>
        <v>1.7033846239409443E-12</v>
      </c>
      <c r="AL125" s="22">
        <f t="shared" si="58"/>
        <v>3.1675048597887374E-12</v>
      </c>
      <c r="AM125" s="62">
        <f t="shared" si="59"/>
        <v>278.48898628718069</v>
      </c>
      <c r="AN125" s="62">
        <f ca="1">AVERAGE(OFFSET($AM$3,0,0,'Données projet'!$E$10+1,1))-AVERAGE(OFFSET($H$3,0,0,'Données projet'!$E$10+1,1))</f>
        <v>468.39960552661171</v>
      </c>
      <c r="AO125" s="62">
        <f t="shared" si="90"/>
        <v>291.1952427029787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0.23598822202331304</v>
      </c>
      <c r="AW125" s="23">
        <f>EXP(-LN(2)/2)*AW124+(1-EXP(-LN(2)/2))/(LN(2)/2)*AQ125*AT125*VLOOKUP('Données projet'!$B$10,Paramètres!$A$1:$I$89,3,0)*0.475*44/12</f>
        <v>1.9986179443840508E-13</v>
      </c>
      <c r="AX125" s="23">
        <f t="shared" si="60"/>
        <v>0.23598822202351291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65.951541714684765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-9.9316821433603781E-14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373.50005214669716</v>
      </c>
      <c r="BJ125" s="62">
        <f t="shared" si="92"/>
        <v>383.60460086643036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1.2361808686181184</v>
      </c>
      <c r="BR125" s="23">
        <f>EXP(-LN(2)/2)*BR124+(1-EXP(-LN(2)/2))/(LN(2)/2)*BL125*BO125*VLOOKUP('Données projet'!$B$11,Paramètres!$A$1:$I$89,3,0)*0.475*44/12</f>
        <v>2.1166747821952417E-13</v>
      </c>
      <c r="BS125" s="24">
        <f t="shared" si="63"/>
        <v>1.23618086861833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65.951541714684765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210.13237351083279</v>
      </c>
      <c r="CE125" s="62">
        <f t="shared" si="94"/>
        <v>423.06475179432277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15.976750316679055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3.7798733954880142E-12</v>
      </c>
      <c r="CN125" s="24">
        <f t="shared" si="66"/>
        <v>15.976750316682836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65.951541714684765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493.89660144134291</v>
      </c>
      <c r="CZ125" s="62">
        <f t="shared" si="96"/>
        <v>312.97494624463229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0.71236299924468482</v>
      </c>
      <c r="DH125" s="23">
        <f>EXP(-LN(2)/2)*DH124+(1-EXP(-LN(2)/2))/(LN(2)/2)*DB125*DE125*VLOOKUP('Données projet'!$B$13,Paramètres!$A$1:$I$89,3,0)*0.475*44/12</f>
        <v>2.1188064131021147E-13</v>
      </c>
      <c r="DI125" s="24">
        <f t="shared" si="69"/>
        <v>0.71236299924489666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65.951541714684765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>
        <f>DO125*VLOOKUP('Données projet'!$B$14,Paramètres!$A$1:$I$89,3,0)*VLOOKUP('Données projet'!$B$14,Paramètres!$A$1:$I$89,5,0)</f>
        <v>0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210.13237351083279</v>
      </c>
      <c r="DU125" s="62">
        <f t="shared" si="98"/>
        <v>423.06475179432277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15.976750316679055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3.7798733954880142E-12</v>
      </c>
      <c r="ED125" s="24">
        <f t="shared" si="72"/>
        <v>15.976750316682836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65.951541714684765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65.951541714684765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65.951541714684765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65.951541714684765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4.5049999999999999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16.518333333333334</v>
      </c>
      <c r="H126" s="70">
        <f t="shared" si="56"/>
        <v>147.64566666666667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66.021773414938195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5.3205440053716299E-14</v>
      </c>
      <c r="P126" s="14">
        <f t="shared" si="87"/>
        <v>8.602146238565607E-13</v>
      </c>
      <c r="Q126" s="22">
        <f t="shared" si="107"/>
        <v>1.590873277977066E-12</v>
      </c>
      <c r="R126" s="62">
        <f t="shared" si="55"/>
        <v>278.74650252144164</v>
      </c>
      <c r="S126" s="62">
        <f ca="1">AVERAGE(OFFSET($R$3,0,0,'Données projet'!$E$9+1,1))-AVERAGE(OFFSET($H$3,0,0,'Données projet'!$E$9+1,1))</f>
        <v>374.81775021423215</v>
      </c>
      <c r="T126" s="62">
        <f t="shared" si="88"/>
        <v>301.81248585467142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66.021773414938195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1.1527845344971866E-13</v>
      </c>
      <c r="AK126" s="14">
        <f t="shared" si="89"/>
        <v>1.7033846239409443E-12</v>
      </c>
      <c r="AL126" s="22">
        <f t="shared" si="58"/>
        <v>3.1675048597887374E-12</v>
      </c>
      <c r="AM126" s="62">
        <f t="shared" si="59"/>
        <v>278.74650252144323</v>
      </c>
      <c r="AN126" s="62">
        <f ca="1">AVERAGE(OFFSET($AM$3,0,0,'Données projet'!$E$10+1,1))-AVERAGE(OFFSET($H$3,0,0,'Données projet'!$E$10+1,1))</f>
        <v>468.39960552661171</v>
      </c>
      <c r="AO126" s="62">
        <f t="shared" si="90"/>
        <v>291.1952427029787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0.2295351116820043</v>
      </c>
      <c r="AW126" s="23">
        <f>EXP(-LN(2)/2)*AW125+(1-EXP(-LN(2)/2))/(LN(2)/2)*AQ126*AT126*VLOOKUP('Données projet'!$B$10,Paramètres!$A$1:$I$89,3,0)*0.475*44/12</f>
        <v>1.4132363014750804E-13</v>
      </c>
      <c r="AX126" s="23">
        <f t="shared" si="60"/>
        <v>0.22953511168214563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66.021773414938195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-9.9316821433603781E-14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373.50005214669716</v>
      </c>
      <c r="BJ126" s="62">
        <f t="shared" si="92"/>
        <v>383.60460086643036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1.2023774377578293</v>
      </c>
      <c r="BR126" s="23">
        <f>EXP(-LN(2)/2)*BR125+(1-EXP(-LN(2)/2))/(LN(2)/2)*BL126*BO126*VLOOKUP('Données projet'!$B$11,Paramètres!$A$1:$I$89,3,0)*0.475*44/12</f>
        <v>1.4967150920568139E-13</v>
      </c>
      <c r="BS126" s="24">
        <f t="shared" si="63"/>
        <v>1.202377437757979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66.021773414938195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210.13237351083279</v>
      </c>
      <c r="CE126" s="62">
        <f t="shared" si="94"/>
        <v>423.06475179432277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15.663455987824447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2.6727741099761957E-12</v>
      </c>
      <c r="CN126" s="24">
        <f t="shared" si="66"/>
        <v>15.66345598782712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66.021773414938195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493.89660144134291</v>
      </c>
      <c r="CZ126" s="62">
        <f t="shared" si="96"/>
        <v>312.97494624463229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0.69288339556879697</v>
      </c>
      <c r="DH126" s="23">
        <f>EXP(-LN(2)/2)*DH125+(1-EXP(-LN(2)/2))/(LN(2)/2)*DB126*DE126*VLOOKUP('Données projet'!$B$13,Paramètres!$A$1:$I$89,3,0)*0.475*44/12</f>
        <v>1.4982223827260506E-13</v>
      </c>
      <c r="DI126" s="24">
        <f t="shared" si="69"/>
        <v>0.69288339556894674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66.021773414938195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>
        <f>DO126*VLOOKUP('Données projet'!$B$14,Paramètres!$A$1:$I$89,3,0)*VLOOKUP('Données projet'!$B$14,Paramètres!$A$1:$I$89,5,0)</f>
        <v>0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210.13237351083279</v>
      </c>
      <c r="DU126" s="62">
        <f t="shared" si="98"/>
        <v>423.06475179432277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15.663455987824447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2.6727741099761957E-12</v>
      </c>
      <c r="ED126" s="24">
        <f t="shared" si="72"/>
        <v>15.66345598782712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66.021773414938195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66.021773414938195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66.021773414938195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66.021773414938195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4.5049999999999999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16.518333333333334</v>
      </c>
      <c r="H127" s="70">
        <f t="shared" si="56"/>
        <v>147.64566666666667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66.090786752206782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5.3205440053716299E-14</v>
      </c>
      <c r="P127" s="14">
        <f t="shared" si="87"/>
        <v>8.602146238565607E-13</v>
      </c>
      <c r="Q127" s="22">
        <f t="shared" si="107"/>
        <v>1.590873277977066E-12</v>
      </c>
      <c r="R127" s="62">
        <f t="shared" si="55"/>
        <v>278.99955142475977</v>
      </c>
      <c r="S127" s="62">
        <f ca="1">AVERAGE(OFFSET($R$3,0,0,'Données projet'!$E$9+1,1))-AVERAGE(OFFSET($H$3,0,0,'Données projet'!$E$9+1,1))</f>
        <v>374.81775021423215</v>
      </c>
      <c r="T127" s="62">
        <f t="shared" si="88"/>
        <v>301.81248585467142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66.090786752206782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1.1527845344971866E-13</v>
      </c>
      <c r="AK127" s="14">
        <f t="shared" si="89"/>
        <v>1.7033846239409443E-12</v>
      </c>
      <c r="AL127" s="22">
        <f t="shared" si="58"/>
        <v>3.1675048597887374E-12</v>
      </c>
      <c r="AM127" s="62">
        <f t="shared" si="59"/>
        <v>278.99955142476136</v>
      </c>
      <c r="AN127" s="62">
        <f ca="1">AVERAGE(OFFSET($AM$3,0,0,'Données projet'!$E$10+1,1))-AVERAGE(OFFSET($H$3,0,0,'Données projet'!$E$10+1,1))</f>
        <v>468.39960552661171</v>
      </c>
      <c r="AO127" s="62">
        <f t="shared" si="90"/>
        <v>291.1952427029787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0.22325846198233298</v>
      </c>
      <c r="AW127" s="23">
        <f>EXP(-LN(2)/2)*AW126+(1-EXP(-LN(2)/2))/(LN(2)/2)*AQ127*AT127*VLOOKUP('Données projet'!$B$10,Paramètres!$A$1:$I$89,3,0)*0.475*44/12</f>
        <v>9.993089721920254E-14</v>
      </c>
      <c r="AX127" s="23">
        <f t="shared" si="60"/>
        <v>0.2232584619824329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66.090786752206782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-9.9316821433603781E-14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373.50005214669716</v>
      </c>
      <c r="BJ127" s="62">
        <f t="shared" si="92"/>
        <v>383.60460086643036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1.1694983634920602</v>
      </c>
      <c r="BR127" s="23">
        <f>EXP(-LN(2)/2)*BR126+(1-EXP(-LN(2)/2))/(LN(2)/2)*BL127*BO127*VLOOKUP('Données projet'!$B$11,Paramètres!$A$1:$I$89,3,0)*0.475*44/12</f>
        <v>1.0583373910976209E-13</v>
      </c>
      <c r="BS127" s="24">
        <f t="shared" si="63"/>
        <v>1.1694983634921661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66.090786752206782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210.13237351083279</v>
      </c>
      <c r="CE127" s="62">
        <f t="shared" si="94"/>
        <v>423.06475179432277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15.356305169668007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1.8899366977440071E-12</v>
      </c>
      <c r="CN127" s="24">
        <f t="shared" si="66"/>
        <v>15.356305169669897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66.090786752206782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493.89660144134291</v>
      </c>
      <c r="CZ127" s="62">
        <f t="shared" si="96"/>
        <v>312.97494624463229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0.673936462679814</v>
      </c>
      <c r="DH127" s="23">
        <f>EXP(-LN(2)/2)*DH126+(1-EXP(-LN(2)/2))/(LN(2)/2)*DB127*DE127*VLOOKUP('Données projet'!$B$13,Paramètres!$A$1:$I$89,3,0)*0.475*44/12</f>
        <v>1.0594032065510573E-13</v>
      </c>
      <c r="DI127" s="24">
        <f t="shared" si="69"/>
        <v>0.67393646267991991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66.090786752206782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>
        <f>DO127*VLOOKUP('Données projet'!$B$14,Paramètres!$A$1:$I$89,3,0)*VLOOKUP('Données projet'!$B$14,Paramètres!$A$1:$I$89,5,0)</f>
        <v>0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210.13237351083279</v>
      </c>
      <c r="DU127" s="62">
        <f t="shared" si="98"/>
        <v>423.06475179432277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15.356305169668007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1.8899366977440071E-12</v>
      </c>
      <c r="ED127" s="24">
        <f t="shared" si="72"/>
        <v>15.356305169669897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66.090786752206782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66.090786752206782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66.090786752206782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66.090786752206782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4.5049999999999999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16.518333333333334</v>
      </c>
      <c r="H128" s="70">
        <f t="shared" si="56"/>
        <v>147.64566666666667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66.158602862364475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5.3205440053716299E-14</v>
      </c>
      <c r="P128" s="14">
        <f t="shared" si="87"/>
        <v>8.602146238565607E-13</v>
      </c>
      <c r="Q128" s="22">
        <f t="shared" si="107"/>
        <v>1.590873277977066E-12</v>
      </c>
      <c r="R128" s="62">
        <f t="shared" si="55"/>
        <v>279.24821049533801</v>
      </c>
      <c r="S128" s="62">
        <f ca="1">AVERAGE(OFFSET($R$3,0,0,'Données projet'!$E$9+1,1))-AVERAGE(OFFSET($H$3,0,0,'Données projet'!$E$9+1,1))</f>
        <v>374.81775021423215</v>
      </c>
      <c r="T128" s="62">
        <f t="shared" si="88"/>
        <v>301.81248585467142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66.158602862364475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1.1527845344971866E-13</v>
      </c>
      <c r="AK128" s="14">
        <f t="shared" si="89"/>
        <v>1.7033846239409443E-12</v>
      </c>
      <c r="AL128" s="22">
        <f t="shared" si="58"/>
        <v>3.1675048597887374E-12</v>
      </c>
      <c r="AM128" s="62">
        <f t="shared" si="59"/>
        <v>279.24821049533961</v>
      </c>
      <c r="AN128" s="62">
        <f ca="1">AVERAGE(OFFSET($AM$3,0,0,'Données projet'!$E$10+1,1))-AVERAGE(OFFSET($H$3,0,0,'Données projet'!$E$10+1,1))</f>
        <v>468.39960552661171</v>
      </c>
      <c r="AO128" s="62">
        <f t="shared" si="90"/>
        <v>291.1952427029787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0.21715344759877384</v>
      </c>
      <c r="AW128" s="23">
        <f>EXP(-LN(2)/2)*AW127+(1-EXP(-LN(2)/2))/(LN(2)/2)*AQ128*AT128*VLOOKUP('Données projet'!$B$10,Paramètres!$A$1:$I$89,3,0)*0.475*44/12</f>
        <v>7.066181507375402E-14</v>
      </c>
      <c r="AX128" s="23">
        <f t="shared" si="60"/>
        <v>0.2171534475988445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66.158602862364475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-9.9316821433603781E-14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373.50005214669716</v>
      </c>
      <c r="BJ128" s="62">
        <f t="shared" si="92"/>
        <v>383.60460086643036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1.1375183692411237</v>
      </c>
      <c r="BR128" s="23">
        <f>EXP(-LN(2)/2)*BR127+(1-EXP(-LN(2)/2))/(LN(2)/2)*BL128*BO128*VLOOKUP('Données projet'!$B$11,Paramètres!$A$1:$I$89,3,0)*0.475*44/12</f>
        <v>7.4835754602840695E-14</v>
      </c>
      <c r="BS128" s="24">
        <f t="shared" si="63"/>
        <v>1.1375183692411985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66.158602862364475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210.13237351083279</v>
      </c>
      <c r="CE128" s="62">
        <f t="shared" si="94"/>
        <v>423.06475179432277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15.055177391712114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1.3363870549880978E-12</v>
      </c>
      <c r="CN128" s="24">
        <f t="shared" si="66"/>
        <v>15.05517739171345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66.158602862364475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493.89660144134291</v>
      </c>
      <c r="CZ128" s="62">
        <f t="shared" si="96"/>
        <v>312.97494624463229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0.65550763466705619</v>
      </c>
      <c r="DH128" s="23">
        <f>EXP(-LN(2)/2)*DH127+(1-EXP(-LN(2)/2))/(LN(2)/2)*DB128*DE128*VLOOKUP('Données projet'!$B$13,Paramètres!$A$1:$I$89,3,0)*0.475*44/12</f>
        <v>7.491111913630253E-14</v>
      </c>
      <c r="DI128" s="24">
        <f t="shared" si="69"/>
        <v>0.65550763466713113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66.158602862364475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>
        <f>DO128*VLOOKUP('Données projet'!$B$14,Paramètres!$A$1:$I$89,3,0)*VLOOKUP('Données projet'!$B$14,Paramètres!$A$1:$I$89,5,0)</f>
        <v>0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210.13237351083279</v>
      </c>
      <c r="DU128" s="62">
        <f t="shared" si="98"/>
        <v>423.06475179432277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15.055177391712114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1.3363870549880978E-12</v>
      </c>
      <c r="ED128" s="24">
        <f t="shared" si="72"/>
        <v>15.05517739171345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66.158602862364475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66.158602862364475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66.158602862364475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66.158602862364475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4.5049999999999999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16.518333333333334</v>
      </c>
      <c r="H129" s="70">
        <f t="shared" si="56"/>
        <v>147.64566666666667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66.225242514625037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5.3205440053716299E-14</v>
      </c>
      <c r="P129" s="14">
        <f t="shared" si="87"/>
        <v>8.602146238565607E-13</v>
      </c>
      <c r="Q129" s="22">
        <f t="shared" si="107"/>
        <v>1.590873277977066E-12</v>
      </c>
      <c r="R129" s="62">
        <f t="shared" si="55"/>
        <v>279.49255588696008</v>
      </c>
      <c r="S129" s="62">
        <f ca="1">AVERAGE(OFFSET($R$3,0,0,'Données projet'!$E$9+1,1))-AVERAGE(OFFSET($H$3,0,0,'Données projet'!$E$9+1,1))</f>
        <v>374.81775021423215</v>
      </c>
      <c r="T129" s="62">
        <f t="shared" si="88"/>
        <v>301.81248585467142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66.225242514625037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1.1527845344971866E-13</v>
      </c>
      <c r="AK129" s="14">
        <f t="shared" si="89"/>
        <v>1.7033846239409443E-12</v>
      </c>
      <c r="AL129" s="22">
        <f t="shared" si="58"/>
        <v>3.1675048597887374E-12</v>
      </c>
      <c r="AM129" s="62">
        <f t="shared" si="59"/>
        <v>279.49255588696167</v>
      </c>
      <c r="AN129" s="62">
        <f ca="1">AVERAGE(OFFSET($AM$3,0,0,'Données projet'!$E$10+1,1))-AVERAGE(OFFSET($H$3,0,0,'Données projet'!$E$10+1,1))</f>
        <v>468.39960552661171</v>
      </c>
      <c r="AO129" s="62">
        <f t="shared" si="90"/>
        <v>291.1952427029787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0.21121537515458186</v>
      </c>
      <c r="AW129" s="23">
        <f>EXP(-LN(2)/2)*AW128+(1-EXP(-LN(2)/2))/(LN(2)/2)*AQ129*AT129*VLOOKUP('Données projet'!$B$10,Paramètres!$A$1:$I$89,3,0)*0.475*44/12</f>
        <v>4.996544860960127E-14</v>
      </c>
      <c r="AX129" s="23">
        <f t="shared" si="60"/>
        <v>0.21121537515463182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66.225242514625037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-9.9316821433603781E-14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373.50005214669716</v>
      </c>
      <c r="BJ129" s="62">
        <f t="shared" si="92"/>
        <v>383.60460086643036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1.106412869614734</v>
      </c>
      <c r="BR129" s="23">
        <f>EXP(-LN(2)/2)*BR128+(1-EXP(-LN(2)/2))/(LN(2)/2)*BL129*BO129*VLOOKUP('Données projet'!$B$11,Paramètres!$A$1:$I$89,3,0)*0.475*44/12</f>
        <v>5.2916869554881043E-14</v>
      </c>
      <c r="BS129" s="24">
        <f t="shared" si="63"/>
        <v>1.1064128696147868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66.225242514625037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210.13237351083279</v>
      </c>
      <c r="CE129" s="62">
        <f t="shared" si="94"/>
        <v>423.06475179432277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14.759954545812127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9.4496834887200354E-13</v>
      </c>
      <c r="CN129" s="24">
        <f t="shared" si="66"/>
        <v>14.759954545813072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66.225242514625037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493.89660144134291</v>
      </c>
      <c r="CZ129" s="62">
        <f t="shared" si="96"/>
        <v>312.97494624463229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0.63758274392543723</v>
      </c>
      <c r="DH129" s="23">
        <f>EXP(-LN(2)/2)*DH128+(1-EXP(-LN(2)/2))/(LN(2)/2)*DB129*DE129*VLOOKUP('Données projet'!$B$13,Paramètres!$A$1:$I$89,3,0)*0.475*44/12</f>
        <v>5.2970160327552867E-14</v>
      </c>
      <c r="DI129" s="24">
        <f t="shared" si="69"/>
        <v>0.63758274392549019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66.225242514625037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>
        <f>DO129*VLOOKUP('Données projet'!$B$14,Paramètres!$A$1:$I$89,3,0)*VLOOKUP('Données projet'!$B$14,Paramètres!$A$1:$I$89,5,0)</f>
        <v>0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210.13237351083279</v>
      </c>
      <c r="DU129" s="62">
        <f t="shared" si="98"/>
        <v>423.06475179432277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14.759954545812127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9.4496834887200354E-13</v>
      </c>
      <c r="ED129" s="24">
        <f t="shared" si="72"/>
        <v>14.759954545813072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66.225242514625037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66.225242514625037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66.225242514625037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66.225242514625037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4.5049999999999999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16.518333333333334</v>
      </c>
      <c r="H130" s="70">
        <f t="shared" si="56"/>
        <v>147.64566666666667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66.290726117902821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5.3205440053716299E-14</v>
      </c>
      <c r="P130" s="14">
        <f t="shared" si="87"/>
        <v>8.602146238565607E-13</v>
      </c>
      <c r="Q130" s="22">
        <f t="shared" si="107"/>
        <v>1.590873277977066E-12</v>
      </c>
      <c r="R130" s="62">
        <f t="shared" si="55"/>
        <v>279.73266243231194</v>
      </c>
      <c r="S130" s="62">
        <f ca="1">AVERAGE(OFFSET($R$3,0,0,'Données projet'!$E$9+1,1))-AVERAGE(OFFSET($H$3,0,0,'Données projet'!$E$9+1,1))</f>
        <v>374.81775021423215</v>
      </c>
      <c r="T130" s="62">
        <f t="shared" si="88"/>
        <v>301.81248585467142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66.290726117902821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1.1527845344971866E-13</v>
      </c>
      <c r="AK130" s="14">
        <f t="shared" si="89"/>
        <v>1.7033846239409443E-12</v>
      </c>
      <c r="AL130" s="22">
        <f t="shared" si="58"/>
        <v>3.1675048597887374E-12</v>
      </c>
      <c r="AM130" s="62">
        <f t="shared" si="59"/>
        <v>279.73266243231353</v>
      </c>
      <c r="AN130" s="62">
        <f ca="1">AVERAGE(OFFSET($AM$3,0,0,'Données projet'!$E$10+1,1))-AVERAGE(OFFSET($H$3,0,0,'Données projet'!$E$10+1,1))</f>
        <v>468.39960552661171</v>
      </c>
      <c r="AO130" s="62">
        <f t="shared" si="90"/>
        <v>291.1952427029787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0.20543967961364598</v>
      </c>
      <c r="AW130" s="23">
        <f>EXP(-LN(2)/2)*AW129+(1-EXP(-LN(2)/2))/(LN(2)/2)*AQ130*AT130*VLOOKUP('Données projet'!$B$10,Paramètres!$A$1:$I$89,3,0)*0.475*44/12</f>
        <v>3.533090753687701E-14</v>
      </c>
      <c r="AX130" s="23">
        <f t="shared" si="60"/>
        <v>0.20543967961368131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66.290726117902821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-9.9316821433603781E-14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373.50005214669716</v>
      </c>
      <c r="BJ130" s="62">
        <f t="shared" si="92"/>
        <v>383.60460086643036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1.076157951511395</v>
      </c>
      <c r="BR130" s="23">
        <f>EXP(-LN(2)/2)*BR129+(1-EXP(-LN(2)/2))/(LN(2)/2)*BL130*BO130*VLOOKUP('Données projet'!$B$11,Paramètres!$A$1:$I$89,3,0)*0.475*44/12</f>
        <v>3.7417877301420347E-14</v>
      </c>
      <c r="BS130" s="24">
        <f t="shared" si="63"/>
        <v>1.0761579515114326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66.290726117902821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210.13237351083279</v>
      </c>
      <c r="CE130" s="62">
        <f t="shared" si="94"/>
        <v>423.06475179432277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14.470520839852083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6.6819352749404892E-13</v>
      </c>
      <c r="CN130" s="24">
        <f t="shared" si="66"/>
        <v>14.470520839852751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66.290726117902821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493.89660144134291</v>
      </c>
      <c r="CZ130" s="62">
        <f t="shared" si="96"/>
        <v>312.97494624463229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0.62014801026377686</v>
      </c>
      <c r="DH130" s="23">
        <f>EXP(-LN(2)/2)*DH129+(1-EXP(-LN(2)/2))/(LN(2)/2)*DB130*DE130*VLOOKUP('Données projet'!$B$13,Paramètres!$A$1:$I$89,3,0)*0.475*44/12</f>
        <v>3.7455559568151265E-14</v>
      </c>
      <c r="DI130" s="24">
        <f t="shared" si="69"/>
        <v>0.62014801026381428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66.290726117902821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>
        <f>DO130*VLOOKUP('Données projet'!$B$14,Paramètres!$A$1:$I$89,3,0)*VLOOKUP('Données projet'!$B$14,Paramètres!$A$1:$I$89,5,0)</f>
        <v>0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210.13237351083279</v>
      </c>
      <c r="DU130" s="62">
        <f t="shared" si="98"/>
        <v>423.06475179432277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14.470520839852083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6.6819352749404892E-13</v>
      </c>
      <c r="ED130" s="24">
        <f t="shared" si="72"/>
        <v>14.470520839852751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66.290726117902821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66.290726117902821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66.290726117902821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66.290726117902821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4.5049999999999999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16.518333333333334</v>
      </c>
      <c r="H131" s="70">
        <f t="shared" si="56"/>
        <v>147.64566666666667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66.355073727063143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5.3205440053716299E-14</v>
      </c>
      <c r="P131" s="14">
        <f t="shared" si="87"/>
        <v>8.602146238565607E-13</v>
      </c>
      <c r="Q131" s="22">
        <f t="shared" ref="Q131:Q153" si="108">(O131+P131)*0.475*44/12</f>
        <v>1.590873277977066E-12</v>
      </c>
      <c r="R131" s="62">
        <f t="shared" ref="R131:R194" si="109">Q131+(I131+J131)*44/12</f>
        <v>279.96860366589976</v>
      </c>
      <c r="S131" s="62">
        <f ca="1">AVERAGE(OFFSET($R$3,0,0,'Données projet'!$E$9+1,1))-AVERAGE(OFFSET($H$3,0,0,'Données projet'!$E$9+1,1))</f>
        <v>374.81775021423215</v>
      </c>
      <c r="T131" s="62">
        <f t="shared" si="88"/>
        <v>301.81248585467142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66.355073727063143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1.1527845344971866E-13</v>
      </c>
      <c r="AK131" s="14">
        <f t="shared" si="89"/>
        <v>1.7033846239409443E-12</v>
      </c>
      <c r="AL131" s="22">
        <f t="shared" si="58"/>
        <v>3.1675048597887374E-12</v>
      </c>
      <c r="AM131" s="62">
        <f t="shared" si="59"/>
        <v>279.96860366590136</v>
      </c>
      <c r="AN131" s="62">
        <f ca="1">AVERAGE(OFFSET($AM$3,0,0,'Données projet'!$E$10+1,1))-AVERAGE(OFFSET($H$3,0,0,'Données projet'!$E$10+1,1))</f>
        <v>468.39960552661171</v>
      </c>
      <c r="AO131" s="62">
        <f t="shared" si="90"/>
        <v>291.1952427029787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0.19982192077100763</v>
      </c>
      <c r="AW131" s="23">
        <f>EXP(-LN(2)/2)*AW130+(1-EXP(-LN(2)/2))/(LN(2)/2)*AQ131*AT131*VLOOKUP('Données projet'!$B$10,Paramètres!$A$1:$I$89,3,0)*0.475*44/12</f>
        <v>2.4982724304800635E-14</v>
      </c>
      <c r="AX131" s="23">
        <f t="shared" si="60"/>
        <v>0.19982192077103261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66.355073727063143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-9.9316821433603781E-14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373.50005214669716</v>
      </c>
      <c r="BJ131" s="62">
        <f t="shared" si="92"/>
        <v>383.60460086643036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1.0467303557346288</v>
      </c>
      <c r="BR131" s="23">
        <f>EXP(-LN(2)/2)*BR130+(1-EXP(-LN(2)/2))/(LN(2)/2)*BL131*BO131*VLOOKUP('Données projet'!$B$11,Paramètres!$A$1:$I$89,3,0)*0.475*44/12</f>
        <v>2.6458434777440521E-14</v>
      </c>
      <c r="BS131" s="24">
        <f t="shared" si="63"/>
        <v>1.0467303557346552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66.355073727063143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210.13237351083279</v>
      </c>
      <c r="CE131" s="62">
        <f t="shared" si="94"/>
        <v>423.06475179432277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14.186762752328788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4.7248417443600177E-13</v>
      </c>
      <c r="CN131" s="24">
        <f t="shared" si="66"/>
        <v>14.18676275232926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66.355073727063143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493.89660144134291</v>
      </c>
      <c r="CZ131" s="62">
        <f t="shared" si="96"/>
        <v>312.97494624463229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0.60319003031094742</v>
      </c>
      <c r="DH131" s="23">
        <f>EXP(-LN(2)/2)*DH130+(1-EXP(-LN(2)/2))/(LN(2)/2)*DB131*DE131*VLOOKUP('Données projet'!$B$13,Paramètres!$A$1:$I$89,3,0)*0.475*44/12</f>
        <v>2.6485080163776433E-14</v>
      </c>
      <c r="DI131" s="24">
        <f t="shared" si="69"/>
        <v>0.60319003031097396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66.355073727063143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>
        <f>DO131*VLOOKUP('Données projet'!$B$14,Paramètres!$A$1:$I$89,3,0)*VLOOKUP('Données projet'!$B$14,Paramètres!$A$1:$I$89,5,0)</f>
        <v>0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210.13237351083279</v>
      </c>
      <c r="DU131" s="62">
        <f t="shared" si="98"/>
        <v>423.06475179432277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14.186762752328788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4.7248417443600177E-13</v>
      </c>
      <c r="ED131" s="24">
        <f t="shared" si="72"/>
        <v>14.18676275232926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66.355073727063143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66.355073727063143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66.355073727063143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66.355073727063143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4.5049999999999999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16.518333333333334</v>
      </c>
      <c r="H132" s="70">
        <f t="shared" ref="H132:H195" si="110">(B132+E132+F132)*44/12+(C132+D132)*0.475*44/12</f>
        <v>147.64566666666667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66.41830504906423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5.3205440053716299E-14</v>
      </c>
      <c r="P132" s="14">
        <f t="shared" si="87"/>
        <v>8.602146238565607E-13</v>
      </c>
      <c r="Q132" s="22">
        <f t="shared" si="108"/>
        <v>1.590873277977066E-12</v>
      </c>
      <c r="R132" s="62">
        <f t="shared" si="109"/>
        <v>280.20045184657045</v>
      </c>
      <c r="S132" s="62">
        <f ca="1">AVERAGE(OFFSET($R$3,0,0,'Données projet'!$E$9+1,1))-AVERAGE(OFFSET($H$3,0,0,'Données projet'!$E$9+1,1))</f>
        <v>374.81775021423215</v>
      </c>
      <c r="T132" s="62">
        <f t="shared" si="88"/>
        <v>301.81248585467142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66.41830504906423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1.1527845344971866E-13</v>
      </c>
      <c r="AK132" s="14">
        <f t="shared" si="89"/>
        <v>1.7033846239409443E-12</v>
      </c>
      <c r="AL132" s="22">
        <f t="shared" ref="AL132:AL153" si="112">(AJ132+AK132)*0.475*44/12</f>
        <v>3.1675048597887374E-12</v>
      </c>
      <c r="AM132" s="62">
        <f t="shared" ref="AM132:AM195" si="113">AL132+(AD132+AE132)*44/12</f>
        <v>280.20045184657204</v>
      </c>
      <c r="AN132" s="62">
        <f ca="1">AVERAGE(OFFSET($AM$3,0,0,'Données projet'!$E$10+1,1))-AVERAGE(OFFSET($H$3,0,0,'Données projet'!$E$10+1,1))</f>
        <v>468.39960552661171</v>
      </c>
      <c r="AO132" s="62">
        <f t="shared" si="90"/>
        <v>291.1952427029787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0.19435777983934632</v>
      </c>
      <c r="AW132" s="23">
        <f>EXP(-LN(2)/2)*AW131+(1-EXP(-LN(2)/2))/(LN(2)/2)*AQ132*AT132*VLOOKUP('Données projet'!$B$10,Paramètres!$A$1:$I$89,3,0)*0.475*44/12</f>
        <v>1.7665453768438505E-14</v>
      </c>
      <c r="AX132" s="23">
        <f t="shared" ref="AX132:AX153" si="114">SUM(AU132:AW132)</f>
        <v>0.19435777983936398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66.41830504906423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-9.9316821433603781E-14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373.50005214669716</v>
      </c>
      <c r="BJ132" s="62">
        <f t="shared" si="92"/>
        <v>383.60460086643036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1.0181074591119084</v>
      </c>
      <c r="BR132" s="23">
        <f>EXP(-LN(2)/2)*BR131+(1-EXP(-LN(2)/2))/(LN(2)/2)*BL132*BO132*VLOOKUP('Données projet'!$B$11,Paramètres!$A$1:$I$89,3,0)*0.475*44/12</f>
        <v>1.8708938650710174E-14</v>
      </c>
      <c r="BS132" s="24">
        <f t="shared" ref="BS132:BS153" si="117">SUM(BP132:BR132)</f>
        <v>1.018107459111927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66.41830504906423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210.13237351083279</v>
      </c>
      <c r="CE132" s="62">
        <f t="shared" si="94"/>
        <v>423.06475179432277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13.908568987826479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3.3409676374702446E-13</v>
      </c>
      <c r="CN132" s="24">
        <f t="shared" ref="CN132:CN153" si="120">SUM(CK132:CM132)</f>
        <v>13.908568987826813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66.41830504906423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493.89660144134291</v>
      </c>
      <c r="CZ132" s="62">
        <f t="shared" si="96"/>
        <v>312.97494624463229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0.58669576721170946</v>
      </c>
      <c r="DH132" s="23">
        <f>EXP(-LN(2)/2)*DH131+(1-EXP(-LN(2)/2))/(LN(2)/2)*DB132*DE132*VLOOKUP('Données projet'!$B$13,Paramètres!$A$1:$I$89,3,0)*0.475*44/12</f>
        <v>1.8727779784075633E-14</v>
      </c>
      <c r="DI132" s="24">
        <f t="shared" ref="DI132:DI153" si="123">SUM(DF132:DH132)</f>
        <v>0.58669576721172823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66.41830504906423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>
        <f>DO132*VLOOKUP('Données projet'!$B$14,Paramètres!$A$1:$I$89,3,0)*VLOOKUP('Données projet'!$B$14,Paramètres!$A$1:$I$89,5,0)</f>
        <v>0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210.13237351083279</v>
      </c>
      <c r="DU132" s="62">
        <f t="shared" si="98"/>
        <v>423.06475179432277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13.908568987826479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3.3409676374702446E-13</v>
      </c>
      <c r="ED132" s="24">
        <f t="shared" ref="ED132:ED153" si="126">SUM(EA132:EC132)</f>
        <v>13.908568987826813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66.41830504906423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66.41830504906423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66.41830504906423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66.41830504906423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4.5049999999999999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16.518333333333334</v>
      </c>
      <c r="H133" s="70">
        <f t="shared" si="110"/>
        <v>147.64566666666667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66.480439448992669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5.3205440053716299E-14</v>
      </c>
      <c r="P133" s="14">
        <f t="shared" ref="P133:P196" si="141">EXP(-1.0587+0.8836*LN(O133)+0.284)</f>
        <v>8.602146238565607E-13</v>
      </c>
      <c r="Q133" s="22">
        <f t="shared" si="108"/>
        <v>1.590873277977066E-12</v>
      </c>
      <c r="R133" s="62">
        <f t="shared" si="109"/>
        <v>280.42827797964139</v>
      </c>
      <c r="S133" s="62">
        <f ca="1">AVERAGE(OFFSET($R$3,0,0,'Données projet'!$E$9+1,1))-AVERAGE(OFFSET($H$3,0,0,'Données projet'!$E$9+1,1))</f>
        <v>374.81775021423215</v>
      </c>
      <c r="T133" s="62">
        <f t="shared" ref="T133:T196" si="142">$T$3</f>
        <v>301.81248585467142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66.480439448992669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1.1527845344971866E-13</v>
      </c>
      <c r="AK133" s="14">
        <f t="shared" ref="AK133:AK153" si="143">EXP(-1.0587+0.8836*LN(AJ133)+0.284)</f>
        <v>1.7033846239409443E-12</v>
      </c>
      <c r="AL133" s="22">
        <f t="shared" si="112"/>
        <v>3.1675048597887374E-12</v>
      </c>
      <c r="AM133" s="62">
        <f t="shared" si="113"/>
        <v>280.42827797964298</v>
      </c>
      <c r="AN133" s="62">
        <f ca="1">AVERAGE(OFFSET($AM$3,0,0,'Données projet'!$E$10+1,1))-AVERAGE(OFFSET($H$3,0,0,'Données projet'!$E$10+1,1))</f>
        <v>468.39960552661171</v>
      </c>
      <c r="AO133" s="62">
        <f t="shared" ref="AO133:AO196" si="144">$AO$3</f>
        <v>291.1952427029787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0.18904305612880798</v>
      </c>
      <c r="AW133" s="23">
        <f>EXP(-LN(2)/2)*AW132+(1-EXP(-LN(2)/2))/(LN(2)/2)*AQ133*AT133*VLOOKUP('Données projet'!$B$10,Paramètres!$A$1:$I$89,3,0)*0.475*44/12</f>
        <v>1.2491362152400317E-14</v>
      </c>
      <c r="AX133" s="23">
        <f t="shared" si="114"/>
        <v>0.18904305612882047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66.480439448992669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-9.9316821433603781E-14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373.50005214669716</v>
      </c>
      <c r="BJ133" s="62">
        <f t="shared" ref="BJ133:BJ196" si="146">$BJ$3</f>
        <v>383.60460086643036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0.99026725710254893</v>
      </c>
      <c r="BR133" s="23">
        <f>EXP(-LN(2)/2)*BR132+(1-EXP(-LN(2)/2))/(LN(2)/2)*BL133*BO133*VLOOKUP('Données projet'!$B$11,Paramètres!$A$1:$I$89,3,0)*0.475*44/12</f>
        <v>1.3229217388720261E-14</v>
      </c>
      <c r="BS133" s="24">
        <f t="shared" si="117"/>
        <v>0.99026725710256214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66.480439448992669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210.13237351083279</v>
      </c>
      <c r="CE133" s="62">
        <f t="shared" ref="CE133:CE196" si="148">$CE$3</f>
        <v>423.06475179432277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13.635830433364619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2.3624208721800089E-13</v>
      </c>
      <c r="CN133" s="24">
        <f t="shared" si="120"/>
        <v>13.635830433364855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66.480439448992669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493.89660144134291</v>
      </c>
      <c r="CZ133" s="62">
        <f t="shared" ref="CZ133:CZ196" si="150">$CZ$3</f>
        <v>312.97494624463229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0.57065254060431581</v>
      </c>
      <c r="DH133" s="23">
        <f>EXP(-LN(2)/2)*DH132+(1-EXP(-LN(2)/2))/(LN(2)/2)*DB133*DE133*VLOOKUP('Données projet'!$B$13,Paramètres!$A$1:$I$89,3,0)*0.475*44/12</f>
        <v>1.3242540081888217E-14</v>
      </c>
      <c r="DI133" s="24">
        <f t="shared" si="123"/>
        <v>0.57065254060432902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66.480439448992669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>
        <f>DO133*VLOOKUP('Données projet'!$B$14,Paramètres!$A$1:$I$89,3,0)*VLOOKUP('Données projet'!$B$14,Paramètres!$A$1:$I$89,5,0)</f>
        <v>0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210.13237351083279</v>
      </c>
      <c r="DU133" s="62">
        <f t="shared" ref="DU133:DU196" si="152">$DU$3</f>
        <v>423.06475179432277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13.635830433364619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2.3624208721800089E-13</v>
      </c>
      <c r="ED133" s="24">
        <f t="shared" si="126"/>
        <v>13.635830433364855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66.480439448992669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66.480439448992669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66.480439448992669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66.480439448992669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4.5049999999999999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16.518333333333334</v>
      </c>
      <c r="H134" s="70">
        <f t="shared" si="110"/>
        <v>147.64566666666667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66.541495955994051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5.3205440053716299E-14</v>
      </c>
      <c r="P134" s="14">
        <f t="shared" si="141"/>
        <v>8.602146238565607E-13</v>
      </c>
      <c r="Q134" s="22">
        <f t="shared" si="108"/>
        <v>1.590873277977066E-12</v>
      </c>
      <c r="R134" s="62">
        <f t="shared" si="109"/>
        <v>280.65215183864643</v>
      </c>
      <c r="S134" s="62">
        <f ca="1">AVERAGE(OFFSET($R$3,0,0,'Données projet'!$E$9+1,1))-AVERAGE(OFFSET($H$3,0,0,'Données projet'!$E$9+1,1))</f>
        <v>374.81775021423215</v>
      </c>
      <c r="T134" s="62">
        <f t="shared" si="142"/>
        <v>301.81248585467142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66.541495955994051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1.1527845344971866E-13</v>
      </c>
      <c r="AK134" s="14">
        <f t="shared" si="143"/>
        <v>1.7033846239409443E-12</v>
      </c>
      <c r="AL134" s="22">
        <f t="shared" si="112"/>
        <v>3.1675048597887374E-12</v>
      </c>
      <c r="AM134" s="62">
        <f t="shared" si="113"/>
        <v>280.65215183864802</v>
      </c>
      <c r="AN134" s="62">
        <f ca="1">AVERAGE(OFFSET($AM$3,0,0,'Données projet'!$E$10+1,1))-AVERAGE(OFFSET($H$3,0,0,'Données projet'!$E$10+1,1))</f>
        <v>468.39960552661171</v>
      </c>
      <c r="AO134" s="62">
        <f t="shared" si="144"/>
        <v>291.1952427029787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0.18387366381762346</v>
      </c>
      <c r="AW134" s="23">
        <f>EXP(-LN(2)/2)*AW133+(1-EXP(-LN(2)/2))/(LN(2)/2)*AQ134*AT134*VLOOKUP('Données projet'!$B$10,Paramètres!$A$1:$I$89,3,0)*0.475*44/12</f>
        <v>8.8327268842192526E-15</v>
      </c>
      <c r="AX134" s="23">
        <f t="shared" si="114"/>
        <v>0.18387366381763229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66.541495955994051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-9.9316821433603781E-14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373.50005214669716</v>
      </c>
      <c r="BJ134" s="62">
        <f t="shared" si="146"/>
        <v>383.60460086643036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0.96318834688118793</v>
      </c>
      <c r="BR134" s="23">
        <f>EXP(-LN(2)/2)*BR133+(1-EXP(-LN(2)/2))/(LN(2)/2)*BL134*BO134*VLOOKUP('Données projet'!$B$11,Paramètres!$A$1:$I$89,3,0)*0.475*44/12</f>
        <v>9.3544693253550869E-15</v>
      </c>
      <c r="BS134" s="24">
        <f t="shared" si="117"/>
        <v>0.96318834688119725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66.541495955994051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210.13237351083279</v>
      </c>
      <c r="CE134" s="62">
        <f t="shared" si="148"/>
        <v>423.06475179432277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13.368440115601665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1.6704838187351223E-13</v>
      </c>
      <c r="CN134" s="24">
        <f t="shared" si="120"/>
        <v>13.368440115601832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66.541495955994051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493.89660144134291</v>
      </c>
      <c r="CZ134" s="62">
        <f t="shared" si="150"/>
        <v>312.97494624463229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0.55504801687217797</v>
      </c>
      <c r="DH134" s="23">
        <f>EXP(-LN(2)/2)*DH133+(1-EXP(-LN(2)/2))/(LN(2)/2)*DB134*DE134*VLOOKUP('Données projet'!$B$13,Paramètres!$A$1:$I$89,3,0)*0.475*44/12</f>
        <v>9.3638898920378163E-15</v>
      </c>
      <c r="DI134" s="24">
        <f t="shared" si="123"/>
        <v>0.5550480168721873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66.541495955994051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>
        <f>DO134*VLOOKUP('Données projet'!$B$14,Paramètres!$A$1:$I$89,3,0)*VLOOKUP('Données projet'!$B$14,Paramètres!$A$1:$I$89,5,0)</f>
        <v>0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210.13237351083279</v>
      </c>
      <c r="DU134" s="62">
        <f t="shared" si="152"/>
        <v>423.06475179432277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13.368440115601665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1.6704838187351223E-13</v>
      </c>
      <c r="ED134" s="24">
        <f t="shared" si="126"/>
        <v>13.368440115601832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66.541495955994051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66.541495955994051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66.541495955994051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66.541495955994051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4.5049999999999999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16.518333333333334</v>
      </c>
      <c r="H135" s="70">
        <f t="shared" si="110"/>
        <v>147.64566666666667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66.601493269100857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5.3205440053716299E-14</v>
      </c>
      <c r="P135" s="14">
        <f t="shared" si="141"/>
        <v>8.602146238565607E-13</v>
      </c>
      <c r="Q135" s="22">
        <f t="shared" si="108"/>
        <v>1.590873277977066E-12</v>
      </c>
      <c r="R135" s="62">
        <f t="shared" si="109"/>
        <v>280.87214198670472</v>
      </c>
      <c r="S135" s="62">
        <f ca="1">AVERAGE(OFFSET($R$3,0,0,'Données projet'!$E$9+1,1))-AVERAGE(OFFSET($H$3,0,0,'Données projet'!$E$9+1,1))</f>
        <v>374.81775021423215</v>
      </c>
      <c r="T135" s="62">
        <f t="shared" si="142"/>
        <v>301.81248585467142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66.601493269100857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1.1527845344971866E-13</v>
      </c>
      <c r="AK135" s="14">
        <f t="shared" si="143"/>
        <v>1.7033846239409443E-12</v>
      </c>
      <c r="AL135" s="22">
        <f t="shared" si="112"/>
        <v>3.1675048597887374E-12</v>
      </c>
      <c r="AM135" s="62">
        <f t="shared" si="113"/>
        <v>280.87214198670631</v>
      </c>
      <c r="AN135" s="62">
        <f ca="1">AVERAGE(OFFSET($AM$3,0,0,'Données projet'!$E$10+1,1))-AVERAGE(OFFSET($H$3,0,0,'Données projet'!$E$10+1,1))</f>
        <v>468.39960552661171</v>
      </c>
      <c r="AO135" s="62">
        <f t="shared" si="144"/>
        <v>291.1952427029787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0.17884562881103483</v>
      </c>
      <c r="AW135" s="23">
        <f>EXP(-LN(2)/2)*AW134+(1-EXP(-LN(2)/2))/(LN(2)/2)*AQ135*AT135*VLOOKUP('Données projet'!$B$10,Paramètres!$A$1:$I$89,3,0)*0.475*44/12</f>
        <v>6.2456810762001587E-15</v>
      </c>
      <c r="AX135" s="23">
        <f t="shared" si="114"/>
        <v>0.17884562881104107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66.601493269100857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-9.9316821433603781E-14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373.50005214669716</v>
      </c>
      <c r="BJ135" s="62">
        <f t="shared" si="146"/>
        <v>383.60460086643036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0.93684991088384806</v>
      </c>
      <c r="BR135" s="23">
        <f>EXP(-LN(2)/2)*BR134+(1-EXP(-LN(2)/2))/(LN(2)/2)*BL135*BO135*VLOOKUP('Données projet'!$B$11,Paramètres!$A$1:$I$89,3,0)*0.475*44/12</f>
        <v>6.6146086943601303E-15</v>
      </c>
      <c r="BS135" s="24">
        <f t="shared" si="117"/>
        <v>0.93684991088385472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66.601493269100857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210.13237351083279</v>
      </c>
      <c r="CE135" s="62">
        <f t="shared" si="148"/>
        <v>423.06475179432277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13.106293158878051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1.1812104360900044E-13</v>
      </c>
      <c r="CN135" s="24">
        <f t="shared" si="120"/>
        <v>13.106293158878168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66.601493269100857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493.89660144134291</v>
      </c>
      <c r="CZ135" s="62">
        <f t="shared" si="150"/>
        <v>312.97494624463229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0.53987019966210159</v>
      </c>
      <c r="DH135" s="23">
        <f>EXP(-LN(2)/2)*DH134+(1-EXP(-LN(2)/2))/(LN(2)/2)*DB135*DE135*VLOOKUP('Données projet'!$B$13,Paramètres!$A$1:$I$89,3,0)*0.475*44/12</f>
        <v>6.6212700409441083E-15</v>
      </c>
      <c r="DI135" s="24">
        <f t="shared" si="123"/>
        <v>0.53987019966210825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66.601493269100857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>
        <f>DO135*VLOOKUP('Données projet'!$B$14,Paramètres!$A$1:$I$89,3,0)*VLOOKUP('Données projet'!$B$14,Paramètres!$A$1:$I$89,5,0)</f>
        <v>0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210.13237351083279</v>
      </c>
      <c r="DU135" s="62">
        <f t="shared" si="152"/>
        <v>423.06475179432277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13.106293158878051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1.1812104360900044E-13</v>
      </c>
      <c r="ED135" s="24">
        <f t="shared" si="126"/>
        <v>13.106293158878168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66.601493269100857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66.601493269100857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66.601493269100857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66.601493269100857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4.5049999999999999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16.518333333333334</v>
      </c>
      <c r="H136" s="70">
        <f t="shared" si="110"/>
        <v>147.64566666666667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66.660449762959161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5.3205440053716299E-14</v>
      </c>
      <c r="P136" s="14">
        <f t="shared" si="141"/>
        <v>8.602146238565607E-13</v>
      </c>
      <c r="Q136" s="22">
        <f t="shared" si="108"/>
        <v>1.590873277977066E-12</v>
      </c>
      <c r="R136" s="62">
        <f t="shared" si="109"/>
        <v>281.08831579751853</v>
      </c>
      <c r="S136" s="62">
        <f ca="1">AVERAGE(OFFSET($R$3,0,0,'Données projet'!$E$9+1,1))-AVERAGE(OFFSET($H$3,0,0,'Données projet'!$E$9+1,1))</f>
        <v>374.81775021423215</v>
      </c>
      <c r="T136" s="62">
        <f t="shared" si="142"/>
        <v>301.81248585467142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66.660449762959161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1.1527845344971866E-13</v>
      </c>
      <c r="AK136" s="14">
        <f t="shared" si="143"/>
        <v>1.7033846239409443E-12</v>
      </c>
      <c r="AL136" s="22">
        <f t="shared" si="112"/>
        <v>3.1675048597887374E-12</v>
      </c>
      <c r="AM136" s="62">
        <f t="shared" si="113"/>
        <v>281.08831579752012</v>
      </c>
      <c r="AN136" s="62">
        <f ca="1">AVERAGE(OFFSET($AM$3,0,0,'Données projet'!$E$10+1,1))-AVERAGE(OFFSET($H$3,0,0,'Données projet'!$E$10+1,1))</f>
        <v>468.39960552661171</v>
      </c>
      <c r="AO136" s="62">
        <f t="shared" si="144"/>
        <v>291.1952427029787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0.17395508568611423</v>
      </c>
      <c r="AW136" s="23">
        <f>EXP(-LN(2)/2)*AW135+(1-EXP(-LN(2)/2))/(LN(2)/2)*AQ136*AT136*VLOOKUP('Données projet'!$B$10,Paramètres!$A$1:$I$89,3,0)*0.475*44/12</f>
        <v>4.4163634421096263E-15</v>
      </c>
      <c r="AX136" s="23">
        <f t="shared" si="114"/>
        <v>0.17395508568611864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66.660449762959161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-9.9316821433603781E-14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373.50005214669716</v>
      </c>
      <c r="BJ136" s="62">
        <f t="shared" si="146"/>
        <v>383.60460086643036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0.91123170080393356</v>
      </c>
      <c r="BR136" s="23">
        <f>EXP(-LN(2)/2)*BR135+(1-EXP(-LN(2)/2))/(LN(2)/2)*BL136*BO136*VLOOKUP('Données projet'!$B$11,Paramètres!$A$1:$I$89,3,0)*0.475*44/12</f>
        <v>4.6772346626775434E-15</v>
      </c>
      <c r="BS136" s="24">
        <f t="shared" si="117"/>
        <v>0.91123170080393823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66.660449762959161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210.13237351083279</v>
      </c>
      <c r="CE136" s="62">
        <f t="shared" si="148"/>
        <v>423.06475179432277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12.849286744081933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8.3524190936756116E-14</v>
      </c>
      <c r="CN136" s="24">
        <f t="shared" si="120"/>
        <v>12.849286744082017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66.660449762959161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493.89660144134291</v>
      </c>
      <c r="CZ136" s="62">
        <f t="shared" si="150"/>
        <v>312.97494624463229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0.52510742066180149</v>
      </c>
      <c r="DH136" s="23">
        <f>EXP(-LN(2)/2)*DH135+(1-EXP(-LN(2)/2))/(LN(2)/2)*DB136*DE136*VLOOKUP('Données projet'!$B$13,Paramètres!$A$1:$I$89,3,0)*0.475*44/12</f>
        <v>4.6819449460189081E-15</v>
      </c>
      <c r="DI136" s="24">
        <f t="shared" si="123"/>
        <v>0.52510742066180616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66.660449762959161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>
        <f>DO136*VLOOKUP('Données projet'!$B$14,Paramètres!$A$1:$I$89,3,0)*VLOOKUP('Données projet'!$B$14,Paramètres!$A$1:$I$89,5,0)</f>
        <v>0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210.13237351083279</v>
      </c>
      <c r="DU136" s="62">
        <f t="shared" si="152"/>
        <v>423.06475179432277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12.849286744081933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8.3524190936756116E-14</v>
      </c>
      <c r="ED136" s="24">
        <f t="shared" si="126"/>
        <v>12.849286744082017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66.660449762959161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66.660449762959161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66.660449762959161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66.660449762959161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4.5049999999999999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16.518333333333334</v>
      </c>
      <c r="H137" s="70">
        <f t="shared" si="110"/>
        <v>147.64566666666667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66.718383493456002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5.3205440053716299E-14</v>
      </c>
      <c r="P137" s="14">
        <f t="shared" si="141"/>
        <v>8.602146238565607E-13</v>
      </c>
      <c r="Q137" s="22">
        <f t="shared" si="108"/>
        <v>1.590873277977066E-12</v>
      </c>
      <c r="R137" s="62">
        <f t="shared" si="109"/>
        <v>281.30073947600692</v>
      </c>
      <c r="S137" s="62">
        <f ca="1">AVERAGE(OFFSET($R$3,0,0,'Données projet'!$E$9+1,1))-AVERAGE(OFFSET($H$3,0,0,'Données projet'!$E$9+1,1))</f>
        <v>374.81775021423215</v>
      </c>
      <c r="T137" s="62">
        <f t="shared" si="142"/>
        <v>301.81248585467142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66.718383493456002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1.1527845344971866E-13</v>
      </c>
      <c r="AK137" s="14">
        <f t="shared" si="143"/>
        <v>1.7033846239409443E-12</v>
      </c>
      <c r="AL137" s="22">
        <f t="shared" si="112"/>
        <v>3.1675048597887374E-12</v>
      </c>
      <c r="AM137" s="62">
        <f t="shared" si="113"/>
        <v>281.30073947600852</v>
      </c>
      <c r="AN137" s="62">
        <f ca="1">AVERAGE(OFFSET($AM$3,0,0,'Données projet'!$E$10+1,1))-AVERAGE(OFFSET($H$3,0,0,'Données projet'!$E$10+1,1))</f>
        <v>468.39960552661171</v>
      </c>
      <c r="AO137" s="62">
        <f t="shared" si="144"/>
        <v>291.1952427029787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0.16919827472012705</v>
      </c>
      <c r="AW137" s="23">
        <f>EXP(-LN(2)/2)*AW136+(1-EXP(-LN(2)/2))/(LN(2)/2)*AQ137*AT137*VLOOKUP('Données projet'!$B$10,Paramètres!$A$1:$I$89,3,0)*0.475*44/12</f>
        <v>3.1228405381000794E-15</v>
      </c>
      <c r="AX137" s="23">
        <f t="shared" si="114"/>
        <v>0.16919827472013019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66.718383493456002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-9.9316821433603781E-14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373.50005214669716</v>
      </c>
      <c r="BJ137" s="62">
        <f t="shared" si="146"/>
        <v>383.60460086643036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0.88631402202585752</v>
      </c>
      <c r="BR137" s="23">
        <f>EXP(-LN(2)/2)*BR136+(1-EXP(-LN(2)/2))/(LN(2)/2)*BL137*BO137*VLOOKUP('Données projet'!$B$11,Paramètres!$A$1:$I$89,3,0)*0.475*44/12</f>
        <v>3.3073043471800652E-15</v>
      </c>
      <c r="BS137" s="24">
        <f t="shared" si="117"/>
        <v>0.88631402202586085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66.718383493456002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210.13237351083279</v>
      </c>
      <c r="CE137" s="62">
        <f t="shared" si="148"/>
        <v>423.06475179432277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12.597320068321531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5.9060521804500221E-14</v>
      </c>
      <c r="CN137" s="24">
        <f t="shared" si="120"/>
        <v>12.59732006832159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66.718383493456002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493.89660144134291</v>
      </c>
      <c r="CZ137" s="62">
        <f t="shared" si="150"/>
        <v>312.97494624463229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0.51074833062960545</v>
      </c>
      <c r="DH137" s="23">
        <f>EXP(-LN(2)/2)*DH136+(1-EXP(-LN(2)/2))/(LN(2)/2)*DB137*DE137*VLOOKUP('Données projet'!$B$13,Paramètres!$A$1:$I$89,3,0)*0.475*44/12</f>
        <v>3.3106350204720542E-15</v>
      </c>
      <c r="DI137" s="24">
        <f t="shared" si="123"/>
        <v>0.51074833062960878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66.718383493456002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>
        <f>DO137*VLOOKUP('Données projet'!$B$14,Paramètres!$A$1:$I$89,3,0)*VLOOKUP('Données projet'!$B$14,Paramètres!$A$1:$I$89,5,0)</f>
        <v>0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210.13237351083279</v>
      </c>
      <c r="DU137" s="62">
        <f t="shared" si="152"/>
        <v>423.06475179432277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12.597320068321531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5.9060521804500221E-14</v>
      </c>
      <c r="ED137" s="24">
        <f t="shared" si="126"/>
        <v>12.59732006832159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66.718383493456002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66.718383493456002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66.718383493456002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66.718383493456002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4.5049999999999999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16.518333333333334</v>
      </c>
      <c r="H138" s="70">
        <f t="shared" si="110"/>
        <v>147.64566666666667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66.775312203249129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5.3205440053716299E-14</v>
      </c>
      <c r="P138" s="14">
        <f t="shared" si="141"/>
        <v>8.602146238565607E-13</v>
      </c>
      <c r="Q138" s="22">
        <f t="shared" si="108"/>
        <v>1.590873277977066E-12</v>
      </c>
      <c r="R138" s="62">
        <f t="shared" si="109"/>
        <v>281.50947807858171</v>
      </c>
      <c r="S138" s="62">
        <f ca="1">AVERAGE(OFFSET($R$3,0,0,'Données projet'!$E$9+1,1))-AVERAGE(OFFSET($H$3,0,0,'Données projet'!$E$9+1,1))</f>
        <v>374.81775021423215</v>
      </c>
      <c r="T138" s="62">
        <f t="shared" si="142"/>
        <v>301.81248585467142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66.775312203249129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1.1527845344971866E-13</v>
      </c>
      <c r="AK138" s="14">
        <f t="shared" si="143"/>
        <v>1.7033846239409443E-12</v>
      </c>
      <c r="AL138" s="22">
        <f t="shared" si="112"/>
        <v>3.1675048597887374E-12</v>
      </c>
      <c r="AM138" s="62">
        <f t="shared" si="113"/>
        <v>281.5094780785833</v>
      </c>
      <c r="AN138" s="62">
        <f ca="1">AVERAGE(OFFSET($AM$3,0,0,'Données projet'!$E$10+1,1))-AVERAGE(OFFSET($H$3,0,0,'Données projet'!$E$10+1,1))</f>
        <v>468.39960552661171</v>
      </c>
      <c r="AO138" s="62">
        <f t="shared" si="144"/>
        <v>291.1952427029787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0.16457153900015462</v>
      </c>
      <c r="AW138" s="23">
        <f>EXP(-LN(2)/2)*AW137+(1-EXP(-LN(2)/2))/(LN(2)/2)*AQ138*AT138*VLOOKUP('Données projet'!$B$10,Paramètres!$A$1:$I$89,3,0)*0.475*44/12</f>
        <v>2.2081817210548131E-15</v>
      </c>
      <c r="AX138" s="23">
        <f t="shared" si="114"/>
        <v>0.16457153900015684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66.775312203249129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-9.9316821433603781E-14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373.50005214669716</v>
      </c>
      <c r="BJ138" s="62">
        <f t="shared" si="146"/>
        <v>383.60460086643036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0.86207771848433168</v>
      </c>
      <c r="BR138" s="23">
        <f>EXP(-LN(2)/2)*BR137+(1-EXP(-LN(2)/2))/(LN(2)/2)*BL138*BO138*VLOOKUP('Données projet'!$B$11,Paramètres!$A$1:$I$89,3,0)*0.475*44/12</f>
        <v>2.3386173313387717E-15</v>
      </c>
      <c r="BS138" s="24">
        <f t="shared" si="117"/>
        <v>0.86207771848433401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66.775312203249129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210.13237351083279</v>
      </c>
      <c r="CE138" s="62">
        <f t="shared" si="148"/>
        <v>423.06475179432277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12.350294305388294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4.1762095468378058E-14</v>
      </c>
      <c r="CN138" s="24">
        <f t="shared" si="120"/>
        <v>12.350294305388337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66.775312203249129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493.89660144134291</v>
      </c>
      <c r="CZ138" s="62">
        <f t="shared" si="150"/>
        <v>312.97494624463229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0.4967818906694515</v>
      </c>
      <c r="DH138" s="23">
        <f>EXP(-LN(2)/2)*DH137+(1-EXP(-LN(2)/2))/(LN(2)/2)*DB138*DE138*VLOOKUP('Données projet'!$B$13,Paramètres!$A$1:$I$89,3,0)*0.475*44/12</f>
        <v>2.3409724730094541E-15</v>
      </c>
      <c r="DI138" s="24">
        <f t="shared" si="123"/>
        <v>0.49678189066945383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66.775312203249129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>
        <f>DO138*VLOOKUP('Données projet'!$B$14,Paramètres!$A$1:$I$89,3,0)*VLOOKUP('Données projet'!$B$14,Paramètres!$A$1:$I$89,5,0)</f>
        <v>0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210.13237351083279</v>
      </c>
      <c r="DU138" s="62">
        <f t="shared" si="152"/>
        <v>423.06475179432277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12.350294305388294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4.1762095468378058E-14</v>
      </c>
      <c r="ED138" s="24">
        <f t="shared" si="126"/>
        <v>12.350294305388337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66.775312203249129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66.775312203249129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66.775312203249129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66.775312203249129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4.5049999999999999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16.518333333333334</v>
      </c>
      <c r="H139" s="70">
        <f t="shared" si="110"/>
        <v>147.64566666666667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66.831253327200869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5.3205440053716299E-14</v>
      </c>
      <c r="P139" s="14">
        <f t="shared" si="141"/>
        <v>8.602146238565607E-13</v>
      </c>
      <c r="Q139" s="22">
        <f t="shared" si="108"/>
        <v>1.590873277977066E-12</v>
      </c>
      <c r="R139" s="62">
        <f t="shared" si="109"/>
        <v>281.71459553307142</v>
      </c>
      <c r="S139" s="62">
        <f ca="1">AVERAGE(OFFSET($R$3,0,0,'Données projet'!$E$9+1,1))-AVERAGE(OFFSET($H$3,0,0,'Données projet'!$E$9+1,1))</f>
        <v>374.81775021423215</v>
      </c>
      <c r="T139" s="62">
        <f t="shared" si="142"/>
        <v>301.81248585467142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66.831253327200869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1.1527845344971866E-13</v>
      </c>
      <c r="AK139" s="14">
        <f t="shared" si="143"/>
        <v>1.7033846239409443E-12</v>
      </c>
      <c r="AL139" s="22">
        <f t="shared" si="112"/>
        <v>3.1675048597887374E-12</v>
      </c>
      <c r="AM139" s="62">
        <f t="shared" si="113"/>
        <v>281.71459553307301</v>
      </c>
      <c r="AN139" s="62">
        <f ca="1">AVERAGE(OFFSET($AM$3,0,0,'Données projet'!$E$10+1,1))-AVERAGE(OFFSET($H$3,0,0,'Données projet'!$E$10+1,1))</f>
        <v>468.39960552661171</v>
      </c>
      <c r="AO139" s="62">
        <f t="shared" si="144"/>
        <v>291.1952427029787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0.16007132161175427</v>
      </c>
      <c r="AW139" s="23">
        <f>EXP(-LN(2)/2)*AW138+(1-EXP(-LN(2)/2))/(LN(2)/2)*AQ139*AT139*VLOOKUP('Données projet'!$B$10,Paramètres!$A$1:$I$89,3,0)*0.475*44/12</f>
        <v>1.5614202690500397E-15</v>
      </c>
      <c r="AX139" s="23">
        <f t="shared" si="114"/>
        <v>0.16007132161175583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66.831253327200869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-9.9316821433603781E-14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373.50005214669716</v>
      </c>
      <c r="BJ139" s="62">
        <f t="shared" si="146"/>
        <v>383.60460086643036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0.83850415793768074</v>
      </c>
      <c r="BR139" s="23">
        <f>EXP(-LN(2)/2)*BR138+(1-EXP(-LN(2)/2))/(LN(2)/2)*BL139*BO139*VLOOKUP('Données projet'!$B$11,Paramètres!$A$1:$I$89,3,0)*0.475*44/12</f>
        <v>1.6536521735900326E-15</v>
      </c>
      <c r="BS139" s="24">
        <f t="shared" si="117"/>
        <v>0.8385041579376824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66.831253327200869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210.13237351083279</v>
      </c>
      <c r="CE139" s="62">
        <f t="shared" si="148"/>
        <v>423.06475179432277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12.10811256699534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2.9530260902250111E-14</v>
      </c>
      <c r="CN139" s="24">
        <f t="shared" si="120"/>
        <v>12.10811256699537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66.831253327200869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493.89660144134291</v>
      </c>
      <c r="CZ139" s="62">
        <f t="shared" si="150"/>
        <v>312.97494624463229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0.48319736374447114</v>
      </c>
      <c r="DH139" s="23">
        <f>EXP(-LN(2)/2)*DH138+(1-EXP(-LN(2)/2))/(LN(2)/2)*DB139*DE139*VLOOKUP('Données projet'!$B$13,Paramètres!$A$1:$I$89,3,0)*0.475*44/12</f>
        <v>1.6553175102360271E-15</v>
      </c>
      <c r="DI139" s="24">
        <f t="shared" si="123"/>
        <v>0.48319736374447281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66.831253327200869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>
        <f>DO139*VLOOKUP('Données projet'!$B$14,Paramètres!$A$1:$I$89,3,0)*VLOOKUP('Données projet'!$B$14,Paramètres!$A$1:$I$89,5,0)</f>
        <v>0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210.13237351083279</v>
      </c>
      <c r="DU139" s="62">
        <f t="shared" si="152"/>
        <v>423.06475179432277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12.10811256699534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2.9530260902250111E-14</v>
      </c>
      <c r="ED139" s="24">
        <f t="shared" si="126"/>
        <v>12.10811256699537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66.831253327200869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66.831253327200869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66.831253327200869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66.831253327200869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4.5049999999999999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16.518333333333334</v>
      </c>
      <c r="H140" s="70">
        <f t="shared" si="110"/>
        <v>147.64566666666667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66.886223997717664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5.3205440053716299E-14</v>
      </c>
      <c r="P140" s="14">
        <f t="shared" si="141"/>
        <v>8.602146238565607E-13</v>
      </c>
      <c r="Q140" s="22">
        <f t="shared" si="108"/>
        <v>1.590873277977066E-12</v>
      </c>
      <c r="R140" s="62">
        <f t="shared" si="109"/>
        <v>281.91615465829972</v>
      </c>
      <c r="S140" s="62">
        <f ca="1">AVERAGE(OFFSET($R$3,0,0,'Données projet'!$E$9+1,1))-AVERAGE(OFFSET($H$3,0,0,'Données projet'!$E$9+1,1))</f>
        <v>374.81775021423215</v>
      </c>
      <c r="T140" s="62">
        <f t="shared" si="142"/>
        <v>301.81248585467142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66.886223997717664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1.1527845344971866E-13</v>
      </c>
      <c r="AK140" s="14">
        <f t="shared" si="143"/>
        <v>1.7033846239409443E-12</v>
      </c>
      <c r="AL140" s="22">
        <f t="shared" si="112"/>
        <v>3.1675048597887374E-12</v>
      </c>
      <c r="AM140" s="62">
        <f t="shared" si="113"/>
        <v>281.91615465830131</v>
      </c>
      <c r="AN140" s="62">
        <f ca="1">AVERAGE(OFFSET($AM$3,0,0,'Données projet'!$E$10+1,1))-AVERAGE(OFFSET($H$3,0,0,'Données projet'!$E$10+1,1))</f>
        <v>468.39960552661171</v>
      </c>
      <c r="AO140" s="62">
        <f t="shared" si="144"/>
        <v>291.1952427029787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0.15569416290449589</v>
      </c>
      <c r="AW140" s="23">
        <f>EXP(-LN(2)/2)*AW139+(1-EXP(-LN(2)/2))/(LN(2)/2)*AQ140*AT140*VLOOKUP('Données projet'!$B$10,Paramètres!$A$1:$I$89,3,0)*0.475*44/12</f>
        <v>1.1040908605274066E-15</v>
      </c>
      <c r="AX140" s="23">
        <f t="shared" si="114"/>
        <v>0.155694162904497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66.886223997717664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-9.9316821433603781E-14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373.50005214669716</v>
      </c>
      <c r="BJ140" s="62">
        <f t="shared" si="146"/>
        <v>383.60460086643036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0.81557521764385765</v>
      </c>
      <c r="BR140" s="23">
        <f>EXP(-LN(2)/2)*BR139+(1-EXP(-LN(2)/2))/(LN(2)/2)*BL140*BO140*VLOOKUP('Données projet'!$B$11,Paramètres!$A$1:$I$89,3,0)*0.475*44/12</f>
        <v>1.1693086656693859E-15</v>
      </c>
      <c r="BS140" s="24">
        <f t="shared" si="117"/>
        <v>0.81557521764385887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66.886223997717664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210.13237351083279</v>
      </c>
      <c r="CE140" s="62">
        <f t="shared" si="148"/>
        <v>423.06475179432277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11.870679864775997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2.0881047734189029E-14</v>
      </c>
      <c r="CN140" s="24">
        <f t="shared" si="120"/>
        <v>11.870679864776019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66.886223997717664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493.89660144134291</v>
      </c>
      <c r="CZ140" s="62">
        <f t="shared" si="150"/>
        <v>312.97494624463229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0.46998430642263356</v>
      </c>
      <c r="DH140" s="23">
        <f>EXP(-LN(2)/2)*DH139+(1-EXP(-LN(2)/2))/(LN(2)/2)*DB140*DE140*VLOOKUP('Données projet'!$B$13,Paramètres!$A$1:$I$89,3,0)*0.475*44/12</f>
        <v>1.170486236504727E-15</v>
      </c>
      <c r="DI140" s="24">
        <f t="shared" si="123"/>
        <v>0.46998430642263472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66.886223997717664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>
        <f>DO140*VLOOKUP('Données projet'!$B$14,Paramètres!$A$1:$I$89,3,0)*VLOOKUP('Données projet'!$B$14,Paramètres!$A$1:$I$89,5,0)</f>
        <v>0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210.13237351083279</v>
      </c>
      <c r="DU140" s="62">
        <f t="shared" si="152"/>
        <v>423.06475179432277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11.870679864775997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2.0881047734189029E-14</v>
      </c>
      <c r="ED140" s="24">
        <f t="shared" si="126"/>
        <v>11.870679864776019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66.886223997717664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66.886223997717664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66.886223997717664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66.886223997717664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4.5049999999999999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16.518333333333334</v>
      </c>
      <c r="H141" s="70">
        <f t="shared" si="110"/>
        <v>147.64566666666667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66.940241049997013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5.3205440053716299E-14</v>
      </c>
      <c r="P141" s="14">
        <f t="shared" si="141"/>
        <v>8.602146238565607E-13</v>
      </c>
      <c r="Q141" s="22">
        <f t="shared" si="108"/>
        <v>1.590873277977066E-12</v>
      </c>
      <c r="R141" s="62">
        <f t="shared" si="109"/>
        <v>282.114217183324</v>
      </c>
      <c r="S141" s="62">
        <f ca="1">AVERAGE(OFFSET($R$3,0,0,'Données projet'!$E$9+1,1))-AVERAGE(OFFSET($H$3,0,0,'Données projet'!$E$9+1,1))</f>
        <v>374.81775021423215</v>
      </c>
      <c r="T141" s="62">
        <f t="shared" si="142"/>
        <v>301.81248585467142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66.940241049997013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1.1527845344971866E-13</v>
      </c>
      <c r="AK141" s="14">
        <f t="shared" si="143"/>
        <v>1.7033846239409443E-12</v>
      </c>
      <c r="AL141" s="22">
        <f t="shared" si="112"/>
        <v>3.1675048597887374E-12</v>
      </c>
      <c r="AM141" s="62">
        <f t="shared" si="113"/>
        <v>282.11421718332559</v>
      </c>
      <c r="AN141" s="62">
        <f ca="1">AVERAGE(OFFSET($AM$3,0,0,'Données projet'!$E$10+1,1))-AVERAGE(OFFSET($H$3,0,0,'Données projet'!$E$10+1,1))</f>
        <v>468.39960552661171</v>
      </c>
      <c r="AO141" s="62">
        <f t="shared" si="144"/>
        <v>291.1952427029787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0.15143669783227226</v>
      </c>
      <c r="AW141" s="23">
        <f>EXP(-LN(2)/2)*AW140+(1-EXP(-LN(2)/2))/(LN(2)/2)*AQ141*AT141*VLOOKUP('Données projet'!$B$10,Paramètres!$A$1:$I$89,3,0)*0.475*44/12</f>
        <v>7.8071013452501984E-16</v>
      </c>
      <c r="AX141" s="23">
        <f t="shared" si="114"/>
        <v>0.15143669783227304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66.940241049997013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-9.9316821433603781E-14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373.50005214669716</v>
      </c>
      <c r="BJ141" s="62">
        <f t="shared" si="146"/>
        <v>383.60460086643036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0.79327327042814966</v>
      </c>
      <c r="BR141" s="23">
        <f>EXP(-LN(2)/2)*BR140+(1-EXP(-LN(2)/2))/(LN(2)/2)*BL141*BO141*VLOOKUP('Données projet'!$B$11,Paramètres!$A$1:$I$89,3,0)*0.475*44/12</f>
        <v>8.2682608679501629E-16</v>
      </c>
      <c r="BS141" s="24">
        <f t="shared" si="117"/>
        <v>0.79327327042815043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66.940241049997013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210.13237351083279</v>
      </c>
      <c r="CE141" s="62">
        <f t="shared" si="148"/>
        <v>423.06475179432277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11.637903073027527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1.4765130451125055E-14</v>
      </c>
      <c r="CN141" s="24">
        <f t="shared" si="120"/>
        <v>11.637903073027541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66.940241049997013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493.89660144134291</v>
      </c>
      <c r="CZ141" s="62">
        <f t="shared" si="150"/>
        <v>312.97494624463229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0.45713256084810611</v>
      </c>
      <c r="DH141" s="23">
        <f>EXP(-LN(2)/2)*DH140+(1-EXP(-LN(2)/2))/(LN(2)/2)*DB141*DE141*VLOOKUP('Données projet'!$B$13,Paramètres!$A$1:$I$89,3,0)*0.475*44/12</f>
        <v>8.2765875511801354E-16</v>
      </c>
      <c r="DI141" s="24">
        <f t="shared" si="123"/>
        <v>0.45713256084810694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66.940241049997013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>
        <f>DO141*VLOOKUP('Données projet'!$B$14,Paramètres!$A$1:$I$89,3,0)*VLOOKUP('Données projet'!$B$14,Paramètres!$A$1:$I$89,5,0)</f>
        <v>0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210.13237351083279</v>
      </c>
      <c r="DU141" s="62">
        <f t="shared" si="152"/>
        <v>423.06475179432277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11.637903073027527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1.4765130451125055E-14</v>
      </c>
      <c r="ED141" s="24">
        <f t="shared" si="126"/>
        <v>11.637903073027541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66.940241049997013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66.940241049997013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66.940241049997013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66.940241049997013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4.5049999999999999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16.518333333333334</v>
      </c>
      <c r="H142" s="70">
        <f t="shared" si="110"/>
        <v>147.64566666666667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66.993321027183356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5.3205440053716299E-14</v>
      </c>
      <c r="P142" s="14">
        <f t="shared" si="141"/>
        <v>8.602146238565607E-13</v>
      </c>
      <c r="Q142" s="22">
        <f t="shared" si="108"/>
        <v>1.590873277977066E-12</v>
      </c>
      <c r="R142" s="62">
        <f t="shared" si="109"/>
        <v>282.30884376634054</v>
      </c>
      <c r="S142" s="62">
        <f ca="1">AVERAGE(OFFSET($R$3,0,0,'Données projet'!$E$9+1,1))-AVERAGE(OFFSET($H$3,0,0,'Données projet'!$E$9+1,1))</f>
        <v>374.81775021423215</v>
      </c>
      <c r="T142" s="62">
        <f t="shared" si="142"/>
        <v>301.81248585467142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66.993321027183356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1.1527845344971866E-13</v>
      </c>
      <c r="AK142" s="14">
        <f t="shared" si="143"/>
        <v>1.7033846239409443E-12</v>
      </c>
      <c r="AL142" s="22">
        <f t="shared" si="112"/>
        <v>3.1675048597887374E-12</v>
      </c>
      <c r="AM142" s="62">
        <f t="shared" si="113"/>
        <v>282.30884376634214</v>
      </c>
      <c r="AN142" s="62">
        <f ca="1">AVERAGE(OFFSET($AM$3,0,0,'Données projet'!$E$10+1,1))-AVERAGE(OFFSET($H$3,0,0,'Données projet'!$E$10+1,1))</f>
        <v>468.39960552661171</v>
      </c>
      <c r="AO142" s="62">
        <f t="shared" si="144"/>
        <v>291.1952427029787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0.14729565336633896</v>
      </c>
      <c r="AW142" s="23">
        <f>EXP(-LN(2)/2)*AW141+(1-EXP(-LN(2)/2))/(LN(2)/2)*AQ142*AT142*VLOOKUP('Données projet'!$B$10,Paramètres!$A$1:$I$89,3,0)*0.475*44/12</f>
        <v>5.5204543026370328E-16</v>
      </c>
      <c r="AX142" s="23">
        <f t="shared" si="114"/>
        <v>0.14729565336633951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66.993321027183356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-9.9316821433603781E-14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373.50005214669716</v>
      </c>
      <c r="BJ142" s="62">
        <f t="shared" si="146"/>
        <v>383.60460086643036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0.77158117113186364</v>
      </c>
      <c r="BR142" s="23">
        <f>EXP(-LN(2)/2)*BR141+(1-EXP(-LN(2)/2))/(LN(2)/2)*BL142*BO142*VLOOKUP('Données projet'!$B$11,Paramètres!$A$1:$I$89,3,0)*0.475*44/12</f>
        <v>5.8465433283469293E-16</v>
      </c>
      <c r="BS142" s="24">
        <f t="shared" si="117"/>
        <v>0.7715811711318642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66.993321027183356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210.13237351083279</v>
      </c>
      <c r="CE142" s="62">
        <f t="shared" si="148"/>
        <v>423.06475179432277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11.40969089218542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1.0440523867094514E-14</v>
      </c>
      <c r="CN142" s="24">
        <f t="shared" si="120"/>
        <v>11.409690892185431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66.993321027183356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493.89660144134291</v>
      </c>
      <c r="CZ142" s="62">
        <f t="shared" si="150"/>
        <v>312.97494624463229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0.44463224693215808</v>
      </c>
      <c r="DH142" s="23">
        <f>EXP(-LN(2)/2)*DH141+(1-EXP(-LN(2)/2))/(LN(2)/2)*DB142*DE142*VLOOKUP('Données projet'!$B$13,Paramètres!$A$1:$I$89,3,0)*0.475*44/12</f>
        <v>5.8524311825236352E-16</v>
      </c>
      <c r="DI142" s="24">
        <f t="shared" si="123"/>
        <v>0.44463224693215869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66.993321027183356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>
        <f>DO142*VLOOKUP('Données projet'!$B$14,Paramètres!$A$1:$I$89,3,0)*VLOOKUP('Données projet'!$B$14,Paramètres!$A$1:$I$89,5,0)</f>
        <v>0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210.13237351083279</v>
      </c>
      <c r="DU142" s="62">
        <f t="shared" si="152"/>
        <v>423.06475179432277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11.40969089218542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1.0440523867094514E-14</v>
      </c>
      <c r="ED142" s="24">
        <f t="shared" si="126"/>
        <v>11.409690892185431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66.993321027183356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66.993321027183356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66.993321027183356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66.993321027183356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4.5049999999999999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16.518333333333334</v>
      </c>
      <c r="H143" s="70">
        <f t="shared" si="110"/>
        <v>147.64566666666667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67.045480185434556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5.3205440053716299E-14</v>
      </c>
      <c r="P143" s="14">
        <f t="shared" si="141"/>
        <v>8.602146238565607E-13</v>
      </c>
      <c r="Q143" s="22">
        <f t="shared" si="108"/>
        <v>1.590873277977066E-12</v>
      </c>
      <c r="R143" s="62">
        <f t="shared" si="109"/>
        <v>282.50009401326162</v>
      </c>
      <c r="S143" s="62">
        <f ca="1">AVERAGE(OFFSET($R$3,0,0,'Données projet'!$E$9+1,1))-AVERAGE(OFFSET($H$3,0,0,'Données projet'!$E$9+1,1))</f>
        <v>374.81775021423215</v>
      </c>
      <c r="T143" s="62">
        <f t="shared" si="142"/>
        <v>301.81248585467142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67.045480185434556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1.1527845344971866E-13</v>
      </c>
      <c r="AK143" s="14">
        <f t="shared" si="143"/>
        <v>1.7033846239409443E-12</v>
      </c>
      <c r="AL143" s="22">
        <f t="shared" si="112"/>
        <v>3.1675048597887374E-12</v>
      </c>
      <c r="AM143" s="62">
        <f t="shared" si="113"/>
        <v>282.50009401326321</v>
      </c>
      <c r="AN143" s="62">
        <f ca="1">AVERAGE(OFFSET($AM$3,0,0,'Données projet'!$E$10+1,1))-AVERAGE(OFFSET($H$3,0,0,'Données projet'!$E$10+1,1))</f>
        <v>468.39960552661171</v>
      </c>
      <c r="AO143" s="62">
        <f t="shared" si="144"/>
        <v>291.1952427029787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0.14326784597909464</v>
      </c>
      <c r="AW143" s="23">
        <f>EXP(-LN(2)/2)*AW142+(1-EXP(-LN(2)/2))/(LN(2)/2)*AQ143*AT143*VLOOKUP('Données projet'!$B$10,Paramètres!$A$1:$I$89,3,0)*0.475*44/12</f>
        <v>3.9035506726250992E-16</v>
      </c>
      <c r="AX143" s="23">
        <f t="shared" si="114"/>
        <v>0.14326784597909503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67.045480185434556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-9.9316821433603781E-14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373.50005214669716</v>
      </c>
      <c r="BJ143" s="62">
        <f t="shared" si="146"/>
        <v>383.60460086643036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0.75048224343157255</v>
      </c>
      <c r="BR143" s="23">
        <f>EXP(-LN(2)/2)*BR142+(1-EXP(-LN(2)/2))/(LN(2)/2)*BL143*BO143*VLOOKUP('Données projet'!$B$11,Paramètres!$A$1:$I$89,3,0)*0.475*44/12</f>
        <v>4.1341304339750815E-16</v>
      </c>
      <c r="BS143" s="24">
        <f t="shared" si="117"/>
        <v>0.75048224343157299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67.045480185434556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210.13237351083279</v>
      </c>
      <c r="CE143" s="62">
        <f t="shared" si="148"/>
        <v>423.06475179432277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11.185953813013942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7.3825652255625277E-15</v>
      </c>
      <c r="CN143" s="24">
        <f t="shared" si="120"/>
        <v>11.185953813013949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67.045480185434556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493.89660144134291</v>
      </c>
      <c r="CZ143" s="62">
        <f t="shared" si="150"/>
        <v>312.97494624463229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0.43247375475760458</v>
      </c>
      <c r="DH143" s="23">
        <f>EXP(-LN(2)/2)*DH142+(1-EXP(-LN(2)/2))/(LN(2)/2)*DB143*DE143*VLOOKUP('Données projet'!$B$13,Paramètres!$A$1:$I$89,3,0)*0.475*44/12</f>
        <v>4.1382937755900677E-16</v>
      </c>
      <c r="DI143" s="24">
        <f t="shared" si="123"/>
        <v>0.43247375475760497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67.045480185434556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>
        <f>DO143*VLOOKUP('Données projet'!$B$14,Paramètres!$A$1:$I$89,3,0)*VLOOKUP('Données projet'!$B$14,Paramètres!$A$1:$I$89,5,0)</f>
        <v>0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210.13237351083279</v>
      </c>
      <c r="DU143" s="62">
        <f t="shared" si="152"/>
        <v>423.06475179432277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11.185953813013942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7.3825652255625277E-15</v>
      </c>
      <c r="ED143" s="24">
        <f t="shared" si="126"/>
        <v>11.185953813013949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67.045480185434556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67.045480185434556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67.045480185434556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67.045480185434556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4.5049999999999999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16.518333333333334</v>
      </c>
      <c r="H144" s="70">
        <f t="shared" si="110"/>
        <v>147.64566666666667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67.096734498900517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5.3205440053716299E-14</v>
      </c>
      <c r="P144" s="14">
        <f t="shared" si="141"/>
        <v>8.602146238565607E-13</v>
      </c>
      <c r="Q144" s="22">
        <f t="shared" si="108"/>
        <v>1.590873277977066E-12</v>
      </c>
      <c r="R144" s="62">
        <f t="shared" si="109"/>
        <v>282.68802649597018</v>
      </c>
      <c r="S144" s="62">
        <f ca="1">AVERAGE(OFFSET($R$3,0,0,'Données projet'!$E$9+1,1))-AVERAGE(OFFSET($H$3,0,0,'Données projet'!$E$9+1,1))</f>
        <v>374.81775021423215</v>
      </c>
      <c r="T144" s="62">
        <f t="shared" si="142"/>
        <v>301.81248585467142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67.096734498900517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1.1527845344971866E-13</v>
      </c>
      <c r="AK144" s="14">
        <f t="shared" si="143"/>
        <v>1.7033846239409443E-12</v>
      </c>
      <c r="AL144" s="22">
        <f t="shared" si="112"/>
        <v>3.1675048597887374E-12</v>
      </c>
      <c r="AM144" s="62">
        <f t="shared" si="113"/>
        <v>282.68802649597177</v>
      </c>
      <c r="AN144" s="62">
        <f ca="1">AVERAGE(OFFSET($AM$3,0,0,'Données projet'!$E$10+1,1))-AVERAGE(OFFSET($H$3,0,0,'Données projet'!$E$10+1,1))</f>
        <v>468.39960552661171</v>
      </c>
      <c r="AO144" s="62">
        <f t="shared" si="144"/>
        <v>291.1952427029787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0.13935017919666773</v>
      </c>
      <c r="AW144" s="23">
        <f>EXP(-LN(2)/2)*AW143+(1-EXP(-LN(2)/2))/(LN(2)/2)*AQ144*AT144*VLOOKUP('Données projet'!$B$10,Paramètres!$A$1:$I$89,3,0)*0.475*44/12</f>
        <v>2.7602271513185164E-16</v>
      </c>
      <c r="AX144" s="23">
        <f t="shared" si="114"/>
        <v>0.13935017919666801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67.096734498900517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-9.9316821433603781E-14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373.50005214669716</v>
      </c>
      <c r="BJ144" s="62">
        <f t="shared" si="146"/>
        <v>383.60460086643036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0.72996026701879024</v>
      </c>
      <c r="BR144" s="23">
        <f>EXP(-LN(2)/2)*BR143+(1-EXP(-LN(2)/2))/(LN(2)/2)*BL144*BO144*VLOOKUP('Données projet'!$B$11,Paramètres!$A$1:$I$89,3,0)*0.475*44/12</f>
        <v>2.9232716641734646E-16</v>
      </c>
      <c r="BS144" s="24">
        <f t="shared" si="117"/>
        <v>0.72996026701879058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67.096734498900517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210.13237351083279</v>
      </c>
      <c r="CE144" s="62">
        <f t="shared" si="148"/>
        <v>423.06475179432277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10.966604081498874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5.2202619335472572E-15</v>
      </c>
      <c r="CN144" s="24">
        <f t="shared" si="120"/>
        <v>10.966604081498879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67.096734498900517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493.89660144134291</v>
      </c>
      <c r="CZ144" s="62">
        <f t="shared" si="150"/>
        <v>312.97494624463229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0.42064773719095155</v>
      </c>
      <c r="DH144" s="23">
        <f>EXP(-LN(2)/2)*DH143+(1-EXP(-LN(2)/2))/(LN(2)/2)*DB144*DE144*VLOOKUP('Données projet'!$B$13,Paramètres!$A$1:$I$89,3,0)*0.475*44/12</f>
        <v>2.9262155912618176E-16</v>
      </c>
      <c r="DI144" s="24">
        <f t="shared" si="123"/>
        <v>0.42064773719095183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67.096734498900517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>
        <f>DO144*VLOOKUP('Données projet'!$B$14,Paramètres!$A$1:$I$89,3,0)*VLOOKUP('Données projet'!$B$14,Paramètres!$A$1:$I$89,5,0)</f>
        <v>0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210.13237351083279</v>
      </c>
      <c r="DU144" s="62">
        <f t="shared" si="152"/>
        <v>423.06475179432277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10.966604081498874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5.2202619335472572E-15</v>
      </c>
      <c r="ED144" s="24">
        <f t="shared" si="126"/>
        <v>10.966604081498879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67.096734498900517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67.096734498900517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67.096734498900517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67.096734498900517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4.5049999999999999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16.518333333333334</v>
      </c>
      <c r="H145" s="70">
        <f t="shared" si="110"/>
        <v>147.64566666666667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67.147099664615311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5.3205440053716299E-14</v>
      </c>
      <c r="P145" s="14">
        <f t="shared" si="141"/>
        <v>8.602146238565607E-13</v>
      </c>
      <c r="Q145" s="22">
        <f t="shared" si="108"/>
        <v>1.590873277977066E-12</v>
      </c>
      <c r="R145" s="62">
        <f t="shared" si="109"/>
        <v>282.87269877025773</v>
      </c>
      <c r="S145" s="62">
        <f ca="1">AVERAGE(OFFSET($R$3,0,0,'Données projet'!$E$9+1,1))-AVERAGE(OFFSET($H$3,0,0,'Données projet'!$E$9+1,1))</f>
        <v>374.81775021423215</v>
      </c>
      <c r="T145" s="62">
        <f t="shared" si="142"/>
        <v>301.81248585467142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67.147099664615311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1.1527845344971866E-13</v>
      </c>
      <c r="AK145" s="14">
        <f t="shared" si="143"/>
        <v>1.7033846239409443E-12</v>
      </c>
      <c r="AL145" s="22">
        <f t="shared" si="112"/>
        <v>3.1675048597887374E-12</v>
      </c>
      <c r="AM145" s="62">
        <f t="shared" si="113"/>
        <v>282.87269877025932</v>
      </c>
      <c r="AN145" s="62">
        <f ca="1">AVERAGE(OFFSET($AM$3,0,0,'Données projet'!$E$10+1,1))-AVERAGE(OFFSET($H$3,0,0,'Données projet'!$E$10+1,1))</f>
        <v>468.39960552661171</v>
      </c>
      <c r="AO145" s="62">
        <f t="shared" si="144"/>
        <v>291.1952427029787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0.1355396412184274</v>
      </c>
      <c r="AW145" s="23">
        <f>EXP(-LN(2)/2)*AW144+(1-EXP(-LN(2)/2))/(LN(2)/2)*AQ145*AT145*VLOOKUP('Données projet'!$B$10,Paramètres!$A$1:$I$89,3,0)*0.475*44/12</f>
        <v>1.9517753363125496E-16</v>
      </c>
      <c r="AX145" s="23">
        <f t="shared" si="114"/>
        <v>0.1355396412184276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67.147099664615311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-9.9316821433603781E-14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373.50005214669716</v>
      </c>
      <c r="BJ145" s="62">
        <f t="shared" si="146"/>
        <v>383.60460086643036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0.70999946513021928</v>
      </c>
      <c r="BR145" s="23">
        <f>EXP(-LN(2)/2)*BR144+(1-EXP(-LN(2)/2))/(LN(2)/2)*BL145*BO145*VLOOKUP('Données projet'!$B$11,Paramètres!$A$1:$I$89,3,0)*0.475*44/12</f>
        <v>2.0670652169875407E-16</v>
      </c>
      <c r="BS145" s="24">
        <f t="shared" si="117"/>
        <v>0.7099994651302195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67.147099664615311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210.13237351083279</v>
      </c>
      <c r="CE145" s="62">
        <f t="shared" si="148"/>
        <v>423.06475179432277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10.75155566442869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3.6912826127812638E-15</v>
      </c>
      <c r="CN145" s="24">
        <f t="shared" si="120"/>
        <v>10.751555664428693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67.147099664615311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493.89660144134291</v>
      </c>
      <c r="CZ145" s="62">
        <f t="shared" si="150"/>
        <v>312.97494624463229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0.4091451026965619</v>
      </c>
      <c r="DH145" s="23">
        <f>EXP(-LN(2)/2)*DH144+(1-EXP(-LN(2)/2))/(LN(2)/2)*DB145*DE145*VLOOKUP('Données projet'!$B$13,Paramètres!$A$1:$I$89,3,0)*0.475*44/12</f>
        <v>2.0691468877950339E-16</v>
      </c>
      <c r="DI145" s="24">
        <f t="shared" si="123"/>
        <v>0.40914510269656212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67.147099664615311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>
        <f>DO145*VLOOKUP('Données projet'!$B$14,Paramètres!$A$1:$I$89,3,0)*VLOOKUP('Données projet'!$B$14,Paramètres!$A$1:$I$89,5,0)</f>
        <v>0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210.13237351083279</v>
      </c>
      <c r="DU145" s="62">
        <f t="shared" si="152"/>
        <v>423.06475179432277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10.75155566442869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3.6912826127812638E-15</v>
      </c>
      <c r="ED145" s="24">
        <f t="shared" si="126"/>
        <v>10.751555664428693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67.147099664615311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67.147099664615311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67.147099664615311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67.147099664615311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4.5049999999999999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16.518333333333334</v>
      </c>
      <c r="H146" s="70">
        <f t="shared" si="110"/>
        <v>147.64566666666667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67.196591107304599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5.3205440053716299E-14</v>
      </c>
      <c r="P146" s="14">
        <f t="shared" si="141"/>
        <v>8.602146238565607E-13</v>
      </c>
      <c r="Q146" s="22">
        <f t="shared" si="108"/>
        <v>1.590873277977066E-12</v>
      </c>
      <c r="R146" s="62">
        <f t="shared" si="109"/>
        <v>283.05416739345179</v>
      </c>
      <c r="S146" s="62">
        <f ca="1">AVERAGE(OFFSET($R$3,0,0,'Données projet'!$E$9+1,1))-AVERAGE(OFFSET($H$3,0,0,'Données projet'!$E$9+1,1))</f>
        <v>374.81775021423215</v>
      </c>
      <c r="T146" s="62">
        <f t="shared" si="142"/>
        <v>301.81248585467142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67.196591107304599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1.1527845344971866E-13</v>
      </c>
      <c r="AK146" s="14">
        <f t="shared" si="143"/>
        <v>1.7033846239409443E-12</v>
      </c>
      <c r="AL146" s="22">
        <f t="shared" si="112"/>
        <v>3.1675048597887374E-12</v>
      </c>
      <c r="AM146" s="62">
        <f t="shared" si="113"/>
        <v>283.05416739345338</v>
      </c>
      <c r="AN146" s="62">
        <f ca="1">AVERAGE(OFFSET($AM$3,0,0,'Données projet'!$E$10+1,1))-AVERAGE(OFFSET($H$3,0,0,'Données projet'!$E$10+1,1))</f>
        <v>468.39960552661171</v>
      </c>
      <c r="AO146" s="62">
        <f t="shared" si="144"/>
        <v>291.1952427029787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0.13183330260158954</v>
      </c>
      <c r="AW146" s="23">
        <f>EXP(-LN(2)/2)*AW145+(1-EXP(-LN(2)/2))/(LN(2)/2)*AQ146*AT146*VLOOKUP('Données projet'!$B$10,Paramètres!$A$1:$I$89,3,0)*0.475*44/12</f>
        <v>1.3801135756592582E-16</v>
      </c>
      <c r="AX146" s="23">
        <f t="shared" si="114"/>
        <v>0.13183330260158968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67.196591107304599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-9.9316821433603781E-14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373.50005214669716</v>
      </c>
      <c r="BJ146" s="62">
        <f t="shared" si="146"/>
        <v>383.60460086643036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0.69058449241898423</v>
      </c>
      <c r="BR146" s="23">
        <f>EXP(-LN(2)/2)*BR145+(1-EXP(-LN(2)/2))/(LN(2)/2)*BL146*BO146*VLOOKUP('Données projet'!$B$11,Paramètres!$A$1:$I$89,3,0)*0.475*44/12</f>
        <v>1.4616358320867323E-16</v>
      </c>
      <c r="BS146" s="24">
        <f t="shared" si="117"/>
        <v>0.69058449241898434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67.196591107304599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210.13237351083279</v>
      </c>
      <c r="CE146" s="62">
        <f t="shared" si="148"/>
        <v>423.06475179432277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10.54072421565067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2.6101309667736286E-15</v>
      </c>
      <c r="CN146" s="24">
        <f t="shared" si="120"/>
        <v>10.540724215650672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67.196591107304599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493.89660144134291</v>
      </c>
      <c r="CZ146" s="62">
        <f t="shared" si="150"/>
        <v>312.97494624463229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0.39795700834731856</v>
      </c>
      <c r="DH146" s="23">
        <f>EXP(-LN(2)/2)*DH145+(1-EXP(-LN(2)/2))/(LN(2)/2)*DB146*DE146*VLOOKUP('Données projet'!$B$13,Paramètres!$A$1:$I$89,3,0)*0.475*44/12</f>
        <v>1.4631077956309088E-16</v>
      </c>
      <c r="DI146" s="24">
        <f t="shared" si="123"/>
        <v>0.39795700834731873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67.196591107304599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>
        <f>DO146*VLOOKUP('Données projet'!$B$14,Paramètres!$A$1:$I$89,3,0)*VLOOKUP('Données projet'!$B$14,Paramètres!$A$1:$I$89,5,0)</f>
        <v>0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210.13237351083279</v>
      </c>
      <c r="DU146" s="62">
        <f t="shared" si="152"/>
        <v>423.06475179432277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10.54072421565067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2.6101309667736286E-15</v>
      </c>
      <c r="ED146" s="24">
        <f t="shared" si="126"/>
        <v>10.540724215650672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67.196591107304599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67.196591107304599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67.196591107304599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67.196591107304599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4.5049999999999999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16.518333333333334</v>
      </c>
      <c r="H147" s="70">
        <f t="shared" si="110"/>
        <v>147.64566666666667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67.245223984109501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5.3205440053716299E-14</v>
      </c>
      <c r="P147" s="14">
        <f t="shared" si="141"/>
        <v>8.602146238565607E-13</v>
      </c>
      <c r="Q147" s="22">
        <f t="shared" si="108"/>
        <v>1.590873277977066E-12</v>
      </c>
      <c r="R147" s="62">
        <f t="shared" si="109"/>
        <v>283.23248794173645</v>
      </c>
      <c r="S147" s="62">
        <f ca="1">AVERAGE(OFFSET($R$3,0,0,'Données projet'!$E$9+1,1))-AVERAGE(OFFSET($H$3,0,0,'Données projet'!$E$9+1,1))</f>
        <v>374.81775021423215</v>
      </c>
      <c r="T147" s="62">
        <f t="shared" si="142"/>
        <v>301.81248585467142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67.245223984109501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1.1527845344971866E-13</v>
      </c>
      <c r="AK147" s="14">
        <f t="shared" si="143"/>
        <v>1.7033846239409443E-12</v>
      </c>
      <c r="AL147" s="22">
        <f t="shared" si="112"/>
        <v>3.1675048597887374E-12</v>
      </c>
      <c r="AM147" s="62">
        <f t="shared" si="113"/>
        <v>283.23248794173804</v>
      </c>
      <c r="AN147" s="62">
        <f ca="1">AVERAGE(OFFSET($AM$3,0,0,'Données projet'!$E$10+1,1))-AVERAGE(OFFSET($H$3,0,0,'Données projet'!$E$10+1,1))</f>
        <v>468.39960552661171</v>
      </c>
      <c r="AO147" s="62">
        <f t="shared" si="144"/>
        <v>291.1952427029787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0.12822831400913701</v>
      </c>
      <c r="AW147" s="23">
        <f>EXP(-LN(2)/2)*AW146+(1-EXP(-LN(2)/2))/(LN(2)/2)*AQ147*AT147*VLOOKUP('Données projet'!$B$10,Paramètres!$A$1:$I$89,3,0)*0.475*44/12</f>
        <v>9.758876681562748E-17</v>
      </c>
      <c r="AX147" s="23">
        <f t="shared" si="114"/>
        <v>0.12822831400913712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67.245223984109501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-9.9316821433603781E-14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373.50005214669716</v>
      </c>
      <c r="BJ147" s="62">
        <f t="shared" si="146"/>
        <v>383.60460086643036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0.67170042315752698</v>
      </c>
      <c r="BR147" s="23">
        <f>EXP(-LN(2)/2)*BR146+(1-EXP(-LN(2)/2))/(LN(2)/2)*BL147*BO147*VLOOKUP('Données projet'!$B$11,Paramètres!$A$1:$I$89,3,0)*0.475*44/12</f>
        <v>1.0335326084937704E-16</v>
      </c>
      <c r="BS147" s="24">
        <f t="shared" si="117"/>
        <v>0.67170042315752709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67.245223984109501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210.13237351083279</v>
      </c>
      <c r="CE147" s="62">
        <f t="shared" si="148"/>
        <v>423.06475179432277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10.3340270429887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1.8456413063906319E-15</v>
      </c>
      <c r="CN147" s="24">
        <f t="shared" si="120"/>
        <v>10.334027042988701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67.245223984109501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493.89660144134291</v>
      </c>
      <c r="CZ147" s="62">
        <f t="shared" si="150"/>
        <v>312.97494624463229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0.38707485302641159</v>
      </c>
      <c r="DH147" s="23">
        <f>EXP(-LN(2)/2)*DH146+(1-EXP(-LN(2)/2))/(LN(2)/2)*DB147*DE147*VLOOKUP('Données projet'!$B$13,Paramètres!$A$1:$I$89,3,0)*0.475*44/12</f>
        <v>1.0345734438975169E-16</v>
      </c>
      <c r="DI147" s="24">
        <f t="shared" si="123"/>
        <v>0.3870748530264117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67.245223984109501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>
        <f>DO147*VLOOKUP('Données projet'!$B$14,Paramètres!$A$1:$I$89,3,0)*VLOOKUP('Données projet'!$B$14,Paramètres!$A$1:$I$89,5,0)</f>
        <v>0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210.13237351083279</v>
      </c>
      <c r="DU147" s="62">
        <f t="shared" si="152"/>
        <v>423.06475179432277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10.3340270429887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1.8456413063906319E-15</v>
      </c>
      <c r="ED147" s="24">
        <f t="shared" si="126"/>
        <v>10.334027042988701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67.245223984109501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67.245223984109501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67.245223984109501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67.245223984109501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4.5049999999999999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16.518333333333334</v>
      </c>
      <c r="H148" s="70">
        <f t="shared" si="110"/>
        <v>147.64566666666667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67.293013189228688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5.3205440053716299E-14</v>
      </c>
      <c r="P148" s="14">
        <f t="shared" si="141"/>
        <v>8.602146238565607E-13</v>
      </c>
      <c r="Q148" s="22">
        <f t="shared" si="108"/>
        <v>1.590873277977066E-12</v>
      </c>
      <c r="R148" s="62">
        <f t="shared" si="109"/>
        <v>283.40771502717342</v>
      </c>
      <c r="S148" s="62">
        <f ca="1">AVERAGE(OFFSET($R$3,0,0,'Données projet'!$E$9+1,1))-AVERAGE(OFFSET($H$3,0,0,'Données projet'!$E$9+1,1))</f>
        <v>374.81775021423215</v>
      </c>
      <c r="T148" s="62">
        <f t="shared" si="142"/>
        <v>301.81248585467142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67.293013189228688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1.1527845344971866E-13</v>
      </c>
      <c r="AK148" s="14">
        <f t="shared" si="143"/>
        <v>1.7033846239409443E-12</v>
      </c>
      <c r="AL148" s="22">
        <f t="shared" si="112"/>
        <v>3.1675048597887374E-12</v>
      </c>
      <c r="AM148" s="62">
        <f t="shared" si="113"/>
        <v>283.40771502717502</v>
      </c>
      <c r="AN148" s="62">
        <f ca="1">AVERAGE(OFFSET($AM$3,0,0,'Données projet'!$E$10+1,1))-AVERAGE(OFFSET($H$3,0,0,'Données projet'!$E$10+1,1))</f>
        <v>468.39960552661171</v>
      </c>
      <c r="AO148" s="62">
        <f t="shared" si="144"/>
        <v>291.1952427029787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0.12472190401932319</v>
      </c>
      <c r="AW148" s="23">
        <f>EXP(-LN(2)/2)*AW147+(1-EXP(-LN(2)/2))/(LN(2)/2)*AQ148*AT148*VLOOKUP('Données projet'!$B$10,Paramètres!$A$1:$I$89,3,0)*0.475*44/12</f>
        <v>6.9005678782962911E-17</v>
      </c>
      <c r="AX148" s="23">
        <f t="shared" si="114"/>
        <v>0.12472190401932326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67.293013189228688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-9.9316821433603781E-14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373.50005214669716</v>
      </c>
      <c r="BJ148" s="62">
        <f t="shared" si="146"/>
        <v>383.60460086643036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0.65333273976309436</v>
      </c>
      <c r="BR148" s="23">
        <f>EXP(-LN(2)/2)*BR147+(1-EXP(-LN(2)/2))/(LN(2)/2)*BL148*BO148*VLOOKUP('Données projet'!$B$11,Paramètres!$A$1:$I$89,3,0)*0.475*44/12</f>
        <v>7.3081791604336616E-17</v>
      </c>
      <c r="BS148" s="24">
        <f t="shared" si="117"/>
        <v>0.65333273976309447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67.293013189228688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210.13237351083279</v>
      </c>
      <c r="CE148" s="62">
        <f t="shared" si="148"/>
        <v>423.06475179432277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10.131383075809804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1.3050654833868143E-15</v>
      </c>
      <c r="CN148" s="24">
        <f t="shared" si="120"/>
        <v>10.131383075809806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67.293013189228688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493.89660144134291</v>
      </c>
      <c r="CZ148" s="62">
        <f t="shared" si="150"/>
        <v>312.97494624463229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0.37649027081502251</v>
      </c>
      <c r="DH148" s="23">
        <f>EXP(-LN(2)/2)*DH147+(1-EXP(-LN(2)/2))/(LN(2)/2)*DB148*DE148*VLOOKUP('Données projet'!$B$13,Paramètres!$A$1:$I$89,3,0)*0.475*44/12</f>
        <v>7.315538978154544E-17</v>
      </c>
      <c r="DI148" s="24">
        <f t="shared" si="123"/>
        <v>0.37649027081502257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67.293013189228688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>
        <f>DO148*VLOOKUP('Données projet'!$B$14,Paramètres!$A$1:$I$89,3,0)*VLOOKUP('Données projet'!$B$14,Paramètres!$A$1:$I$89,5,0)</f>
        <v>0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210.13237351083279</v>
      </c>
      <c r="DU148" s="62">
        <f t="shared" si="152"/>
        <v>423.06475179432277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10.131383075809804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1.3050654833868143E-15</v>
      </c>
      <c r="ED148" s="24">
        <f t="shared" si="126"/>
        <v>10.131383075809806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67.293013189228688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67.293013189228688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67.293013189228688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67.293013189228688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4.5049999999999999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16.518333333333334</v>
      </c>
      <c r="H149" s="70">
        <f t="shared" si="110"/>
        <v>147.64566666666667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67.33997335847971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5.3205440053716299E-14</v>
      </c>
      <c r="P149" s="14">
        <f t="shared" si="141"/>
        <v>8.602146238565607E-13</v>
      </c>
      <c r="Q149" s="22">
        <f t="shared" si="108"/>
        <v>1.590873277977066E-12</v>
      </c>
      <c r="R149" s="62">
        <f t="shared" si="109"/>
        <v>283.57990231442722</v>
      </c>
      <c r="S149" s="62">
        <f ca="1">AVERAGE(OFFSET($R$3,0,0,'Données projet'!$E$9+1,1))-AVERAGE(OFFSET($H$3,0,0,'Données projet'!$E$9+1,1))</f>
        <v>374.81775021423215</v>
      </c>
      <c r="T149" s="62">
        <f t="shared" si="142"/>
        <v>301.81248585467142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67.33997335847971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1.1527845344971866E-13</v>
      </c>
      <c r="AK149" s="14">
        <f t="shared" si="143"/>
        <v>1.7033846239409443E-12</v>
      </c>
      <c r="AL149" s="22">
        <f t="shared" si="112"/>
        <v>3.1675048597887374E-12</v>
      </c>
      <c r="AM149" s="62">
        <f t="shared" si="113"/>
        <v>283.57990231442881</v>
      </c>
      <c r="AN149" s="62">
        <f ca="1">AVERAGE(OFFSET($AM$3,0,0,'Données projet'!$E$10+1,1))-AVERAGE(OFFSET($H$3,0,0,'Données projet'!$E$10+1,1))</f>
        <v>468.39960552661171</v>
      </c>
      <c r="AO149" s="62">
        <f t="shared" si="144"/>
        <v>291.1952427029787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0.12131137699507492</v>
      </c>
      <c r="AW149" s="23">
        <f>EXP(-LN(2)/2)*AW148+(1-EXP(-LN(2)/2))/(LN(2)/2)*AQ149*AT149*VLOOKUP('Données projet'!$B$10,Paramètres!$A$1:$I$89,3,0)*0.475*44/12</f>
        <v>4.879438340781374E-17</v>
      </c>
      <c r="AX149" s="23">
        <f t="shared" si="114"/>
        <v>0.12131137699507498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67.33997335847971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-9.9316821433603781E-14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373.50005214669716</v>
      </c>
      <c r="BJ149" s="62">
        <f t="shared" si="146"/>
        <v>383.60460086643036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0.63546732163699693</v>
      </c>
      <c r="BR149" s="23">
        <f>EXP(-LN(2)/2)*BR148+(1-EXP(-LN(2)/2))/(LN(2)/2)*BL149*BO149*VLOOKUP('Données projet'!$B$11,Paramètres!$A$1:$I$89,3,0)*0.475*44/12</f>
        <v>5.1676630424688518E-17</v>
      </c>
      <c r="BS149" s="24">
        <f t="shared" si="117"/>
        <v>0.63546732163699693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67.33997335847971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210.13237351083279</v>
      </c>
      <c r="CE149" s="62">
        <f t="shared" si="148"/>
        <v>423.06475179432277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9.9327128332266721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9.2282065319531596E-16</v>
      </c>
      <c r="CN149" s="24">
        <f t="shared" si="120"/>
        <v>9.9327128332266739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67.33997335847971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493.89660144134291</v>
      </c>
      <c r="CZ149" s="62">
        <f t="shared" si="150"/>
        <v>312.97494624463229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0.36619512456082287</v>
      </c>
      <c r="DH149" s="23">
        <f>EXP(-LN(2)/2)*DH148+(1-EXP(-LN(2)/2))/(LN(2)/2)*DB149*DE149*VLOOKUP('Données projet'!$B$13,Paramètres!$A$1:$I$89,3,0)*0.475*44/12</f>
        <v>5.1728672194875846E-17</v>
      </c>
      <c r="DI149" s="24">
        <f t="shared" si="123"/>
        <v>0.36619512456082293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67.33997335847971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>
        <f>DO149*VLOOKUP('Données projet'!$B$14,Paramètres!$A$1:$I$89,3,0)*VLOOKUP('Données projet'!$B$14,Paramètres!$A$1:$I$89,5,0)</f>
        <v>0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210.13237351083279</v>
      </c>
      <c r="DU149" s="62">
        <f t="shared" si="152"/>
        <v>423.06475179432277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9.9327128332266721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9.2282065319531596E-16</v>
      </c>
      <c r="ED149" s="24">
        <f t="shared" si="126"/>
        <v>9.9327128332266739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67.33997335847971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67.33997335847971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67.33997335847971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67.33997335847971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4.5049999999999999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16.518333333333334</v>
      </c>
      <c r="H150" s="70">
        <f t="shared" si="110"/>
        <v>147.64566666666667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67.386118873781427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5.3205440053716299E-14</v>
      </c>
      <c r="P150" s="14">
        <f t="shared" si="141"/>
        <v>8.602146238565607E-13</v>
      </c>
      <c r="Q150" s="22">
        <f t="shared" si="108"/>
        <v>1.590873277977066E-12</v>
      </c>
      <c r="R150" s="62">
        <f t="shared" si="109"/>
        <v>283.74910253720014</v>
      </c>
      <c r="S150" s="62">
        <f ca="1">AVERAGE(OFFSET($R$3,0,0,'Données projet'!$E$9+1,1))-AVERAGE(OFFSET($H$3,0,0,'Données projet'!$E$9+1,1))</f>
        <v>374.81775021423215</v>
      </c>
      <c r="T150" s="62">
        <f t="shared" si="142"/>
        <v>301.81248585467142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67.386118873781427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1.1527845344971866E-13</v>
      </c>
      <c r="AK150" s="14">
        <f t="shared" si="143"/>
        <v>1.7033846239409443E-12</v>
      </c>
      <c r="AL150" s="22">
        <f t="shared" si="112"/>
        <v>3.1675048597887374E-12</v>
      </c>
      <c r="AM150" s="62">
        <f t="shared" si="113"/>
        <v>283.74910253720174</v>
      </c>
      <c r="AN150" s="62">
        <f ca="1">AVERAGE(OFFSET($AM$3,0,0,'Données projet'!$E$10+1,1))-AVERAGE(OFFSET($H$3,0,0,'Données projet'!$E$10+1,1))</f>
        <v>468.39960552661171</v>
      </c>
      <c r="AO150" s="62">
        <f t="shared" si="144"/>
        <v>291.1952427029787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0.11799411101165655</v>
      </c>
      <c r="AW150" s="23">
        <f>EXP(-LN(2)/2)*AW149+(1-EXP(-LN(2)/2))/(LN(2)/2)*AQ150*AT150*VLOOKUP('Données projet'!$B$10,Paramètres!$A$1:$I$89,3,0)*0.475*44/12</f>
        <v>3.4502839391481455E-17</v>
      </c>
      <c r="AX150" s="23">
        <f t="shared" si="114"/>
        <v>0.11799411101165658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67.386118873781427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-9.9316821433603781E-14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373.50005214669716</v>
      </c>
      <c r="BJ150" s="62">
        <f t="shared" si="146"/>
        <v>383.60460086643036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0.61809043430905919</v>
      </c>
      <c r="BR150" s="23">
        <f>EXP(-LN(2)/2)*BR149+(1-EXP(-LN(2)/2))/(LN(2)/2)*BL150*BO150*VLOOKUP('Données projet'!$B$11,Paramètres!$A$1:$I$89,3,0)*0.475*44/12</f>
        <v>3.6540895802168308E-17</v>
      </c>
      <c r="BS150" s="24">
        <f t="shared" si="117"/>
        <v>0.61809043430905919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67.386118873781427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210.13237351083279</v>
      </c>
      <c r="CE150" s="62">
        <f t="shared" si="148"/>
        <v>423.06475179432277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9.7379383929237129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6.5253274169340715E-16</v>
      </c>
      <c r="CN150" s="24">
        <f t="shared" si="120"/>
        <v>9.7379383929237129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67.386118873781427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493.89660144134291</v>
      </c>
      <c r="CZ150" s="62">
        <f t="shared" si="150"/>
        <v>312.97494624463229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0.35618149962234252</v>
      </c>
      <c r="DH150" s="23">
        <f>EXP(-LN(2)/2)*DH149+(1-EXP(-LN(2)/2))/(LN(2)/2)*DB150*DE150*VLOOKUP('Données projet'!$B$13,Paramètres!$A$1:$I$89,3,0)*0.475*44/12</f>
        <v>3.657769489077272E-17</v>
      </c>
      <c r="DI150" s="24">
        <f t="shared" si="123"/>
        <v>0.35618149962234258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67.386118873781427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>
        <f>DO150*VLOOKUP('Données projet'!$B$14,Paramètres!$A$1:$I$89,3,0)*VLOOKUP('Données projet'!$B$14,Paramètres!$A$1:$I$89,5,0)</f>
        <v>0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210.13237351083279</v>
      </c>
      <c r="DU150" s="62">
        <f t="shared" si="152"/>
        <v>423.06475179432277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9.7379383929237129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6.5253274169340715E-16</v>
      </c>
      <c r="ED150" s="24">
        <f t="shared" si="126"/>
        <v>9.7379383929237129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67.386118873781427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67.386118873781427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67.386118873781427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67.386118873781427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4.5049999999999999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16.518333333333334</v>
      </c>
      <c r="H151" s="70">
        <f t="shared" si="110"/>
        <v>147.64566666666667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67.431463867558577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5.3205440053716299E-14</v>
      </c>
      <c r="P151" s="14">
        <f t="shared" si="141"/>
        <v>8.602146238565607E-13</v>
      </c>
      <c r="Q151" s="22">
        <f t="shared" si="108"/>
        <v>1.590873277977066E-12</v>
      </c>
      <c r="R151" s="62">
        <f t="shared" si="109"/>
        <v>283.91536751438304</v>
      </c>
      <c r="S151" s="62">
        <f ca="1">AVERAGE(OFFSET($R$3,0,0,'Données projet'!$E$9+1,1))-AVERAGE(OFFSET($H$3,0,0,'Données projet'!$E$9+1,1))</f>
        <v>374.81775021423215</v>
      </c>
      <c r="T151" s="62">
        <f t="shared" si="142"/>
        <v>301.81248585467142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67.431463867558577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1.1527845344971866E-13</v>
      </c>
      <c r="AK151" s="14">
        <f t="shared" si="143"/>
        <v>1.7033846239409443E-12</v>
      </c>
      <c r="AL151" s="22">
        <f t="shared" si="112"/>
        <v>3.1675048597887374E-12</v>
      </c>
      <c r="AM151" s="62">
        <f t="shared" si="113"/>
        <v>283.91536751438463</v>
      </c>
      <c r="AN151" s="62">
        <f ca="1">AVERAGE(OFFSET($AM$3,0,0,'Données projet'!$E$10+1,1))-AVERAGE(OFFSET($H$3,0,0,'Données projet'!$E$10+1,1))</f>
        <v>468.39960552661171</v>
      </c>
      <c r="AO151" s="62">
        <f t="shared" si="144"/>
        <v>291.1952427029787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0.11476755584100218</v>
      </c>
      <c r="AW151" s="23">
        <f>EXP(-LN(2)/2)*AW150+(1-EXP(-LN(2)/2))/(LN(2)/2)*AQ151*AT151*VLOOKUP('Données projet'!$B$10,Paramètres!$A$1:$I$89,3,0)*0.475*44/12</f>
        <v>2.439719170390687E-17</v>
      </c>
      <c r="AX151" s="23">
        <f t="shared" si="114"/>
        <v>0.11476755584100221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67.431463867558577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-9.9316821433603781E-14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373.50005214669716</v>
      </c>
      <c r="BJ151" s="62">
        <f t="shared" si="146"/>
        <v>383.60460086643036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0.60118871887891467</v>
      </c>
      <c r="BR151" s="23">
        <f>EXP(-LN(2)/2)*BR150+(1-EXP(-LN(2)/2))/(LN(2)/2)*BL151*BO151*VLOOKUP('Données projet'!$B$11,Paramètres!$A$1:$I$89,3,0)*0.475*44/12</f>
        <v>2.5838315212344259E-17</v>
      </c>
      <c r="BS151" s="24">
        <f t="shared" si="117"/>
        <v>0.60118871887891467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67.431463867558577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210.13237351083279</v>
      </c>
      <c r="CE151" s="62">
        <f t="shared" si="148"/>
        <v>423.06475179432277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9.5469833605944157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4.6141032659765798E-16</v>
      </c>
      <c r="CN151" s="24">
        <f t="shared" si="120"/>
        <v>9.5469833605944157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67.431463867558577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493.89660144134291</v>
      </c>
      <c r="CZ151" s="62">
        <f t="shared" si="150"/>
        <v>312.97494624463229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0.34644169778439854</v>
      </c>
      <c r="DH151" s="23">
        <f>EXP(-LN(2)/2)*DH150+(1-EXP(-LN(2)/2))/(LN(2)/2)*DB151*DE151*VLOOKUP('Données projet'!$B$13,Paramètres!$A$1:$I$89,3,0)*0.475*44/12</f>
        <v>2.5864336097437923E-17</v>
      </c>
      <c r="DI151" s="24">
        <f t="shared" si="123"/>
        <v>0.34644169778439854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67.431463867558577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>
        <f>DO151*VLOOKUP('Données projet'!$B$14,Paramètres!$A$1:$I$89,3,0)*VLOOKUP('Données projet'!$B$14,Paramètres!$A$1:$I$89,5,0)</f>
        <v>0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210.13237351083279</v>
      </c>
      <c r="DU151" s="62">
        <f t="shared" si="152"/>
        <v>423.06475179432277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9.5469833605944157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4.6141032659765798E-16</v>
      </c>
      <c r="ED151" s="24">
        <f t="shared" si="126"/>
        <v>9.5469833605944157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67.431463867558577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67.431463867558577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67.431463867558577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67.431463867558577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4.5049999999999999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16.518333333333334</v>
      </c>
      <c r="H152" s="70">
        <f t="shared" si="110"/>
        <v>147.64566666666667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67.476022227069919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5.3205440053716299E-14</v>
      </c>
      <c r="P152" s="14">
        <f t="shared" si="141"/>
        <v>8.602146238565607E-13</v>
      </c>
      <c r="Q152" s="22">
        <f t="shared" si="108"/>
        <v>1.590873277977066E-12</v>
      </c>
      <c r="R152" s="62">
        <f t="shared" si="109"/>
        <v>284.07874816592465</v>
      </c>
      <c r="S152" s="62">
        <f ca="1">AVERAGE(OFFSET($R$3,0,0,'Données projet'!$E$9+1,1))-AVERAGE(OFFSET($H$3,0,0,'Données projet'!$E$9+1,1))</f>
        <v>374.81775021423215</v>
      </c>
      <c r="T152" s="62">
        <f t="shared" si="142"/>
        <v>301.81248585467142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67.476022227069919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1.1527845344971866E-13</v>
      </c>
      <c r="AK152" s="14">
        <f t="shared" si="143"/>
        <v>1.7033846239409443E-12</v>
      </c>
      <c r="AL152" s="22">
        <f t="shared" si="112"/>
        <v>3.1675048597887374E-12</v>
      </c>
      <c r="AM152" s="62">
        <f t="shared" si="113"/>
        <v>284.07874816592624</v>
      </c>
      <c r="AN152" s="62">
        <f ca="1">AVERAGE(OFFSET($AM$3,0,0,'Données projet'!$E$10+1,1))-AVERAGE(OFFSET($H$3,0,0,'Données projet'!$E$10+1,1))</f>
        <v>468.39960552661171</v>
      </c>
      <c r="AO152" s="62">
        <f t="shared" si="144"/>
        <v>291.1952427029787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0.11162923099116652</v>
      </c>
      <c r="AW152" s="23">
        <f>EXP(-LN(2)/2)*AW151+(1-EXP(-LN(2)/2))/(LN(2)/2)*AQ152*AT152*VLOOKUP('Données projet'!$B$10,Paramètres!$A$1:$I$89,3,0)*0.475*44/12</f>
        <v>1.7251419695740728E-17</v>
      </c>
      <c r="AX152" s="23">
        <f t="shared" si="114"/>
        <v>0.11162923099116653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67.476022227069919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-9.9316821433603781E-14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373.50005214669716</v>
      </c>
      <c r="BJ152" s="62">
        <f t="shared" si="146"/>
        <v>383.60460086643036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0.58474918174603008</v>
      </c>
      <c r="BR152" s="23">
        <f>EXP(-LN(2)/2)*BR151+(1-EXP(-LN(2)/2))/(LN(2)/2)*BL152*BO152*VLOOKUP('Données projet'!$B$11,Paramètres!$A$1:$I$89,3,0)*0.475*44/12</f>
        <v>1.8270447901084154E-17</v>
      </c>
      <c r="BS152" s="24">
        <f t="shared" si="117"/>
        <v>0.58474918174603008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67.476022227069919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210.13237351083279</v>
      </c>
      <c r="CE152" s="62">
        <f t="shared" si="148"/>
        <v>423.06475179432277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9.359772839978028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3.2626637084670358E-16</v>
      </c>
      <c r="CN152" s="24">
        <f t="shared" si="120"/>
        <v>9.359772839978028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67.476022227069919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493.89660144134291</v>
      </c>
      <c r="CZ152" s="62">
        <f t="shared" si="150"/>
        <v>312.97494624463229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0.33696823133990705</v>
      </c>
      <c r="DH152" s="23">
        <f>EXP(-LN(2)/2)*DH151+(1-EXP(-LN(2)/2))/(LN(2)/2)*DB152*DE152*VLOOKUP('Données projet'!$B$13,Paramètres!$A$1:$I$89,3,0)*0.475*44/12</f>
        <v>1.828884744538636E-17</v>
      </c>
      <c r="DI152" s="24">
        <f t="shared" si="123"/>
        <v>0.33696823133990705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67.476022227069919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>
        <f>DO152*VLOOKUP('Données projet'!$B$14,Paramètres!$A$1:$I$89,3,0)*VLOOKUP('Données projet'!$B$14,Paramètres!$A$1:$I$89,5,0)</f>
        <v>0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210.13237351083279</v>
      </c>
      <c r="DU152" s="62">
        <f t="shared" si="152"/>
        <v>423.06475179432277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9.359772839978028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3.2626637084670358E-16</v>
      </c>
      <c r="ED152" s="24">
        <f t="shared" si="126"/>
        <v>9.359772839978028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67.476022227069919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67.476022227069919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67.476022227069919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67.476022227069919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4.5049999999999999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16.518333333333334</v>
      </c>
      <c r="H153" s="70">
        <f t="shared" si="110"/>
        <v>147.64566666666667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67.519807598661302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5.3205440053716299E-14</v>
      </c>
      <c r="P153" s="14">
        <f t="shared" si="141"/>
        <v>8.602146238565607E-13</v>
      </c>
      <c r="Q153" s="22">
        <f t="shared" si="108"/>
        <v>1.590873277977066E-12</v>
      </c>
      <c r="R153" s="62">
        <f t="shared" si="109"/>
        <v>284.23929452842634</v>
      </c>
      <c r="S153" s="62">
        <f ca="1">AVERAGE(OFFSET($R$3,0,0,'Données projet'!$E$9+1,1))-AVERAGE(OFFSET($H$3,0,0,'Données projet'!$E$9+1,1))</f>
        <v>374.81775021423215</v>
      </c>
      <c r="T153" s="62">
        <f t="shared" si="142"/>
        <v>301.81248585467142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67.519807598661302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1.1527845344971866E-13</v>
      </c>
      <c r="AK153" s="14">
        <f t="shared" si="143"/>
        <v>1.7033846239409443E-12</v>
      </c>
      <c r="AL153" s="22">
        <f t="shared" si="112"/>
        <v>3.1675048597887374E-12</v>
      </c>
      <c r="AM153" s="62">
        <f t="shared" si="113"/>
        <v>284.23929452842793</v>
      </c>
      <c r="AN153" s="62">
        <f ca="1">AVERAGE(OFFSET($AM$3,0,0,'Données projet'!$E$10+1,1))-AVERAGE(OFFSET($H$3,0,0,'Données projet'!$E$10+1,1))</f>
        <v>468.39960552661171</v>
      </c>
      <c r="AO153" s="62">
        <f t="shared" si="144"/>
        <v>291.1952427029787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0.10857672379938695</v>
      </c>
      <c r="AW153" s="23">
        <f>EXP(-LN(2)/2)*AW152+(1-EXP(-LN(2)/2))/(LN(2)/2)*AQ153*AT153*VLOOKUP('Données projet'!$B$10,Paramètres!$A$1:$I$89,3,0)*0.475*44/12</f>
        <v>1.2198595851953435E-17</v>
      </c>
      <c r="AX153" s="23">
        <f t="shared" si="114"/>
        <v>0.10857672379938696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67.519807598661302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-9.9316821433603781E-14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373.50005214669716</v>
      </c>
      <c r="BJ153" s="62">
        <f t="shared" si="146"/>
        <v>383.60460086643036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0.56875918462056185</v>
      </c>
      <c r="BR153" s="23">
        <f>EXP(-LN(2)/2)*BR152+(1-EXP(-LN(2)/2))/(LN(2)/2)*BL153*BO153*VLOOKUP('Données projet'!$B$11,Paramètres!$A$1:$I$89,3,0)*0.475*44/12</f>
        <v>1.291915760617213E-17</v>
      </c>
      <c r="BS153" s="24">
        <f t="shared" si="117"/>
        <v>0.56875918462056185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67.519807598661302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210.13237351083279</v>
      </c>
      <c r="CE153" s="62">
        <f t="shared" si="148"/>
        <v>423.06475179432277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9.1762334034837849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2.3070516329882899E-16</v>
      </c>
      <c r="CN153" s="24">
        <f t="shared" si="120"/>
        <v>9.1762334034837849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67.519807598661302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493.89660144134291</v>
      </c>
      <c r="CZ153" s="62">
        <f t="shared" si="150"/>
        <v>312.97494624463229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0.32775381733352815</v>
      </c>
      <c r="DH153" s="23">
        <f>EXP(-LN(2)/2)*DH152+(1-EXP(-LN(2)/2))/(LN(2)/2)*DB153*DE153*VLOOKUP('Données projet'!$B$13,Paramètres!$A$1:$I$89,3,0)*0.475*44/12</f>
        <v>1.2932168048718962E-17</v>
      </c>
      <c r="DI153" s="24">
        <f t="shared" si="123"/>
        <v>0.32775381733352815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67.519807598661302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>
        <f>DO153*VLOOKUP('Données projet'!$B$14,Paramètres!$A$1:$I$89,3,0)*VLOOKUP('Données projet'!$B$14,Paramètres!$A$1:$I$89,5,0)</f>
        <v>0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210.13237351083279</v>
      </c>
      <c r="DU153" s="62">
        <f t="shared" si="152"/>
        <v>423.06475179432277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9.1762334034837849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2.3070516329882899E-16</v>
      </c>
      <c r="ED153" s="24">
        <f t="shared" si="126"/>
        <v>9.1762334034837849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67.519807598661302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67.519807598661302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67.519807598661302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67.519807598661302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4.5049999999999999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16.518333333333334</v>
      </c>
      <c r="H154" s="70">
        <f t="shared" si="110"/>
        <v>147.64566666666667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67.562833391945006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5.3205440053716299E-14</v>
      </c>
      <c r="P154" s="14">
        <f t="shared" si="141"/>
        <v>8.602146238565607E-13</v>
      </c>
      <c r="Q154" s="22">
        <f t="shared" ref="Q154:Q203" si="162">(O154+P154)*0.475*44/12</f>
        <v>1.590873277977066E-12</v>
      </c>
      <c r="R154" s="62">
        <f t="shared" si="109"/>
        <v>284.39705577046658</v>
      </c>
      <c r="S154" s="62">
        <f ca="1">AVERAGE(OFFSET($R$3,0,0,'Données projet'!$E$9+1,1))-AVERAGE(OFFSET($H$3,0,0,'Données projet'!$E$9+1,1))</f>
        <v>374.81775021423215</v>
      </c>
      <c r="T154" s="62">
        <f t="shared" si="142"/>
        <v>301.81248585467142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67.562833391945006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1.1527845344971866E-13</v>
      </c>
      <c r="AK154" s="14">
        <f t="shared" ref="AK154:AK203" si="164">EXP(-1.0587+0.8836*LN(AJ154)+0.284)</f>
        <v>1.7033846239409443E-12</v>
      </c>
      <c r="AL154" s="22">
        <f t="shared" ref="AL154:AL203" si="165">(AJ154+AK154)*0.475*44/12</f>
        <v>3.1675048597887374E-12</v>
      </c>
      <c r="AM154" s="62">
        <f t="shared" si="113"/>
        <v>284.39705577046817</v>
      </c>
      <c r="AN154" s="62">
        <f ca="1">AVERAGE(OFFSET($AM$3,0,0,'Données projet'!$E$10+1,1))-AVERAGE(OFFSET($H$3,0,0,'Données projet'!$E$10+1,1))</f>
        <v>468.39960552661171</v>
      </c>
      <c r="AO154" s="62">
        <f t="shared" si="144"/>
        <v>291.1952427029787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0.10560768757729096</v>
      </c>
      <c r="AW154" s="23">
        <f>EXP(-LN(2)/2)*AW153+(1-EXP(-LN(2)/2))/(LN(2)/2)*AQ154*AT154*VLOOKUP('Données projet'!$B$10,Paramètres!$A$1:$I$89,3,0)*0.475*44/12</f>
        <v>8.6257098478703638E-18</v>
      </c>
      <c r="AX154" s="23">
        <f t="shared" ref="AX154:AX203" si="166">SUM(AU154:AW154)</f>
        <v>0.10560768757729097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67.562833391945006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-9.9316821433603781E-14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373.50005214669716</v>
      </c>
      <c r="BJ154" s="62">
        <f t="shared" si="146"/>
        <v>383.60460086643036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0.55320643480736698</v>
      </c>
      <c r="BR154" s="23">
        <f>EXP(-LN(2)/2)*BR153+(1-EXP(-LN(2)/2))/(LN(2)/2)*BL154*BO154*VLOOKUP('Données projet'!$B$11,Paramètres!$A$1:$I$89,3,0)*0.475*44/12</f>
        <v>9.135223950542077E-18</v>
      </c>
      <c r="BS154" s="24">
        <f t="shared" ref="BS154:BS203" si="169">SUM(BP154:BR154)</f>
        <v>0.55320643480736698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67.562833391945006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210.13237351083279</v>
      </c>
      <c r="CE154" s="62">
        <f t="shared" si="148"/>
        <v>423.06475179432277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8.9962930633911906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1.6313318542335179E-16</v>
      </c>
      <c r="CN154" s="24">
        <f t="shared" ref="CN154:CN203" si="172">SUM(CK154:CM154)</f>
        <v>8.9962930633911906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67.562833391945006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493.89660144134291</v>
      </c>
      <c r="CZ154" s="62">
        <f t="shared" si="150"/>
        <v>312.97494624463229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0.31879137196271867</v>
      </c>
      <c r="DH154" s="23">
        <f>EXP(-LN(2)/2)*DH153+(1-EXP(-LN(2)/2))/(LN(2)/2)*DB154*DE154*VLOOKUP('Données projet'!$B$13,Paramètres!$A$1:$I$89,3,0)*0.475*44/12</f>
        <v>9.1444237226931799E-18</v>
      </c>
      <c r="DI154" s="24">
        <f t="shared" ref="DI154:DI203" si="175">SUM(DF154:DH154)</f>
        <v>0.31879137196271867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67.562833391945006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>
        <f>DO154*VLOOKUP('Données projet'!$B$14,Paramètres!$A$1:$I$89,3,0)*VLOOKUP('Données projet'!$B$14,Paramètres!$A$1:$I$89,5,0)</f>
        <v>0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210.13237351083279</v>
      </c>
      <c r="DU154" s="62">
        <f t="shared" si="152"/>
        <v>423.06475179432277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8.9962930633911906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1.6313318542335179E-16</v>
      </c>
      <c r="ED154" s="24">
        <f t="shared" ref="ED154:ED203" si="178">SUM(EA154:EC154)</f>
        <v>8.9962930633911906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67.562833391945006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67.562833391945006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67.562833391945006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67.562833391945006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4.5049999999999999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16.518333333333334</v>
      </c>
      <c r="H155" s="70">
        <f t="shared" si="110"/>
        <v>147.64566666666667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67.605112783906506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5.3205440053716299E-14</v>
      </c>
      <c r="P155" s="14">
        <f t="shared" si="141"/>
        <v>8.602146238565607E-13</v>
      </c>
      <c r="Q155" s="22">
        <f t="shared" si="162"/>
        <v>1.590873277977066E-12</v>
      </c>
      <c r="R155" s="62">
        <f t="shared" si="109"/>
        <v>284.55208020765878</v>
      </c>
      <c r="S155" s="62">
        <f ca="1">AVERAGE(OFFSET($R$3,0,0,'Données projet'!$E$9+1,1))-AVERAGE(OFFSET($H$3,0,0,'Données projet'!$E$9+1,1))</f>
        <v>374.81775021423215</v>
      </c>
      <c r="T155" s="62">
        <f t="shared" si="142"/>
        <v>301.81248585467142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67.605112783906506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1.1527845344971866E-13</v>
      </c>
      <c r="AK155" s="14">
        <f t="shared" si="164"/>
        <v>1.7033846239409443E-12</v>
      </c>
      <c r="AL155" s="22">
        <f t="shared" si="165"/>
        <v>3.1675048597887374E-12</v>
      </c>
      <c r="AM155" s="62">
        <f t="shared" si="113"/>
        <v>284.55208020766037</v>
      </c>
      <c r="AN155" s="62">
        <f ca="1">AVERAGE(OFFSET($AM$3,0,0,'Données projet'!$E$10+1,1))-AVERAGE(OFFSET($H$3,0,0,'Données projet'!$E$10+1,1))</f>
        <v>468.39960552661171</v>
      </c>
      <c r="AO155" s="62">
        <f t="shared" si="144"/>
        <v>291.1952427029787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0.10271983980682302</v>
      </c>
      <c r="AW155" s="23">
        <f>EXP(-LN(2)/2)*AW154+(1-EXP(-LN(2)/2))/(LN(2)/2)*AQ155*AT155*VLOOKUP('Données projet'!$B$10,Paramètres!$A$1:$I$89,3,0)*0.475*44/12</f>
        <v>6.0992979259767175E-18</v>
      </c>
      <c r="AX155" s="23">
        <f t="shared" si="166"/>
        <v>0.10271983980682302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67.605112783906506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-9.9316821433603781E-14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373.50005214669716</v>
      </c>
      <c r="BJ155" s="62">
        <f t="shared" si="146"/>
        <v>383.60460086643036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0.53807897575569752</v>
      </c>
      <c r="BR155" s="23">
        <f>EXP(-LN(2)/2)*BR154+(1-EXP(-LN(2)/2))/(LN(2)/2)*BL155*BO155*VLOOKUP('Données projet'!$B$11,Paramètres!$A$1:$I$89,3,0)*0.475*44/12</f>
        <v>6.4595788030860648E-18</v>
      </c>
      <c r="BS155" s="24">
        <f t="shared" si="169"/>
        <v>0.53807897575569752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67.605112783906506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210.13237351083279</v>
      </c>
      <c r="CE155" s="62">
        <f t="shared" si="148"/>
        <v>423.06475179432277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8.8198812436150416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1.153525816494145E-16</v>
      </c>
      <c r="CN155" s="24">
        <f t="shared" si="172"/>
        <v>8.8198812436150416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67.605112783906506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493.89660144134291</v>
      </c>
      <c r="CZ155" s="62">
        <f t="shared" si="150"/>
        <v>312.97494624463229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0.31007400513188849</v>
      </c>
      <c r="DH155" s="23">
        <f>EXP(-LN(2)/2)*DH154+(1-EXP(-LN(2)/2))/(LN(2)/2)*DB155*DE155*VLOOKUP('Données projet'!$B$13,Paramètres!$A$1:$I$89,3,0)*0.475*44/12</f>
        <v>6.4660840243594808E-18</v>
      </c>
      <c r="DI155" s="24">
        <f t="shared" si="175"/>
        <v>0.31007400513188849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67.605112783906506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>
        <f>DO155*VLOOKUP('Données projet'!$B$14,Paramètres!$A$1:$I$89,3,0)*VLOOKUP('Données projet'!$B$14,Paramètres!$A$1:$I$89,5,0)</f>
        <v>0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210.13237351083279</v>
      </c>
      <c r="DU155" s="62">
        <f t="shared" si="152"/>
        <v>423.06475179432277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8.8198812436150416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1.153525816494145E-16</v>
      </c>
      <c r="ED155" s="24">
        <f t="shared" si="178"/>
        <v>8.8198812436150416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67.605112783906506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67.605112783906506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67.605112783906506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67.605112783906506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4.5049999999999999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16.518333333333334</v>
      </c>
      <c r="H156" s="70">
        <f t="shared" si="110"/>
        <v>147.64566666666667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67.646658722940003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5.3205440053716299E-14</v>
      </c>
      <c r="P156" s="14">
        <f t="shared" si="141"/>
        <v>8.602146238565607E-13</v>
      </c>
      <c r="Q156" s="22">
        <f t="shared" si="162"/>
        <v>1.590873277977066E-12</v>
      </c>
      <c r="R156" s="62">
        <f t="shared" si="109"/>
        <v>284.70441531744831</v>
      </c>
      <c r="S156" s="62">
        <f ca="1">AVERAGE(OFFSET($R$3,0,0,'Données projet'!$E$9+1,1))-AVERAGE(OFFSET($H$3,0,0,'Données projet'!$E$9+1,1))</f>
        <v>374.81775021423215</v>
      </c>
      <c r="T156" s="62">
        <f t="shared" si="142"/>
        <v>301.81248585467142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67.646658722940003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1.1527845344971866E-13</v>
      </c>
      <c r="AK156" s="14">
        <f t="shared" si="164"/>
        <v>1.7033846239409443E-12</v>
      </c>
      <c r="AL156" s="22">
        <f t="shared" si="165"/>
        <v>3.1675048597887374E-12</v>
      </c>
      <c r="AM156" s="62">
        <f t="shared" si="113"/>
        <v>284.7044153174499</v>
      </c>
      <c r="AN156" s="62">
        <f ca="1">AVERAGE(OFFSET($AM$3,0,0,'Données projet'!$E$10+1,1))-AVERAGE(OFFSET($H$3,0,0,'Données projet'!$E$10+1,1))</f>
        <v>468.39960552661171</v>
      </c>
      <c r="AO156" s="62">
        <f t="shared" si="144"/>
        <v>291.1952427029787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9.991096038550383E-2</v>
      </c>
      <c r="AW156" s="23">
        <f>EXP(-LN(2)/2)*AW155+(1-EXP(-LN(2)/2))/(LN(2)/2)*AQ156*AT156*VLOOKUP('Données projet'!$B$10,Paramètres!$A$1:$I$89,3,0)*0.475*44/12</f>
        <v>4.3128549239351819E-18</v>
      </c>
      <c r="AX156" s="23">
        <f t="shared" si="166"/>
        <v>9.991096038550383E-2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67.646658722940003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-9.9316821433603781E-14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373.50005214669716</v>
      </c>
      <c r="BJ156" s="62">
        <f t="shared" si="146"/>
        <v>383.60460086643036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0.5233651778673144</v>
      </c>
      <c r="BR156" s="23">
        <f>EXP(-LN(2)/2)*BR155+(1-EXP(-LN(2)/2))/(LN(2)/2)*BL156*BO156*VLOOKUP('Données projet'!$B$11,Paramètres!$A$1:$I$89,3,0)*0.475*44/12</f>
        <v>4.5676119752710385E-18</v>
      </c>
      <c r="BS156" s="24">
        <f t="shared" si="169"/>
        <v>0.5233651778673144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67.646658722940003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210.13237351083279</v>
      </c>
      <c r="CE156" s="62">
        <f t="shared" si="148"/>
        <v>423.06475179432277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8.6469287520241185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8.1566592711675894E-17</v>
      </c>
      <c r="CN156" s="24">
        <f t="shared" si="172"/>
        <v>8.6469287520241185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67.646658722940003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493.89660144134291</v>
      </c>
      <c r="CZ156" s="62">
        <f t="shared" si="150"/>
        <v>312.97494624463229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0.30159501515547377</v>
      </c>
      <c r="DH156" s="23">
        <f>EXP(-LN(2)/2)*DH155+(1-EXP(-LN(2)/2))/(LN(2)/2)*DB156*DE156*VLOOKUP('Données projet'!$B$13,Paramètres!$A$1:$I$89,3,0)*0.475*44/12</f>
        <v>4.57221186134659E-18</v>
      </c>
      <c r="DI156" s="24">
        <f t="shared" si="175"/>
        <v>0.30159501515547377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67.646658722940003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>
        <f>DO156*VLOOKUP('Données projet'!$B$14,Paramètres!$A$1:$I$89,3,0)*VLOOKUP('Données projet'!$B$14,Paramètres!$A$1:$I$89,5,0)</f>
        <v>0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210.13237351083279</v>
      </c>
      <c r="DU156" s="62">
        <f t="shared" si="152"/>
        <v>423.06475179432277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8.6469287520241185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8.1566592711675894E-17</v>
      </c>
      <c r="ED156" s="24">
        <f t="shared" si="178"/>
        <v>8.6469287520241185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67.646658722940003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67.646658722940003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67.646658722940003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67.646658722940003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4.5049999999999999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16.518333333333334</v>
      </c>
      <c r="H157" s="70">
        <f t="shared" si="110"/>
        <v>147.64566666666667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67.687483932814104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5.3205440053716299E-14</v>
      </c>
      <c r="P157" s="14">
        <f t="shared" si="141"/>
        <v>8.602146238565607E-13</v>
      </c>
      <c r="Q157" s="22">
        <f t="shared" si="162"/>
        <v>1.590873277977066E-12</v>
      </c>
      <c r="R157" s="62">
        <f t="shared" si="109"/>
        <v>284.8541077536533</v>
      </c>
      <c r="S157" s="62">
        <f ca="1">AVERAGE(OFFSET($R$3,0,0,'Données projet'!$E$9+1,1))-AVERAGE(OFFSET($H$3,0,0,'Données projet'!$E$9+1,1))</f>
        <v>374.81775021423215</v>
      </c>
      <c r="T157" s="62">
        <f t="shared" si="142"/>
        <v>301.81248585467142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67.687483932814104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1.1527845344971866E-13</v>
      </c>
      <c r="AK157" s="14">
        <f t="shared" si="164"/>
        <v>1.7033846239409443E-12</v>
      </c>
      <c r="AL157" s="22">
        <f t="shared" si="165"/>
        <v>3.1675048597887374E-12</v>
      </c>
      <c r="AM157" s="62">
        <f t="shared" si="113"/>
        <v>284.85410775365489</v>
      </c>
      <c r="AN157" s="62">
        <f ca="1">AVERAGE(OFFSET($AM$3,0,0,'Données projet'!$E$10+1,1))-AVERAGE(OFFSET($H$3,0,0,'Données projet'!$E$10+1,1))</f>
        <v>468.39960552661171</v>
      </c>
      <c r="AO157" s="62">
        <f t="shared" si="144"/>
        <v>291.1952427029787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9.7178889919673175E-2</v>
      </c>
      <c r="AW157" s="23">
        <f>EXP(-LN(2)/2)*AW156+(1-EXP(-LN(2)/2))/(LN(2)/2)*AQ157*AT157*VLOOKUP('Données projet'!$B$10,Paramètres!$A$1:$I$89,3,0)*0.475*44/12</f>
        <v>3.0496489629883588E-18</v>
      </c>
      <c r="AX157" s="23">
        <f t="shared" si="166"/>
        <v>9.7178889919673175E-2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67.687483932814104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-9.9316821433603781E-14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373.50005214669716</v>
      </c>
      <c r="BJ157" s="62">
        <f t="shared" si="146"/>
        <v>383.60460086643036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0.50905372955595418</v>
      </c>
      <c r="BR157" s="23">
        <f>EXP(-LN(2)/2)*BR156+(1-EXP(-LN(2)/2))/(LN(2)/2)*BL157*BO157*VLOOKUP('Données projet'!$B$11,Paramètres!$A$1:$I$89,3,0)*0.475*44/12</f>
        <v>3.2297894015430324E-18</v>
      </c>
      <c r="BS157" s="24">
        <f t="shared" si="169"/>
        <v>0.50905372955595418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67.687483932814104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210.13237351083279</v>
      </c>
      <c r="CE157" s="62">
        <f t="shared" si="148"/>
        <v>423.06475179432277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8.4773677533026888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5.7676290824707248E-17</v>
      </c>
      <c r="CN157" s="24">
        <f t="shared" si="172"/>
        <v>8.4773677533026888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67.687483932814104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493.89660144134291</v>
      </c>
      <c r="CZ157" s="62">
        <f t="shared" si="150"/>
        <v>312.97494624463229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0.29334788360585479</v>
      </c>
      <c r="DH157" s="23">
        <f>EXP(-LN(2)/2)*DH156+(1-EXP(-LN(2)/2))/(LN(2)/2)*DB157*DE157*VLOOKUP('Données projet'!$B$13,Paramètres!$A$1:$I$89,3,0)*0.475*44/12</f>
        <v>3.2330420121797404E-18</v>
      </c>
      <c r="DI157" s="24">
        <f t="shared" si="175"/>
        <v>0.29334788360585479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67.687483932814104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>
        <f>DO157*VLOOKUP('Données projet'!$B$14,Paramètres!$A$1:$I$89,3,0)*VLOOKUP('Données projet'!$B$14,Paramètres!$A$1:$I$89,5,0)</f>
        <v>0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210.13237351083279</v>
      </c>
      <c r="DU157" s="62">
        <f t="shared" si="152"/>
        <v>423.06475179432277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8.4773677533026888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5.7676290824707248E-17</v>
      </c>
      <c r="ED157" s="24">
        <f t="shared" si="178"/>
        <v>8.4773677533026888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67.687483932814104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67.687483932814104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67.687483932814104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67.687483932814104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4.5049999999999999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16.518333333333334</v>
      </c>
      <c r="H158" s="70">
        <f t="shared" si="110"/>
        <v>147.64566666666667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67.727600916568377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5.3205440053716299E-14</v>
      </c>
      <c r="P158" s="14">
        <f t="shared" si="141"/>
        <v>8.602146238565607E-13</v>
      </c>
      <c r="Q158" s="22">
        <f t="shared" si="162"/>
        <v>1.590873277977066E-12</v>
      </c>
      <c r="R158" s="62">
        <f t="shared" si="109"/>
        <v>285.0012033607523</v>
      </c>
      <c r="S158" s="62">
        <f ca="1">AVERAGE(OFFSET($R$3,0,0,'Données projet'!$E$9+1,1))-AVERAGE(OFFSET($H$3,0,0,'Données projet'!$E$9+1,1))</f>
        <v>374.81775021423215</v>
      </c>
      <c r="T158" s="62">
        <f t="shared" si="142"/>
        <v>301.81248585467142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67.727600916568377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1.1527845344971866E-13</v>
      </c>
      <c r="AK158" s="14">
        <f t="shared" si="164"/>
        <v>1.7033846239409443E-12</v>
      </c>
      <c r="AL158" s="22">
        <f t="shared" si="165"/>
        <v>3.1675048597887374E-12</v>
      </c>
      <c r="AM158" s="62">
        <f t="shared" si="113"/>
        <v>285.00120336075389</v>
      </c>
      <c r="AN158" s="62">
        <f ca="1">AVERAGE(OFFSET($AM$3,0,0,'Données projet'!$E$10+1,1))-AVERAGE(OFFSET($H$3,0,0,'Données projet'!$E$10+1,1))</f>
        <v>468.39960552661171</v>
      </c>
      <c r="AO158" s="62">
        <f t="shared" si="144"/>
        <v>291.1952427029787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9.4521528064404003E-2</v>
      </c>
      <c r="AW158" s="23">
        <f>EXP(-LN(2)/2)*AW157+(1-EXP(-LN(2)/2))/(LN(2)/2)*AQ158*AT158*VLOOKUP('Données projet'!$B$10,Paramètres!$A$1:$I$89,3,0)*0.475*44/12</f>
        <v>2.156427461967591E-18</v>
      </c>
      <c r="AX158" s="23">
        <f t="shared" si="166"/>
        <v>9.4521528064404003E-2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67.727600916568377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-9.9316821433603781E-14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373.50005214669716</v>
      </c>
      <c r="BJ158" s="62">
        <f t="shared" si="146"/>
        <v>383.60460086643036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0.49513362855127446</v>
      </c>
      <c r="BR158" s="23">
        <f>EXP(-LN(2)/2)*BR157+(1-EXP(-LN(2)/2))/(LN(2)/2)*BL158*BO158*VLOOKUP('Données projet'!$B$11,Paramètres!$A$1:$I$89,3,0)*0.475*44/12</f>
        <v>2.2838059876355193E-18</v>
      </c>
      <c r="BS158" s="24">
        <f t="shared" si="169"/>
        <v>0.49513362855127446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67.727600916568377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210.13237351083279</v>
      </c>
      <c r="CE158" s="62">
        <f t="shared" si="148"/>
        <v>423.06475179432277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8.3111317423441893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4.0783296355837947E-17</v>
      </c>
      <c r="CN158" s="24">
        <f t="shared" si="172"/>
        <v>8.3111317423441893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67.727600916568377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493.89660144134291</v>
      </c>
      <c r="CZ158" s="62">
        <f t="shared" si="150"/>
        <v>312.97494624463229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0.28532627030215796</v>
      </c>
      <c r="DH158" s="23">
        <f>EXP(-LN(2)/2)*DH157+(1-EXP(-LN(2)/2))/(LN(2)/2)*DB158*DE158*VLOOKUP('Données projet'!$B$13,Paramètres!$A$1:$I$89,3,0)*0.475*44/12</f>
        <v>2.286105930673295E-18</v>
      </c>
      <c r="DI158" s="24">
        <f t="shared" si="175"/>
        <v>0.28532627030215796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67.727600916568377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>
        <f>DO158*VLOOKUP('Données projet'!$B$14,Paramètres!$A$1:$I$89,3,0)*VLOOKUP('Données projet'!$B$14,Paramètres!$A$1:$I$89,5,0)</f>
        <v>0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210.13237351083279</v>
      </c>
      <c r="DU158" s="62">
        <f t="shared" si="152"/>
        <v>423.06475179432277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8.3111317423441893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4.0783296355837947E-17</v>
      </c>
      <c r="ED158" s="24">
        <f t="shared" si="178"/>
        <v>8.3111317423441893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67.727600916568377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67.727600916568377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67.727600916568377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67.727600916568377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4.5049999999999999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16.518333333333334</v>
      </c>
      <c r="H159" s="70">
        <f t="shared" si="110"/>
        <v>147.64566666666667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67.76702196034266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5.3205440053716299E-14</v>
      </c>
      <c r="P159" s="14">
        <f t="shared" si="141"/>
        <v>8.602146238565607E-13</v>
      </c>
      <c r="Q159" s="22">
        <f t="shared" si="162"/>
        <v>1.590873277977066E-12</v>
      </c>
      <c r="R159" s="62">
        <f t="shared" si="109"/>
        <v>285.14574718792466</v>
      </c>
      <c r="S159" s="62">
        <f ca="1">AVERAGE(OFFSET($R$3,0,0,'Données projet'!$E$9+1,1))-AVERAGE(OFFSET($H$3,0,0,'Données projet'!$E$9+1,1))</f>
        <v>374.81775021423215</v>
      </c>
      <c r="T159" s="62">
        <f t="shared" si="142"/>
        <v>301.81248585467142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67.76702196034266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1.1527845344971866E-13</v>
      </c>
      <c r="AK159" s="14">
        <f t="shared" si="164"/>
        <v>1.7033846239409443E-12</v>
      </c>
      <c r="AL159" s="22">
        <f t="shared" si="165"/>
        <v>3.1675048597887374E-12</v>
      </c>
      <c r="AM159" s="62">
        <f t="shared" si="113"/>
        <v>285.14574718792625</v>
      </c>
      <c r="AN159" s="62">
        <f ca="1">AVERAGE(OFFSET($AM$3,0,0,'Données projet'!$E$10+1,1))-AVERAGE(OFFSET($H$3,0,0,'Données projet'!$E$10+1,1))</f>
        <v>468.39960552661171</v>
      </c>
      <c r="AO159" s="62">
        <f t="shared" si="144"/>
        <v>291.1952427029787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9.1936831908811745E-2</v>
      </c>
      <c r="AW159" s="23">
        <f>EXP(-LN(2)/2)*AW158+(1-EXP(-LN(2)/2))/(LN(2)/2)*AQ159*AT159*VLOOKUP('Données projet'!$B$10,Paramètres!$A$1:$I$89,3,0)*0.475*44/12</f>
        <v>1.5248244814941794E-18</v>
      </c>
      <c r="AX159" s="23">
        <f t="shared" si="166"/>
        <v>9.1936831908811745E-2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67.76702196034266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-9.9316821433603781E-14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373.50005214669716</v>
      </c>
      <c r="BJ159" s="62">
        <f t="shared" si="146"/>
        <v>383.60460086643036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0.48159417344059396</v>
      </c>
      <c r="BR159" s="23">
        <f>EXP(-LN(2)/2)*BR158+(1-EXP(-LN(2)/2))/(LN(2)/2)*BL159*BO159*VLOOKUP('Données projet'!$B$11,Paramètres!$A$1:$I$89,3,0)*0.475*44/12</f>
        <v>1.6148947007715162E-18</v>
      </c>
      <c r="BS159" s="24">
        <f t="shared" si="169"/>
        <v>0.48159417344059396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67.76702196034266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210.13237351083279</v>
      </c>
      <c r="CE159" s="62">
        <f t="shared" si="148"/>
        <v>423.06475179432277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8.1481555181666323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2.8838145412353624E-17</v>
      </c>
      <c r="CN159" s="24">
        <f t="shared" si="172"/>
        <v>8.1481555181666323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67.76702196034266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493.89660144134291</v>
      </c>
      <c r="CZ159" s="62">
        <f t="shared" si="150"/>
        <v>312.97494624463229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0.27752400843608904</v>
      </c>
      <c r="DH159" s="23">
        <f>EXP(-LN(2)/2)*DH158+(1-EXP(-LN(2)/2))/(LN(2)/2)*DB159*DE159*VLOOKUP('Données projet'!$B$13,Paramètres!$A$1:$I$89,3,0)*0.475*44/12</f>
        <v>1.6165210060898702E-18</v>
      </c>
      <c r="DI159" s="24">
        <f t="shared" si="175"/>
        <v>0.27752400843608904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67.76702196034266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>
        <f>DO159*VLOOKUP('Données projet'!$B$14,Paramètres!$A$1:$I$89,3,0)*VLOOKUP('Données projet'!$B$14,Paramètres!$A$1:$I$89,5,0)</f>
        <v>0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210.13237351083279</v>
      </c>
      <c r="DU159" s="62">
        <f t="shared" si="152"/>
        <v>423.06475179432277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8.1481555181666323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2.8838145412353624E-17</v>
      </c>
      <c r="ED159" s="24">
        <f t="shared" si="178"/>
        <v>8.1481555181666323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67.76702196034266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67.76702196034266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67.76702196034266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67.76702196034266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4.5049999999999999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16.518333333333334</v>
      </c>
      <c r="H160" s="70">
        <f t="shared" si="110"/>
        <v>147.64566666666667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67.805759137139688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5.3205440053716299E-14</v>
      </c>
      <c r="P160" s="14">
        <f t="shared" si="141"/>
        <v>8.602146238565607E-13</v>
      </c>
      <c r="Q160" s="22">
        <f t="shared" si="162"/>
        <v>1.590873277977066E-12</v>
      </c>
      <c r="R160" s="62">
        <f t="shared" si="109"/>
        <v>285.28778350284711</v>
      </c>
      <c r="S160" s="62">
        <f ca="1">AVERAGE(OFFSET($R$3,0,0,'Données projet'!$E$9+1,1))-AVERAGE(OFFSET($H$3,0,0,'Données projet'!$E$9+1,1))</f>
        <v>374.81775021423215</v>
      </c>
      <c r="T160" s="62">
        <f t="shared" si="142"/>
        <v>301.81248585467142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67.805759137139688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1.1527845344971866E-13</v>
      </c>
      <c r="AK160" s="14">
        <f t="shared" si="164"/>
        <v>1.7033846239409443E-12</v>
      </c>
      <c r="AL160" s="22">
        <f t="shared" si="165"/>
        <v>3.1675048597887374E-12</v>
      </c>
      <c r="AM160" s="62">
        <f t="shared" si="113"/>
        <v>285.2877835028487</v>
      </c>
      <c r="AN160" s="62">
        <f ca="1">AVERAGE(OFFSET($AM$3,0,0,'Données projet'!$E$10+1,1))-AVERAGE(OFFSET($H$3,0,0,'Données projet'!$E$10+1,1))</f>
        <v>468.39960552661171</v>
      </c>
      <c r="AO160" s="62">
        <f t="shared" si="144"/>
        <v>291.1952427029787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8.9422814405517428E-2</v>
      </c>
      <c r="AW160" s="23">
        <f>EXP(-LN(2)/2)*AW159+(1-EXP(-LN(2)/2))/(LN(2)/2)*AQ160*AT160*VLOOKUP('Données projet'!$B$10,Paramètres!$A$1:$I$89,3,0)*0.475*44/12</f>
        <v>1.0782137309837955E-18</v>
      </c>
      <c r="AX160" s="23">
        <f t="shared" si="166"/>
        <v>8.9422814405517428E-2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67.805759137139688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-9.9316821433603781E-14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373.50005214669716</v>
      </c>
      <c r="BJ160" s="62">
        <f t="shared" si="146"/>
        <v>383.60460086643036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0.46842495544192403</v>
      </c>
      <c r="BR160" s="23">
        <f>EXP(-LN(2)/2)*BR159+(1-EXP(-LN(2)/2))/(LN(2)/2)*BL160*BO160*VLOOKUP('Données projet'!$B$11,Paramètres!$A$1:$I$89,3,0)*0.475*44/12</f>
        <v>1.1419029938177596E-18</v>
      </c>
      <c r="BS160" s="24">
        <f t="shared" si="169"/>
        <v>0.46842495544192403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67.805759137139688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210.13237351083279</v>
      </c>
      <c r="CE160" s="62">
        <f t="shared" si="148"/>
        <v>423.06475179432277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7.9883751583395153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2.0391648177918974E-17</v>
      </c>
      <c r="CN160" s="24">
        <f t="shared" si="172"/>
        <v>7.9883751583395153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67.805759137139688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493.89660144134291</v>
      </c>
      <c r="CZ160" s="62">
        <f t="shared" si="150"/>
        <v>312.97494624463229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0.26993509983105085</v>
      </c>
      <c r="DH160" s="23">
        <f>EXP(-LN(2)/2)*DH159+(1-EXP(-LN(2)/2))/(LN(2)/2)*DB160*DE160*VLOOKUP('Données projet'!$B$13,Paramètres!$A$1:$I$89,3,0)*0.475*44/12</f>
        <v>1.1430529653366475E-18</v>
      </c>
      <c r="DI160" s="24">
        <f t="shared" si="175"/>
        <v>0.26993509983105085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67.805759137139688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>
        <f>DO160*VLOOKUP('Données projet'!$B$14,Paramètres!$A$1:$I$89,3,0)*VLOOKUP('Données projet'!$B$14,Paramètres!$A$1:$I$89,5,0)</f>
        <v>0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210.13237351083279</v>
      </c>
      <c r="DU160" s="62">
        <f t="shared" si="152"/>
        <v>423.06475179432277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7.9883751583395153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2.0391648177918974E-17</v>
      </c>
      <c r="ED160" s="24">
        <f t="shared" si="178"/>
        <v>7.9883751583395153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67.805759137139688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67.805759137139688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67.805759137139688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67.805759137139688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4.5049999999999999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16.518333333333334</v>
      </c>
      <c r="H161" s="70">
        <f t="shared" si="110"/>
        <v>147.64566666666667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67.843824310522663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5.3205440053716299E-14</v>
      </c>
      <c r="P161" s="14">
        <f t="shared" si="141"/>
        <v>8.602146238565607E-13</v>
      </c>
      <c r="Q161" s="22">
        <f t="shared" si="162"/>
        <v>1.590873277977066E-12</v>
      </c>
      <c r="R161" s="62">
        <f t="shared" si="109"/>
        <v>285.42735580525135</v>
      </c>
      <c r="S161" s="62">
        <f ca="1">AVERAGE(OFFSET($R$3,0,0,'Données projet'!$E$9+1,1))-AVERAGE(OFFSET($H$3,0,0,'Données projet'!$E$9+1,1))</f>
        <v>374.81775021423215</v>
      </c>
      <c r="T161" s="62">
        <f t="shared" si="142"/>
        <v>301.81248585467142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67.843824310522663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1.1527845344971866E-13</v>
      </c>
      <c r="AK161" s="14">
        <f t="shared" si="164"/>
        <v>1.7033846239409443E-12</v>
      </c>
      <c r="AL161" s="22">
        <f t="shared" si="165"/>
        <v>3.1675048597887374E-12</v>
      </c>
      <c r="AM161" s="62">
        <f t="shared" si="113"/>
        <v>285.42735580525294</v>
      </c>
      <c r="AN161" s="62">
        <f ca="1">AVERAGE(OFFSET($AM$3,0,0,'Données projet'!$E$10+1,1))-AVERAGE(OFFSET($H$3,0,0,'Données projet'!$E$10+1,1))</f>
        <v>468.39960552661171</v>
      </c>
      <c r="AO161" s="62">
        <f t="shared" si="144"/>
        <v>291.1952427029787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8.6977542843057129E-2</v>
      </c>
      <c r="AW161" s="23">
        <f>EXP(-LN(2)/2)*AW160+(1-EXP(-LN(2)/2))/(LN(2)/2)*AQ161*AT161*VLOOKUP('Données projet'!$B$10,Paramètres!$A$1:$I$89,3,0)*0.475*44/12</f>
        <v>7.6241224074708969E-19</v>
      </c>
      <c r="AX161" s="23">
        <f t="shared" si="166"/>
        <v>8.6977542843057129E-2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67.843824310522663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-9.9316821433603781E-14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373.50005214669716</v>
      </c>
      <c r="BJ161" s="62">
        <f t="shared" si="146"/>
        <v>383.60460086643036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0.45561585040196678</v>
      </c>
      <c r="BR161" s="23">
        <f>EXP(-LN(2)/2)*BR160+(1-EXP(-LN(2)/2))/(LN(2)/2)*BL161*BO161*VLOOKUP('Données projet'!$B$11,Paramètres!$A$1:$I$89,3,0)*0.475*44/12</f>
        <v>8.074473503857581E-19</v>
      </c>
      <c r="BS161" s="24">
        <f t="shared" si="169"/>
        <v>0.45561585040196678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67.843824310522663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210.13237351083279</v>
      </c>
      <c r="CE161" s="62">
        <f t="shared" si="148"/>
        <v>423.06475179432277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7.831727993912212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1.4419072706176812E-17</v>
      </c>
      <c r="CN161" s="24">
        <f t="shared" si="172"/>
        <v>7.831727993912212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67.843824310522663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493.89660144134291</v>
      </c>
      <c r="CZ161" s="62">
        <f t="shared" si="150"/>
        <v>312.97494624463229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0.2625537103309008</v>
      </c>
      <c r="DH161" s="23">
        <f>EXP(-LN(2)/2)*DH160+(1-EXP(-LN(2)/2))/(LN(2)/2)*DB161*DE161*VLOOKUP('Données projet'!$B$13,Paramètres!$A$1:$I$89,3,0)*0.475*44/12</f>
        <v>8.082605030449351E-19</v>
      </c>
      <c r="DI161" s="24">
        <f t="shared" si="175"/>
        <v>0.2625537103309008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67.843824310522663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>
        <f>DO161*VLOOKUP('Données projet'!$B$14,Paramètres!$A$1:$I$89,3,0)*VLOOKUP('Données projet'!$B$14,Paramètres!$A$1:$I$89,5,0)</f>
        <v>0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210.13237351083279</v>
      </c>
      <c r="DU161" s="62">
        <f t="shared" si="152"/>
        <v>423.06475179432277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7.831727993912212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1.4419072706176812E-17</v>
      </c>
      <c r="ED161" s="24">
        <f t="shared" si="178"/>
        <v>7.831727993912212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67.843824310522663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67.843824310522663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67.843824310522663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67.843824310522663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4.5049999999999999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16.518333333333334</v>
      </c>
      <c r="H162" s="70">
        <f t="shared" si="110"/>
        <v>147.64566666666667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67.881229138248429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5.3205440053716299E-14</v>
      </c>
      <c r="P162" s="14">
        <f t="shared" si="141"/>
        <v>8.602146238565607E-13</v>
      </c>
      <c r="Q162" s="22">
        <f t="shared" si="162"/>
        <v>1.590873277977066E-12</v>
      </c>
      <c r="R162" s="62">
        <f t="shared" si="109"/>
        <v>285.56450684024583</v>
      </c>
      <c r="S162" s="62">
        <f ca="1">AVERAGE(OFFSET($R$3,0,0,'Données projet'!$E$9+1,1))-AVERAGE(OFFSET($H$3,0,0,'Données projet'!$E$9+1,1))</f>
        <v>374.81775021423215</v>
      </c>
      <c r="T162" s="62">
        <f t="shared" si="142"/>
        <v>301.81248585467142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67.881229138248429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1.1527845344971866E-13</v>
      </c>
      <c r="AK162" s="14">
        <f t="shared" si="164"/>
        <v>1.7033846239409443E-12</v>
      </c>
      <c r="AL162" s="22">
        <f t="shared" si="165"/>
        <v>3.1675048597887374E-12</v>
      </c>
      <c r="AM162" s="62">
        <f t="shared" si="113"/>
        <v>285.56450684024742</v>
      </c>
      <c r="AN162" s="62">
        <f ca="1">AVERAGE(OFFSET($AM$3,0,0,'Données projet'!$E$10+1,1))-AVERAGE(OFFSET($H$3,0,0,'Données projet'!$E$10+1,1))</f>
        <v>468.39960552661171</v>
      </c>
      <c r="AO162" s="62">
        <f t="shared" si="144"/>
        <v>291.1952427029787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8.4599137360063539E-2</v>
      </c>
      <c r="AW162" s="23">
        <f>EXP(-LN(2)/2)*AW161+(1-EXP(-LN(2)/2))/(LN(2)/2)*AQ162*AT162*VLOOKUP('Données projet'!$B$10,Paramètres!$A$1:$I$89,3,0)*0.475*44/12</f>
        <v>5.3910686549189774E-19</v>
      </c>
      <c r="AX162" s="23">
        <f t="shared" si="166"/>
        <v>8.4599137360063539E-2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67.881229138248429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-9.9316821433603781E-14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373.50005214669716</v>
      </c>
      <c r="BJ162" s="62">
        <f t="shared" si="146"/>
        <v>383.60460086643036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0.44315701101292876</v>
      </c>
      <c r="BR162" s="23">
        <f>EXP(-LN(2)/2)*BR161+(1-EXP(-LN(2)/2))/(LN(2)/2)*BL162*BO162*VLOOKUP('Données projet'!$B$11,Paramètres!$A$1:$I$89,3,0)*0.475*44/12</f>
        <v>5.7095149690887981E-19</v>
      </c>
      <c r="BS162" s="24">
        <f t="shared" si="169"/>
        <v>0.44315701101292876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67.881229138248429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210.13237351083279</v>
      </c>
      <c r="CE162" s="62">
        <f t="shared" si="148"/>
        <v>423.06475179432277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7.6781525848339918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1.0195824088959487E-17</v>
      </c>
      <c r="CN162" s="24">
        <f t="shared" si="172"/>
        <v>7.6781525848339918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67.881229138248429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493.89660144134291</v>
      </c>
      <c r="CZ162" s="62">
        <f t="shared" si="150"/>
        <v>312.97494624463229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0.25537416531480278</v>
      </c>
      <c r="DH162" s="23">
        <f>EXP(-LN(2)/2)*DH161+(1-EXP(-LN(2)/2))/(LN(2)/2)*DB162*DE162*VLOOKUP('Données projet'!$B$13,Paramètres!$A$1:$I$89,3,0)*0.475*44/12</f>
        <v>5.7152648266832375E-19</v>
      </c>
      <c r="DI162" s="24">
        <f t="shared" si="175"/>
        <v>0.25537416531480278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67.881229138248429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>
        <f>DO162*VLOOKUP('Données projet'!$B$14,Paramètres!$A$1:$I$89,3,0)*VLOOKUP('Données projet'!$B$14,Paramètres!$A$1:$I$89,5,0)</f>
        <v>0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210.13237351083279</v>
      </c>
      <c r="DU162" s="62">
        <f t="shared" si="152"/>
        <v>423.06475179432277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7.6781525848339918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1.0195824088959487E-17</v>
      </c>
      <c r="ED162" s="24">
        <f t="shared" si="178"/>
        <v>7.6781525848339918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67.881229138248429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67.881229138248429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67.881229138248429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67.881229138248429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4.5049999999999999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16.518333333333334</v>
      </c>
      <c r="H163" s="70">
        <f t="shared" si="110"/>
        <v>147.64566666666667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67.917985075837791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5.3205440053716299E-14</v>
      </c>
      <c r="P163" s="14">
        <f t="shared" si="141"/>
        <v>8.602146238565607E-13</v>
      </c>
      <c r="Q163" s="22">
        <f t="shared" si="162"/>
        <v>1.590873277977066E-12</v>
      </c>
      <c r="R163" s="62">
        <f t="shared" si="109"/>
        <v>285.69927861140684</v>
      </c>
      <c r="S163" s="62">
        <f ca="1">AVERAGE(OFFSET($R$3,0,0,'Données projet'!$E$9+1,1))-AVERAGE(OFFSET($H$3,0,0,'Données projet'!$E$9+1,1))</f>
        <v>374.81775021423215</v>
      </c>
      <c r="T163" s="62">
        <f t="shared" si="142"/>
        <v>301.81248585467142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67.917985075837791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1.1527845344971866E-13</v>
      </c>
      <c r="AK163" s="14">
        <f t="shared" si="164"/>
        <v>1.7033846239409443E-12</v>
      </c>
      <c r="AL163" s="22">
        <f t="shared" si="165"/>
        <v>3.1675048597887374E-12</v>
      </c>
      <c r="AM163" s="62">
        <f t="shared" si="113"/>
        <v>285.69927861140843</v>
      </c>
      <c r="AN163" s="62">
        <f ca="1">AVERAGE(OFFSET($AM$3,0,0,'Données projet'!$E$10+1,1))-AVERAGE(OFFSET($H$3,0,0,'Données projet'!$E$10+1,1))</f>
        <v>468.39960552661171</v>
      </c>
      <c r="AO163" s="62">
        <f t="shared" si="144"/>
        <v>291.1952427029787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8.2285769500077321E-2</v>
      </c>
      <c r="AW163" s="23">
        <f>EXP(-LN(2)/2)*AW162+(1-EXP(-LN(2)/2))/(LN(2)/2)*AQ163*AT163*VLOOKUP('Données projet'!$B$10,Paramètres!$A$1:$I$89,3,0)*0.475*44/12</f>
        <v>3.8120612037354484E-19</v>
      </c>
      <c r="AX163" s="23">
        <f t="shared" si="166"/>
        <v>8.2285769500077321E-2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67.917985075837791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-9.9316821433603781E-14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373.50005214669716</v>
      </c>
      <c r="BJ163" s="62">
        <f t="shared" si="146"/>
        <v>383.60460086643036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0.43103885924216584</v>
      </c>
      <c r="BR163" s="23">
        <f>EXP(-LN(2)/2)*BR162+(1-EXP(-LN(2)/2))/(LN(2)/2)*BL163*BO163*VLOOKUP('Données projet'!$B$11,Paramètres!$A$1:$I$89,3,0)*0.475*44/12</f>
        <v>4.0372367519287905E-19</v>
      </c>
      <c r="BS163" s="24">
        <f t="shared" si="169"/>
        <v>0.43103885924216584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67.917985075837791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210.13237351083279</v>
      </c>
      <c r="CE163" s="62">
        <f t="shared" si="148"/>
        <v>423.06475179432277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7.5275886958560454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7.2095363530884059E-18</v>
      </c>
      <c r="CN163" s="24">
        <f t="shared" si="172"/>
        <v>7.5275886958560454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67.917985075837791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493.89660144134291</v>
      </c>
      <c r="CZ163" s="62">
        <f t="shared" si="150"/>
        <v>312.97494624463229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0.2483909453347258</v>
      </c>
      <c r="DH163" s="23">
        <f>EXP(-LN(2)/2)*DH162+(1-EXP(-LN(2)/2))/(LN(2)/2)*DB163*DE163*VLOOKUP('Données projet'!$B$13,Paramètres!$A$1:$I$89,3,0)*0.475*44/12</f>
        <v>4.0413025152246755E-19</v>
      </c>
      <c r="DI163" s="24">
        <f t="shared" si="175"/>
        <v>0.2483909453347258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67.917985075837791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>
        <f>DO163*VLOOKUP('Données projet'!$B$14,Paramètres!$A$1:$I$89,3,0)*VLOOKUP('Données projet'!$B$14,Paramètres!$A$1:$I$89,5,0)</f>
        <v>0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210.13237351083279</v>
      </c>
      <c r="DU163" s="62">
        <f t="shared" si="152"/>
        <v>423.06475179432277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7.5275886958560454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7.2095363530884059E-18</v>
      </c>
      <c r="ED163" s="24">
        <f t="shared" si="178"/>
        <v>7.5275886958560454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67.917985075837791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67.917985075837791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67.917985075837791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67.917985075837791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4.5049999999999999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16.518333333333334</v>
      </c>
      <c r="H164" s="70">
        <f t="shared" si="110"/>
        <v>147.64566666666667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67.95410338008395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5.3205440053716299E-14</v>
      </c>
      <c r="P164" s="14">
        <f t="shared" si="141"/>
        <v>8.602146238565607E-13</v>
      </c>
      <c r="Q164" s="22">
        <f t="shared" si="162"/>
        <v>1.590873277977066E-12</v>
      </c>
      <c r="R164" s="62">
        <f t="shared" si="109"/>
        <v>285.8317123936427</v>
      </c>
      <c r="S164" s="62">
        <f ca="1">AVERAGE(OFFSET($R$3,0,0,'Données projet'!$E$9+1,1))-AVERAGE(OFFSET($H$3,0,0,'Données projet'!$E$9+1,1))</f>
        <v>374.81775021423215</v>
      </c>
      <c r="T164" s="62">
        <f t="shared" si="142"/>
        <v>301.81248585467142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67.95410338008395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1.1527845344971866E-13</v>
      </c>
      <c r="AK164" s="14">
        <f t="shared" si="164"/>
        <v>1.7033846239409443E-12</v>
      </c>
      <c r="AL164" s="22">
        <f t="shared" si="165"/>
        <v>3.1675048597887374E-12</v>
      </c>
      <c r="AM164" s="62">
        <f t="shared" si="113"/>
        <v>285.8317123936443</v>
      </c>
      <c r="AN164" s="62">
        <f ca="1">AVERAGE(OFFSET($AM$3,0,0,'Données projet'!$E$10+1,1))-AVERAGE(OFFSET($H$3,0,0,'Données projet'!$E$10+1,1))</f>
        <v>468.39960552661171</v>
      </c>
      <c r="AO164" s="62">
        <f t="shared" si="144"/>
        <v>291.1952427029787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8.0035660805877151E-2</v>
      </c>
      <c r="AW164" s="23">
        <f>EXP(-LN(2)/2)*AW163+(1-EXP(-LN(2)/2))/(LN(2)/2)*AQ164*AT164*VLOOKUP('Données projet'!$B$10,Paramètres!$A$1:$I$89,3,0)*0.475*44/12</f>
        <v>2.6955343274594887E-19</v>
      </c>
      <c r="AX164" s="23">
        <f t="shared" si="166"/>
        <v>8.0035660805877151E-2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67.95410338008395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-9.9316821433603781E-14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373.50005214669716</v>
      </c>
      <c r="BJ164" s="62">
        <f t="shared" si="146"/>
        <v>383.60460086643036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0.41925207896884037</v>
      </c>
      <c r="BR164" s="23">
        <f>EXP(-LN(2)/2)*BR163+(1-EXP(-LN(2)/2))/(LN(2)/2)*BL164*BO164*VLOOKUP('Données projet'!$B$11,Paramètres!$A$1:$I$89,3,0)*0.475*44/12</f>
        <v>2.8547574845443991E-19</v>
      </c>
      <c r="BS164" s="24">
        <f t="shared" si="169"/>
        <v>0.41925207896884037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67.95410338008395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210.13237351083279</v>
      </c>
      <c r="CE164" s="62">
        <f t="shared" si="148"/>
        <v>423.06475179432277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7.3799772729060518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5.0979120444797434E-18</v>
      </c>
      <c r="CN164" s="24">
        <f t="shared" si="172"/>
        <v>7.3799772729060518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67.95410338008395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493.89660144134291</v>
      </c>
      <c r="CZ164" s="62">
        <f t="shared" si="150"/>
        <v>312.97494624463229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0.24159868187223563</v>
      </c>
      <c r="DH164" s="23">
        <f>EXP(-LN(2)/2)*DH163+(1-EXP(-LN(2)/2))/(LN(2)/2)*DB164*DE164*VLOOKUP('Données projet'!$B$13,Paramètres!$A$1:$I$89,3,0)*0.475*44/12</f>
        <v>2.8576324133416187E-19</v>
      </c>
      <c r="DI164" s="24">
        <f t="shared" si="175"/>
        <v>0.24159868187223563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67.95410338008395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>
        <f>DO164*VLOOKUP('Données projet'!$B$14,Paramètres!$A$1:$I$89,3,0)*VLOOKUP('Données projet'!$B$14,Paramètres!$A$1:$I$89,5,0)</f>
        <v>0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210.13237351083279</v>
      </c>
      <c r="DU164" s="62">
        <f t="shared" si="152"/>
        <v>423.06475179432277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7.3799772729060518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5.0979120444797434E-18</v>
      </c>
      <c r="ED164" s="24">
        <f t="shared" si="178"/>
        <v>7.3799772729060518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67.95410338008395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67.95410338008395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67.95410338008395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67.95410338008395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4.5049999999999999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16.518333333333334</v>
      </c>
      <c r="H165" s="70">
        <f t="shared" si="110"/>
        <v>147.64566666666667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67.989595112499885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5.3205440053716299E-14</v>
      </c>
      <c r="P165" s="14">
        <f t="shared" si="141"/>
        <v>8.602146238565607E-13</v>
      </c>
      <c r="Q165" s="22">
        <f t="shared" si="162"/>
        <v>1.590873277977066E-12</v>
      </c>
      <c r="R165" s="62">
        <f t="shared" si="109"/>
        <v>285.96184874583452</v>
      </c>
      <c r="S165" s="62">
        <f ca="1">AVERAGE(OFFSET($R$3,0,0,'Données projet'!$E$9+1,1))-AVERAGE(OFFSET($H$3,0,0,'Données projet'!$E$9+1,1))</f>
        <v>374.81775021423215</v>
      </c>
      <c r="T165" s="62">
        <f t="shared" si="142"/>
        <v>301.81248585467142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67.989595112499885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1.1527845344971866E-13</v>
      </c>
      <c r="AK165" s="14">
        <f t="shared" si="164"/>
        <v>1.7033846239409443E-12</v>
      </c>
      <c r="AL165" s="22">
        <f t="shared" si="165"/>
        <v>3.1675048597887374E-12</v>
      </c>
      <c r="AM165" s="62">
        <f t="shared" si="113"/>
        <v>285.96184874583611</v>
      </c>
      <c r="AN165" s="62">
        <f ca="1">AVERAGE(OFFSET($AM$3,0,0,'Données projet'!$E$10+1,1))-AVERAGE(OFFSET($H$3,0,0,'Données projet'!$E$10+1,1))</f>
        <v>468.39960552661171</v>
      </c>
      <c r="AO165" s="62">
        <f t="shared" si="144"/>
        <v>291.1952427029787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7.784708145224796E-2</v>
      </c>
      <c r="AW165" s="23">
        <f>EXP(-LN(2)/2)*AW164+(1-EXP(-LN(2)/2))/(LN(2)/2)*AQ165*AT165*VLOOKUP('Données projet'!$B$10,Paramètres!$A$1:$I$89,3,0)*0.475*44/12</f>
        <v>1.9060306018677242E-19</v>
      </c>
      <c r="AX165" s="23">
        <f t="shared" si="166"/>
        <v>7.784708145224796E-2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67.989595112499885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-9.9316821433603781E-14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373.50005214669716</v>
      </c>
      <c r="BJ165" s="62">
        <f t="shared" si="146"/>
        <v>383.60460086643036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0.40778760882192883</v>
      </c>
      <c r="BR165" s="23">
        <f>EXP(-LN(2)/2)*BR164+(1-EXP(-LN(2)/2))/(LN(2)/2)*BL165*BO165*VLOOKUP('Données projet'!$B$11,Paramètres!$A$1:$I$89,3,0)*0.475*44/12</f>
        <v>2.0186183759643952E-19</v>
      </c>
      <c r="BS165" s="24">
        <f t="shared" si="169"/>
        <v>0.40778760882192883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67.989595112499885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210.13237351083279</v>
      </c>
      <c r="CE165" s="62">
        <f t="shared" si="148"/>
        <v>423.06475179432277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7.2352604199260302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3.604768176544203E-18</v>
      </c>
      <c r="CN165" s="24">
        <f t="shared" si="172"/>
        <v>7.2352604199260302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67.989595112499885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493.89660144134291</v>
      </c>
      <c r="CZ165" s="62">
        <f t="shared" si="150"/>
        <v>312.97494624463229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0.23499215321131683</v>
      </c>
      <c r="DH165" s="23">
        <f>EXP(-LN(2)/2)*DH164+(1-EXP(-LN(2)/2))/(LN(2)/2)*DB165*DE165*VLOOKUP('Données projet'!$B$13,Paramètres!$A$1:$I$89,3,0)*0.475*44/12</f>
        <v>2.0206512576123377E-19</v>
      </c>
      <c r="DI165" s="24">
        <f t="shared" si="175"/>
        <v>0.23499215321131683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67.989595112499885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>
        <f>DO165*VLOOKUP('Données projet'!$B$14,Paramètres!$A$1:$I$89,3,0)*VLOOKUP('Données projet'!$B$14,Paramètres!$A$1:$I$89,5,0)</f>
        <v>0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210.13237351083279</v>
      </c>
      <c r="DU165" s="62">
        <f t="shared" si="152"/>
        <v>423.06475179432277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7.2352604199260302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3.604768176544203E-18</v>
      </c>
      <c r="ED165" s="24">
        <f t="shared" si="178"/>
        <v>7.2352604199260302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67.989595112499885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67.989595112499885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67.989595112499885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67.989595112499885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4.5049999999999999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16.518333333333334</v>
      </c>
      <c r="H166" s="70">
        <f t="shared" si="110"/>
        <v>147.64566666666667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68.02447114270602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5.3205440053716299E-14</v>
      </c>
      <c r="P166" s="14">
        <f t="shared" si="141"/>
        <v>8.602146238565607E-13</v>
      </c>
      <c r="Q166" s="22">
        <f t="shared" si="162"/>
        <v>1.590873277977066E-12</v>
      </c>
      <c r="R166" s="62">
        <f t="shared" si="109"/>
        <v>286.08972752325701</v>
      </c>
      <c r="S166" s="62">
        <f ca="1">AVERAGE(OFFSET($R$3,0,0,'Données projet'!$E$9+1,1))-AVERAGE(OFFSET($H$3,0,0,'Données projet'!$E$9+1,1))</f>
        <v>374.81775021423215</v>
      </c>
      <c r="T166" s="62">
        <f t="shared" si="142"/>
        <v>301.81248585467142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68.02447114270602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1.1527845344971866E-13</v>
      </c>
      <c r="AK166" s="14">
        <f t="shared" si="164"/>
        <v>1.7033846239409443E-12</v>
      </c>
      <c r="AL166" s="22">
        <f t="shared" si="165"/>
        <v>3.1675048597887374E-12</v>
      </c>
      <c r="AM166" s="62">
        <f t="shared" si="113"/>
        <v>286.0897275232586</v>
      </c>
      <c r="AN166" s="62">
        <f ca="1">AVERAGE(OFFSET($AM$3,0,0,'Données projet'!$E$10+1,1))-AVERAGE(OFFSET($H$3,0,0,'Données projet'!$E$10+1,1))</f>
        <v>468.39960552661171</v>
      </c>
      <c r="AO166" s="62">
        <f t="shared" si="144"/>
        <v>291.1952427029787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7.5718348916136144E-2</v>
      </c>
      <c r="AW166" s="23">
        <f>EXP(-LN(2)/2)*AW165+(1-EXP(-LN(2)/2))/(LN(2)/2)*AQ166*AT166*VLOOKUP('Données projet'!$B$10,Paramètres!$A$1:$I$89,3,0)*0.475*44/12</f>
        <v>1.3477671637297443E-19</v>
      </c>
      <c r="AX166" s="23">
        <f t="shared" si="166"/>
        <v>7.5718348916136144E-2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68.02447114270602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-9.9316821433603781E-14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373.50005214669716</v>
      </c>
      <c r="BJ166" s="62">
        <f t="shared" si="146"/>
        <v>383.60460086643036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0.39663663521407483</v>
      </c>
      <c r="BR166" s="23">
        <f>EXP(-LN(2)/2)*BR165+(1-EXP(-LN(2)/2))/(LN(2)/2)*BL166*BO166*VLOOKUP('Données projet'!$B$11,Paramètres!$A$1:$I$89,3,0)*0.475*44/12</f>
        <v>1.4273787422721995E-19</v>
      </c>
      <c r="BS166" s="24">
        <f t="shared" si="169"/>
        <v>0.39663663521407483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68.02447114270602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210.13237351083279</v>
      </c>
      <c r="CE166" s="62">
        <f t="shared" si="148"/>
        <v>423.06475179432277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7.0933813761643822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2.5489560222398717E-18</v>
      </c>
      <c r="CN166" s="24">
        <f t="shared" si="172"/>
        <v>7.0933813761643822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68.02447114270602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493.89660144134291</v>
      </c>
      <c r="CZ166" s="62">
        <f t="shared" si="150"/>
        <v>312.97494624463229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0.22856628042405311</v>
      </c>
      <c r="DH166" s="23">
        <f>EXP(-LN(2)/2)*DH165+(1-EXP(-LN(2)/2))/(LN(2)/2)*DB166*DE166*VLOOKUP('Données projet'!$B$13,Paramètres!$A$1:$I$89,3,0)*0.475*44/12</f>
        <v>1.4288162066708094E-19</v>
      </c>
      <c r="DI166" s="24">
        <f t="shared" si="175"/>
        <v>0.22856628042405311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68.02447114270602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>
        <f>DO166*VLOOKUP('Données projet'!$B$14,Paramètres!$A$1:$I$89,3,0)*VLOOKUP('Données projet'!$B$14,Paramètres!$A$1:$I$89,5,0)</f>
        <v>0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210.13237351083279</v>
      </c>
      <c r="DU166" s="62">
        <f t="shared" si="152"/>
        <v>423.06475179432277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7.0933813761643822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2.5489560222398717E-18</v>
      </c>
      <c r="ED166" s="24">
        <f t="shared" si="178"/>
        <v>7.0933813761643822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68.02447114270602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68.02447114270602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68.02447114270602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68.02447114270602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4.5049999999999999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16.518333333333334</v>
      </c>
      <c r="H167" s="70">
        <f t="shared" si="110"/>
        <v>147.64566666666667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68.058742151759205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5.3205440053716299E-14</v>
      </c>
      <c r="P167" s="14">
        <f t="shared" si="141"/>
        <v>8.602146238565607E-13</v>
      </c>
      <c r="Q167" s="22">
        <f t="shared" si="162"/>
        <v>1.590873277977066E-12</v>
      </c>
      <c r="R167" s="62">
        <f t="shared" si="109"/>
        <v>286.21538788978535</v>
      </c>
      <c r="S167" s="62">
        <f ca="1">AVERAGE(OFFSET($R$3,0,0,'Données projet'!$E$9+1,1))-AVERAGE(OFFSET($H$3,0,0,'Données projet'!$E$9+1,1))</f>
        <v>374.81775021423215</v>
      </c>
      <c r="T167" s="62">
        <f t="shared" si="142"/>
        <v>301.81248585467142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68.058742151759205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1.1527845344971866E-13</v>
      </c>
      <c r="AK167" s="14">
        <f t="shared" si="164"/>
        <v>1.7033846239409443E-12</v>
      </c>
      <c r="AL167" s="22">
        <f t="shared" si="165"/>
        <v>3.1675048597887374E-12</v>
      </c>
      <c r="AM167" s="62">
        <f t="shared" si="113"/>
        <v>286.21538788978694</v>
      </c>
      <c r="AN167" s="62">
        <f ca="1">AVERAGE(OFFSET($AM$3,0,0,'Données projet'!$E$10+1,1))-AVERAGE(OFFSET($H$3,0,0,'Données projet'!$E$10+1,1))</f>
        <v>468.39960552661171</v>
      </c>
      <c r="AO167" s="62">
        <f t="shared" si="144"/>
        <v>291.1952427029787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7.3647826683169493E-2</v>
      </c>
      <c r="AW167" s="23">
        <f>EXP(-LN(2)/2)*AW166+(1-EXP(-LN(2)/2))/(LN(2)/2)*AQ167*AT167*VLOOKUP('Données projet'!$B$10,Paramètres!$A$1:$I$89,3,0)*0.475*44/12</f>
        <v>9.5301530093386211E-20</v>
      </c>
      <c r="AX167" s="23">
        <f t="shared" si="166"/>
        <v>7.3647826683169493E-2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68.058742151759205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-9.9316821433603781E-14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373.50005214669716</v>
      </c>
      <c r="BJ167" s="62">
        <f t="shared" si="146"/>
        <v>383.60460086643036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0.38579058556593182</v>
      </c>
      <c r="BR167" s="23">
        <f>EXP(-LN(2)/2)*BR166+(1-EXP(-LN(2)/2))/(LN(2)/2)*BL167*BO167*VLOOKUP('Données projet'!$B$11,Paramètres!$A$1:$I$89,3,0)*0.475*44/12</f>
        <v>1.0093091879821976E-19</v>
      </c>
      <c r="BS167" s="24">
        <f t="shared" si="169"/>
        <v>0.38579058556593182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68.058742151759205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210.13237351083279</v>
      </c>
      <c r="CE167" s="62">
        <f t="shared" si="148"/>
        <v>423.06475179432277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6.954284493913228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1.8023840882721015E-18</v>
      </c>
      <c r="CN167" s="24">
        <f t="shared" si="172"/>
        <v>6.954284493913228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68.058742151759205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493.89660144134291</v>
      </c>
      <c r="CZ167" s="62">
        <f t="shared" si="150"/>
        <v>312.97494624463229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0.2223161234660791</v>
      </c>
      <c r="DH167" s="23">
        <f>EXP(-LN(2)/2)*DH166+(1-EXP(-LN(2)/2))/(LN(2)/2)*DB167*DE167*VLOOKUP('Données projet'!$B$13,Paramètres!$A$1:$I$89,3,0)*0.475*44/12</f>
        <v>1.0103256288061689E-19</v>
      </c>
      <c r="DI167" s="24">
        <f t="shared" si="175"/>
        <v>0.2223161234660791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68.058742151759205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>
        <f>DO167*VLOOKUP('Données projet'!$B$14,Paramètres!$A$1:$I$89,3,0)*VLOOKUP('Données projet'!$B$14,Paramètres!$A$1:$I$89,5,0)</f>
        <v>0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210.13237351083279</v>
      </c>
      <c r="DU167" s="62">
        <f t="shared" si="152"/>
        <v>423.06475179432277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6.954284493913228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1.8023840882721015E-18</v>
      </c>
      <c r="ED167" s="24">
        <f t="shared" si="178"/>
        <v>6.954284493913228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68.058742151759205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68.058742151759205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68.058742151759205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68.058742151759205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4.5049999999999999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16.518333333333334</v>
      </c>
      <c r="H168" s="70">
        <f t="shared" si="110"/>
        <v>147.64566666666667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68.092418635423812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5.3205440053716299E-14</v>
      </c>
      <c r="P168" s="14">
        <f t="shared" si="141"/>
        <v>8.602146238565607E-13</v>
      </c>
      <c r="Q168" s="22">
        <f t="shared" si="162"/>
        <v>1.590873277977066E-12</v>
      </c>
      <c r="R168" s="62">
        <f t="shared" si="109"/>
        <v>286.3388683298889</v>
      </c>
      <c r="S168" s="62">
        <f ca="1">AVERAGE(OFFSET($R$3,0,0,'Données projet'!$E$9+1,1))-AVERAGE(OFFSET($H$3,0,0,'Données projet'!$E$9+1,1))</f>
        <v>374.81775021423215</v>
      </c>
      <c r="T168" s="62">
        <f t="shared" si="142"/>
        <v>301.81248585467142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68.092418635423812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1.1527845344971866E-13</v>
      </c>
      <c r="AK168" s="14">
        <f t="shared" si="164"/>
        <v>1.7033846239409443E-12</v>
      </c>
      <c r="AL168" s="22">
        <f t="shared" si="165"/>
        <v>3.1675048597887374E-12</v>
      </c>
      <c r="AM168" s="62">
        <f t="shared" si="113"/>
        <v>286.33886832989049</v>
      </c>
      <c r="AN168" s="62">
        <f ca="1">AVERAGE(OFFSET($AM$3,0,0,'Données projet'!$E$10+1,1))-AVERAGE(OFFSET($H$3,0,0,'Données projet'!$E$10+1,1))</f>
        <v>468.39960552661171</v>
      </c>
      <c r="AO168" s="62">
        <f t="shared" si="144"/>
        <v>291.1952427029787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7.1633922989547336E-2</v>
      </c>
      <c r="AW168" s="23">
        <f>EXP(-LN(2)/2)*AW167+(1-EXP(-LN(2)/2))/(LN(2)/2)*AQ168*AT168*VLOOKUP('Données projet'!$B$10,Paramètres!$A$1:$I$89,3,0)*0.475*44/12</f>
        <v>6.7388358186487217E-20</v>
      </c>
      <c r="AX168" s="23">
        <f t="shared" si="166"/>
        <v>7.1633922989547336E-2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68.092418635423812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-9.9316821433603781E-14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373.50005214669716</v>
      </c>
      <c r="BJ168" s="62">
        <f t="shared" si="146"/>
        <v>383.60460086643036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0.37524112171578627</v>
      </c>
      <c r="BR168" s="23">
        <f>EXP(-LN(2)/2)*BR167+(1-EXP(-LN(2)/2))/(LN(2)/2)*BL168*BO168*VLOOKUP('Données projet'!$B$11,Paramètres!$A$1:$I$89,3,0)*0.475*44/12</f>
        <v>7.1368937113609977E-20</v>
      </c>
      <c r="BS168" s="24">
        <f t="shared" si="169"/>
        <v>0.37524112171578627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68.092418635423812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210.13237351083279</v>
      </c>
      <c r="CE168" s="62">
        <f t="shared" si="148"/>
        <v>423.06475179432277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6.8179152166822981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1.2744780111199358E-18</v>
      </c>
      <c r="CN168" s="24">
        <f t="shared" si="172"/>
        <v>6.8179152166822981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68.092418635423812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493.89660144134291</v>
      </c>
      <c r="CZ168" s="62">
        <f t="shared" si="150"/>
        <v>312.97494624463229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0.21623687737880234</v>
      </c>
      <c r="DH168" s="23">
        <f>EXP(-LN(2)/2)*DH167+(1-EXP(-LN(2)/2))/(LN(2)/2)*DB168*DE168*VLOOKUP('Données projet'!$B$13,Paramètres!$A$1:$I$89,3,0)*0.475*44/12</f>
        <v>7.1440810333540468E-20</v>
      </c>
      <c r="DI168" s="24">
        <f t="shared" si="175"/>
        <v>0.21623687737880234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68.092418635423812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>
        <f>DO168*VLOOKUP('Données projet'!$B$14,Paramètres!$A$1:$I$89,3,0)*VLOOKUP('Données projet'!$B$14,Paramètres!$A$1:$I$89,5,0)</f>
        <v>0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210.13237351083279</v>
      </c>
      <c r="DU168" s="62">
        <f t="shared" si="152"/>
        <v>423.06475179432277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6.8179152166822981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1.2744780111199358E-18</v>
      </c>
      <c r="ED168" s="24">
        <f t="shared" si="178"/>
        <v>6.8179152166822981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68.092418635423812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68.092418635423812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68.092418635423812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68.092418635423812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4.5049999999999999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16.518333333333334</v>
      </c>
      <c r="H169" s="70">
        <f t="shared" si="110"/>
        <v>147.64566666666667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68.125510907386186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5.3205440053716299E-14</v>
      </c>
      <c r="P169" s="14">
        <f t="shared" si="141"/>
        <v>8.602146238565607E-13</v>
      </c>
      <c r="Q169" s="22">
        <f t="shared" si="162"/>
        <v>1.590873277977066E-12</v>
      </c>
      <c r="R169" s="62">
        <f t="shared" si="109"/>
        <v>286.46020666041761</v>
      </c>
      <c r="S169" s="62">
        <f ca="1">AVERAGE(OFFSET($R$3,0,0,'Données projet'!$E$9+1,1))-AVERAGE(OFFSET($H$3,0,0,'Données projet'!$E$9+1,1))</f>
        <v>374.81775021423215</v>
      </c>
      <c r="T169" s="62">
        <f t="shared" si="142"/>
        <v>301.81248585467142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68.125510907386186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1.1527845344971866E-13</v>
      </c>
      <c r="AK169" s="14">
        <f t="shared" si="164"/>
        <v>1.7033846239409443E-12</v>
      </c>
      <c r="AL169" s="22">
        <f t="shared" si="165"/>
        <v>3.1675048597887374E-12</v>
      </c>
      <c r="AM169" s="62">
        <f t="shared" si="113"/>
        <v>286.4602066604192</v>
      </c>
      <c r="AN169" s="62">
        <f ca="1">AVERAGE(OFFSET($AM$3,0,0,'Données projet'!$E$10+1,1))-AVERAGE(OFFSET($H$3,0,0,'Données projet'!$E$10+1,1))</f>
        <v>468.39960552661171</v>
      </c>
      <c r="AO169" s="62">
        <f t="shared" si="144"/>
        <v>291.1952427029787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6.9675089598333878E-2</v>
      </c>
      <c r="AW169" s="23">
        <f>EXP(-LN(2)/2)*AW168+(1-EXP(-LN(2)/2))/(LN(2)/2)*AQ169*AT169*VLOOKUP('Données projet'!$B$10,Paramètres!$A$1:$I$89,3,0)*0.475*44/12</f>
        <v>4.7650765046693106E-20</v>
      </c>
      <c r="AX169" s="23">
        <f t="shared" si="166"/>
        <v>6.9675089598333878E-2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68.125510907386186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-9.9316821433603781E-14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373.50005214669716</v>
      </c>
      <c r="BJ169" s="62">
        <f t="shared" si="146"/>
        <v>383.60460086643036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0.36498013350939512</v>
      </c>
      <c r="BR169" s="23">
        <f>EXP(-LN(2)/2)*BR168+(1-EXP(-LN(2)/2))/(LN(2)/2)*BL169*BO169*VLOOKUP('Données projet'!$B$11,Paramètres!$A$1:$I$89,3,0)*0.475*44/12</f>
        <v>5.0465459399109881E-20</v>
      </c>
      <c r="BS169" s="24">
        <f t="shared" si="169"/>
        <v>0.36498013350939512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68.125510907386186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210.13237351083279</v>
      </c>
      <c r="CE169" s="62">
        <f t="shared" si="148"/>
        <v>423.06475179432277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6.6842200578008208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9.0119204413605074E-19</v>
      </c>
      <c r="CN169" s="24">
        <f t="shared" si="172"/>
        <v>6.6842200578008208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68.125510907386186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493.89660144134291</v>
      </c>
      <c r="CZ169" s="62">
        <f t="shared" si="150"/>
        <v>312.97494624463229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0.21032386859547583</v>
      </c>
      <c r="DH169" s="23">
        <f>EXP(-LN(2)/2)*DH168+(1-EXP(-LN(2)/2))/(LN(2)/2)*DB169*DE169*VLOOKUP('Données projet'!$B$13,Paramètres!$A$1:$I$89,3,0)*0.475*44/12</f>
        <v>5.0516281440308444E-20</v>
      </c>
      <c r="DI169" s="24">
        <f t="shared" si="175"/>
        <v>0.21032386859547583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68.125510907386186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>
        <f>DO169*VLOOKUP('Données projet'!$B$14,Paramètres!$A$1:$I$89,3,0)*VLOOKUP('Données projet'!$B$14,Paramètres!$A$1:$I$89,5,0)</f>
        <v>0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210.13237351083279</v>
      </c>
      <c r="DU169" s="62">
        <f t="shared" si="152"/>
        <v>423.06475179432277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6.6842200578008208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9.0119204413605074E-19</v>
      </c>
      <c r="ED169" s="24">
        <f t="shared" si="178"/>
        <v>6.6842200578008208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68.125510907386186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68.125510907386186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68.125510907386186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68.125510907386186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4.5049999999999999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16.518333333333334</v>
      </c>
      <c r="H170" s="70">
        <f t="shared" si="110"/>
        <v>147.64566666666667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68.158029102413238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5.3205440053716299E-14</v>
      </c>
      <c r="P170" s="14">
        <f t="shared" si="141"/>
        <v>8.602146238565607E-13</v>
      </c>
      <c r="Q170" s="22">
        <f t="shared" si="162"/>
        <v>1.590873277977066E-12</v>
      </c>
      <c r="R170" s="62">
        <f t="shared" si="109"/>
        <v>286.57944004218348</v>
      </c>
      <c r="S170" s="62">
        <f ca="1">AVERAGE(OFFSET($R$3,0,0,'Données projet'!$E$9+1,1))-AVERAGE(OFFSET($H$3,0,0,'Données projet'!$E$9+1,1))</f>
        <v>374.81775021423215</v>
      </c>
      <c r="T170" s="62">
        <f t="shared" si="142"/>
        <v>301.81248585467142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68.158029102413238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1.1527845344971866E-13</v>
      </c>
      <c r="AK170" s="14">
        <f t="shared" si="164"/>
        <v>1.7033846239409443E-12</v>
      </c>
      <c r="AL170" s="22">
        <f t="shared" si="165"/>
        <v>3.1675048597887374E-12</v>
      </c>
      <c r="AM170" s="62">
        <f t="shared" si="113"/>
        <v>286.57944004218507</v>
      </c>
      <c r="AN170" s="62">
        <f ca="1">AVERAGE(OFFSET($AM$3,0,0,'Données projet'!$E$10+1,1))-AVERAGE(OFFSET($H$3,0,0,'Données projet'!$E$10+1,1))</f>
        <v>468.39960552661171</v>
      </c>
      <c r="AO170" s="62">
        <f t="shared" si="144"/>
        <v>291.1952427029787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6.7769820609213716E-2</v>
      </c>
      <c r="AW170" s="23">
        <f>EXP(-LN(2)/2)*AW169+(1-EXP(-LN(2)/2))/(LN(2)/2)*AQ170*AT170*VLOOKUP('Données projet'!$B$10,Paramètres!$A$1:$I$89,3,0)*0.475*44/12</f>
        <v>3.3694179093243609E-20</v>
      </c>
      <c r="AX170" s="23">
        <f t="shared" si="166"/>
        <v>6.7769820609213716E-2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68.158029102413238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-9.9316821433603781E-14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373.50005214669716</v>
      </c>
      <c r="BJ170" s="62">
        <f t="shared" si="146"/>
        <v>383.60460086643036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0.35499973256510964</v>
      </c>
      <c r="BR170" s="23">
        <f>EXP(-LN(2)/2)*BR169+(1-EXP(-LN(2)/2))/(LN(2)/2)*BL170*BO170*VLOOKUP('Données projet'!$B$11,Paramètres!$A$1:$I$89,3,0)*0.475*44/12</f>
        <v>3.5684468556804988E-20</v>
      </c>
      <c r="BS170" s="24">
        <f t="shared" si="169"/>
        <v>0.35499973256510964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68.158029102413238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210.13237351083279</v>
      </c>
      <c r="CE170" s="62">
        <f t="shared" si="148"/>
        <v>423.06475179432277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6.5531465794390149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6.3723900555996792E-19</v>
      </c>
      <c r="CN170" s="24">
        <f t="shared" si="172"/>
        <v>6.5531465794390149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68.158029102413238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493.89660144134291</v>
      </c>
      <c r="CZ170" s="62">
        <f t="shared" si="150"/>
        <v>312.97494624463229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0.20457255134828101</v>
      </c>
      <c r="DH170" s="23">
        <f>EXP(-LN(2)/2)*DH169+(1-EXP(-LN(2)/2))/(LN(2)/2)*DB170*DE170*VLOOKUP('Données projet'!$B$13,Paramètres!$A$1:$I$89,3,0)*0.475*44/12</f>
        <v>3.5720405166770234E-20</v>
      </c>
      <c r="DI170" s="24">
        <f t="shared" si="175"/>
        <v>0.20457255134828101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68.158029102413238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>
        <f>DO170*VLOOKUP('Données projet'!$B$14,Paramètres!$A$1:$I$89,3,0)*VLOOKUP('Données projet'!$B$14,Paramètres!$A$1:$I$89,5,0)</f>
        <v>0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210.13237351083279</v>
      </c>
      <c r="DU170" s="62">
        <f t="shared" si="152"/>
        <v>423.06475179432277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6.5531465794390149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6.3723900555996792E-19</v>
      </c>
      <c r="ED170" s="24">
        <f t="shared" si="178"/>
        <v>6.5531465794390149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68.158029102413238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68.158029102413238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68.158029102413238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68.158029102413238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4.5049999999999999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16.518333333333334</v>
      </c>
      <c r="H171" s="70">
        <f t="shared" si="110"/>
        <v>147.64566666666667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68.189983179456362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5.3205440053716299E-14</v>
      </c>
      <c r="P171" s="14">
        <f t="shared" si="141"/>
        <v>8.602146238565607E-13</v>
      </c>
      <c r="Q171" s="22">
        <f t="shared" si="162"/>
        <v>1.590873277977066E-12</v>
      </c>
      <c r="R171" s="62">
        <f t="shared" si="109"/>
        <v>286.69660499134159</v>
      </c>
      <c r="S171" s="62">
        <f ca="1">AVERAGE(OFFSET($R$3,0,0,'Données projet'!$E$9+1,1))-AVERAGE(OFFSET($H$3,0,0,'Données projet'!$E$9+1,1))</f>
        <v>374.81775021423215</v>
      </c>
      <c r="T171" s="62">
        <f t="shared" si="142"/>
        <v>301.81248585467142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68.189983179456362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1.1527845344971866E-13</v>
      </c>
      <c r="AK171" s="14">
        <f t="shared" si="164"/>
        <v>1.7033846239409443E-12</v>
      </c>
      <c r="AL171" s="22">
        <f t="shared" si="165"/>
        <v>3.1675048597887374E-12</v>
      </c>
      <c r="AM171" s="62">
        <f t="shared" si="113"/>
        <v>286.69660499134318</v>
      </c>
      <c r="AN171" s="62">
        <f ca="1">AVERAGE(OFFSET($AM$3,0,0,'Données projet'!$E$10+1,1))-AVERAGE(OFFSET($H$3,0,0,'Données projet'!$E$10+1,1))</f>
        <v>468.39960552661171</v>
      </c>
      <c r="AO171" s="62">
        <f t="shared" si="144"/>
        <v>291.1952427029787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6.5916651300794785E-2</v>
      </c>
      <c r="AW171" s="23">
        <f>EXP(-LN(2)/2)*AW170+(1-EXP(-LN(2)/2))/(LN(2)/2)*AQ171*AT171*VLOOKUP('Données projet'!$B$10,Paramètres!$A$1:$I$89,3,0)*0.475*44/12</f>
        <v>2.3825382523346553E-20</v>
      </c>
      <c r="AX171" s="23">
        <f t="shared" si="166"/>
        <v>6.5916651300794785E-2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68.189983179456362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-9.9316821433603781E-14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373.50005214669716</v>
      </c>
      <c r="BJ171" s="62">
        <f t="shared" si="146"/>
        <v>383.60460086643036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0.34529224620949212</v>
      </c>
      <c r="BR171" s="23">
        <f>EXP(-LN(2)/2)*BR170+(1-EXP(-LN(2)/2))/(LN(2)/2)*BL171*BO171*VLOOKUP('Données projet'!$B$11,Paramètres!$A$1:$I$89,3,0)*0.475*44/12</f>
        <v>2.523272969955494E-20</v>
      </c>
      <c r="BS171" s="24">
        <f t="shared" si="169"/>
        <v>0.34529224620949212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68.189983179456362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210.13237351083279</v>
      </c>
      <c r="CE171" s="62">
        <f t="shared" si="148"/>
        <v>423.06475179432277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6.4246433720409559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4.5059602206802537E-19</v>
      </c>
      <c r="CN171" s="24">
        <f t="shared" si="172"/>
        <v>6.4246433720409559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68.189983179456362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493.89660144134291</v>
      </c>
      <c r="CZ171" s="62">
        <f t="shared" si="150"/>
        <v>312.97494624463229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0.19897850417365934</v>
      </c>
      <c r="DH171" s="23">
        <f>EXP(-LN(2)/2)*DH170+(1-EXP(-LN(2)/2))/(LN(2)/2)*DB171*DE171*VLOOKUP('Données projet'!$B$13,Paramètres!$A$1:$I$89,3,0)*0.475*44/12</f>
        <v>2.5258140720154222E-20</v>
      </c>
      <c r="DI171" s="24">
        <f t="shared" si="175"/>
        <v>0.19897850417365934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68.189983179456362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>
        <f>DO171*VLOOKUP('Données projet'!$B$14,Paramètres!$A$1:$I$89,3,0)*VLOOKUP('Données projet'!$B$14,Paramètres!$A$1:$I$89,5,0)</f>
        <v>0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210.13237351083279</v>
      </c>
      <c r="DU171" s="62">
        <f t="shared" si="152"/>
        <v>423.06475179432277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6.4246433720409559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4.5059602206802537E-19</v>
      </c>
      <c r="ED171" s="24">
        <f t="shared" si="178"/>
        <v>6.4246433720409559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68.189983179456362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68.189983179456362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68.189983179456362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68.189983179456362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4.5049999999999999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16.518333333333334</v>
      </c>
      <c r="H172" s="70">
        <f t="shared" si="110"/>
        <v>147.64566666666667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68.221382924701416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5.3205440053716299E-14</v>
      </c>
      <c r="P172" s="14">
        <f t="shared" si="141"/>
        <v>8.602146238565607E-13</v>
      </c>
      <c r="Q172" s="22">
        <f t="shared" si="162"/>
        <v>1.590873277977066E-12</v>
      </c>
      <c r="R172" s="62">
        <f t="shared" si="109"/>
        <v>286.81173739057346</v>
      </c>
      <c r="S172" s="62">
        <f ca="1">AVERAGE(OFFSET($R$3,0,0,'Données projet'!$E$9+1,1))-AVERAGE(OFFSET($H$3,0,0,'Données projet'!$E$9+1,1))</f>
        <v>374.81775021423215</v>
      </c>
      <c r="T172" s="62">
        <f t="shared" si="142"/>
        <v>301.81248585467142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68.221382924701416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1.1527845344971866E-13</v>
      </c>
      <c r="AK172" s="14">
        <f t="shared" si="164"/>
        <v>1.7033846239409443E-12</v>
      </c>
      <c r="AL172" s="22">
        <f t="shared" si="165"/>
        <v>3.1675048597887374E-12</v>
      </c>
      <c r="AM172" s="62">
        <f t="shared" si="113"/>
        <v>286.81173739057505</v>
      </c>
      <c r="AN172" s="62">
        <f ca="1">AVERAGE(OFFSET($AM$3,0,0,'Données projet'!$E$10+1,1))-AVERAGE(OFFSET($H$3,0,0,'Données projet'!$E$10+1,1))</f>
        <v>468.39960552661171</v>
      </c>
      <c r="AO172" s="62">
        <f t="shared" si="144"/>
        <v>291.1952427029787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6.4114157004568517E-2</v>
      </c>
      <c r="AW172" s="23">
        <f>EXP(-LN(2)/2)*AW171+(1-EXP(-LN(2)/2))/(LN(2)/2)*AQ172*AT172*VLOOKUP('Données projet'!$B$10,Paramètres!$A$1:$I$89,3,0)*0.475*44/12</f>
        <v>1.6847089546621804E-20</v>
      </c>
      <c r="AX172" s="23">
        <f t="shared" si="166"/>
        <v>6.4114157004568517E-2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68.221382924701416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-9.9316821433603781E-14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373.50005214669716</v>
      </c>
      <c r="BJ172" s="62">
        <f t="shared" si="146"/>
        <v>383.60460086643036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0.33585021157876349</v>
      </c>
      <c r="BR172" s="23">
        <f>EXP(-LN(2)/2)*BR171+(1-EXP(-LN(2)/2))/(LN(2)/2)*BL172*BO172*VLOOKUP('Données projet'!$B$11,Paramètres!$A$1:$I$89,3,0)*0.475*44/12</f>
        <v>1.7842234278402494E-20</v>
      </c>
      <c r="BS172" s="24">
        <f t="shared" si="169"/>
        <v>0.33585021157876349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68.221382924701416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210.13237351083279</v>
      </c>
      <c r="CE172" s="62">
        <f t="shared" si="148"/>
        <v>423.06475179432277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6.2986600341607559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3.1861950277998396E-19</v>
      </c>
      <c r="CN172" s="24">
        <f t="shared" si="172"/>
        <v>6.2986600341607559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68.221382924701416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493.89660144134291</v>
      </c>
      <c r="CZ172" s="62">
        <f t="shared" si="150"/>
        <v>312.97494624463229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0.19353742651320585</v>
      </c>
      <c r="DH172" s="23">
        <f>EXP(-LN(2)/2)*DH171+(1-EXP(-LN(2)/2))/(LN(2)/2)*DB172*DE172*VLOOKUP('Données projet'!$B$13,Paramètres!$A$1:$I$89,3,0)*0.475*44/12</f>
        <v>1.7860202583385117E-20</v>
      </c>
      <c r="DI172" s="24">
        <f t="shared" si="175"/>
        <v>0.19353742651320585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68.221382924701416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>
        <f>DO172*VLOOKUP('Données projet'!$B$14,Paramètres!$A$1:$I$89,3,0)*VLOOKUP('Données projet'!$B$14,Paramètres!$A$1:$I$89,5,0)</f>
        <v>0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210.13237351083279</v>
      </c>
      <c r="DU172" s="62">
        <f t="shared" si="152"/>
        <v>423.06475179432277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6.2986600341607559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3.1861950277998396E-19</v>
      </c>
      <c r="ED172" s="24">
        <f t="shared" si="178"/>
        <v>6.2986600341607559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68.221382924701416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68.221382924701416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68.221382924701416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68.221382924701416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4.5049999999999999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16.518333333333334</v>
      </c>
      <c r="H173" s="70">
        <f t="shared" si="110"/>
        <v>147.64566666666667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68.252237954565771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5.3205440053716299E-14</v>
      </c>
      <c r="P173" s="14">
        <f t="shared" si="141"/>
        <v>8.602146238565607E-13</v>
      </c>
      <c r="Q173" s="22">
        <f t="shared" si="162"/>
        <v>1.590873277977066E-12</v>
      </c>
      <c r="R173" s="62">
        <f t="shared" si="109"/>
        <v>286.92487250007611</v>
      </c>
      <c r="S173" s="62">
        <f ca="1">AVERAGE(OFFSET($R$3,0,0,'Données projet'!$E$9+1,1))-AVERAGE(OFFSET($H$3,0,0,'Données projet'!$E$9+1,1))</f>
        <v>374.81775021423215</v>
      </c>
      <c r="T173" s="62">
        <f t="shared" si="142"/>
        <v>301.81248585467142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68.252237954565771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1.1527845344971866E-13</v>
      </c>
      <c r="AK173" s="14">
        <f t="shared" si="164"/>
        <v>1.7033846239409443E-12</v>
      </c>
      <c r="AL173" s="22">
        <f t="shared" si="165"/>
        <v>3.1675048597887374E-12</v>
      </c>
      <c r="AM173" s="62">
        <f t="shared" si="113"/>
        <v>286.9248725000777</v>
      </c>
      <c r="AN173" s="62">
        <f ca="1">AVERAGE(OFFSET($AM$3,0,0,'Données projet'!$E$10+1,1))-AVERAGE(OFFSET($H$3,0,0,'Données projet'!$E$10+1,1))</f>
        <v>468.39960552661171</v>
      </c>
      <c r="AO173" s="62">
        <f t="shared" si="144"/>
        <v>291.1952427029787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6.2360952009661609E-2</v>
      </c>
      <c r="AW173" s="23">
        <f>EXP(-LN(2)/2)*AW172+(1-EXP(-LN(2)/2))/(LN(2)/2)*AQ173*AT173*VLOOKUP('Données projet'!$B$10,Paramètres!$A$1:$I$89,3,0)*0.475*44/12</f>
        <v>1.1912691261673276E-20</v>
      </c>
      <c r="AX173" s="23">
        <f t="shared" si="166"/>
        <v>6.2360952009661609E-2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68.252237954565771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-9.9316821433603781E-14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373.50005214669716</v>
      </c>
      <c r="BJ173" s="62">
        <f t="shared" si="146"/>
        <v>383.60460086643036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0.32666636988154718</v>
      </c>
      <c r="BR173" s="23">
        <f>EXP(-LN(2)/2)*BR172+(1-EXP(-LN(2)/2))/(LN(2)/2)*BL173*BO173*VLOOKUP('Données projet'!$B$11,Paramètres!$A$1:$I$89,3,0)*0.475*44/12</f>
        <v>1.261636484977747E-20</v>
      </c>
      <c r="BS173" s="24">
        <f t="shared" si="169"/>
        <v>0.32666636988154718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68.252237954565771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210.13237351083279</v>
      </c>
      <c r="CE173" s="62">
        <f t="shared" si="148"/>
        <v>423.06475179432277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6.1751471526941382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2.2529801103401269E-19</v>
      </c>
      <c r="CN173" s="24">
        <f t="shared" si="172"/>
        <v>6.1751471526941382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68.252237954565771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493.89660144134291</v>
      </c>
      <c r="CZ173" s="62">
        <f t="shared" si="150"/>
        <v>312.97494624463229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0.18824513540751131</v>
      </c>
      <c r="DH173" s="23">
        <f>EXP(-LN(2)/2)*DH172+(1-EXP(-LN(2)/2))/(LN(2)/2)*DB173*DE173*VLOOKUP('Données projet'!$B$13,Paramètres!$A$1:$I$89,3,0)*0.475*44/12</f>
        <v>1.2629070360077111E-20</v>
      </c>
      <c r="DI173" s="24">
        <f t="shared" si="175"/>
        <v>0.18824513540751131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68.252237954565771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>
        <f>DO173*VLOOKUP('Données projet'!$B$14,Paramètres!$A$1:$I$89,3,0)*VLOOKUP('Données projet'!$B$14,Paramètres!$A$1:$I$89,5,0)</f>
        <v>0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210.13237351083279</v>
      </c>
      <c r="DU173" s="62">
        <f t="shared" si="152"/>
        <v>423.06475179432277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6.1751471526941382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2.2529801103401269E-19</v>
      </c>
      <c r="ED173" s="24">
        <f t="shared" si="178"/>
        <v>6.1751471526941382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68.252237954565771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68.252237954565771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68.252237954565771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68.252237954565771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4.5049999999999999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16.518333333333334</v>
      </c>
      <c r="H174" s="70">
        <f t="shared" si="110"/>
        <v>147.64566666666667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68.282557718643488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5.3205440053716299E-14</v>
      </c>
      <c r="P174" s="14">
        <f t="shared" si="141"/>
        <v>8.602146238565607E-13</v>
      </c>
      <c r="Q174" s="22">
        <f t="shared" si="162"/>
        <v>1.590873277977066E-12</v>
      </c>
      <c r="R174" s="62">
        <f t="shared" si="109"/>
        <v>287.03604496836107</v>
      </c>
      <c r="S174" s="62">
        <f ca="1">AVERAGE(OFFSET($R$3,0,0,'Données projet'!$E$9+1,1))-AVERAGE(OFFSET($H$3,0,0,'Données projet'!$E$9+1,1))</f>
        <v>374.81775021423215</v>
      </c>
      <c r="T174" s="62">
        <f t="shared" si="142"/>
        <v>301.81248585467142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68.282557718643488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1.1527845344971866E-13</v>
      </c>
      <c r="AK174" s="14">
        <f t="shared" si="164"/>
        <v>1.7033846239409443E-12</v>
      </c>
      <c r="AL174" s="22">
        <f t="shared" si="165"/>
        <v>3.1675048597887374E-12</v>
      </c>
      <c r="AM174" s="62">
        <f t="shared" si="113"/>
        <v>287.03604496836266</v>
      </c>
      <c r="AN174" s="62">
        <f ca="1">AVERAGE(OFFSET($AM$3,0,0,'Données projet'!$E$10+1,1))-AVERAGE(OFFSET($H$3,0,0,'Données projet'!$E$10+1,1))</f>
        <v>468.39960552661171</v>
      </c>
      <c r="AO174" s="62">
        <f t="shared" si="144"/>
        <v>291.1952427029787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6.0655688497537476E-2</v>
      </c>
      <c r="AW174" s="23">
        <f>EXP(-LN(2)/2)*AW173+(1-EXP(-LN(2)/2))/(LN(2)/2)*AQ174*AT174*VLOOKUP('Données projet'!$B$10,Paramètres!$A$1:$I$89,3,0)*0.475*44/12</f>
        <v>8.4235447733109022E-21</v>
      </c>
      <c r="AX174" s="23">
        <f t="shared" si="166"/>
        <v>6.0655688497537476E-2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68.282557718643488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-9.9316821433603781E-14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373.50005214669716</v>
      </c>
      <c r="BJ174" s="62">
        <f t="shared" si="146"/>
        <v>383.60460086643036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0.31773366081849846</v>
      </c>
      <c r="BR174" s="23">
        <f>EXP(-LN(2)/2)*BR173+(1-EXP(-LN(2)/2))/(LN(2)/2)*BL174*BO174*VLOOKUP('Données projet'!$B$11,Paramètres!$A$1:$I$89,3,0)*0.475*44/12</f>
        <v>8.9211171392012471E-21</v>
      </c>
      <c r="BS174" s="24">
        <f t="shared" si="169"/>
        <v>0.31773366081849846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68.282557718643488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210.13237351083279</v>
      </c>
      <c r="CE174" s="62">
        <f t="shared" si="148"/>
        <v>423.06475179432277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6.054056283497661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1.5930975138999198E-19</v>
      </c>
      <c r="CN174" s="24">
        <f t="shared" si="172"/>
        <v>6.054056283497661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68.282557718643488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493.89660144134291</v>
      </c>
      <c r="CZ174" s="62">
        <f t="shared" si="150"/>
        <v>312.97494624463229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0.18309756228041149</v>
      </c>
      <c r="DH174" s="23">
        <f>EXP(-LN(2)/2)*DH173+(1-EXP(-LN(2)/2))/(LN(2)/2)*DB174*DE174*VLOOKUP('Données projet'!$B$13,Paramètres!$A$1:$I$89,3,0)*0.475*44/12</f>
        <v>8.9301012916925585E-21</v>
      </c>
      <c r="DI174" s="24">
        <f t="shared" si="175"/>
        <v>0.18309756228041149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68.282557718643488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>
        <f>DO174*VLOOKUP('Données projet'!$B$14,Paramètres!$A$1:$I$89,3,0)*VLOOKUP('Données projet'!$B$14,Paramètres!$A$1:$I$89,5,0)</f>
        <v>0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210.13237351083279</v>
      </c>
      <c r="DU174" s="62">
        <f t="shared" si="152"/>
        <v>423.06475179432277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6.054056283497661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1.5930975138999198E-19</v>
      </c>
      <c r="ED174" s="24">
        <f t="shared" si="178"/>
        <v>6.054056283497661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68.282557718643488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68.282557718643488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68.282557718643488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68.282557718643488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4.5049999999999999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16.518333333333334</v>
      </c>
      <c r="H175" s="70">
        <f t="shared" si="110"/>
        <v>147.64566666666667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68.312351502599299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5.3205440053716299E-14</v>
      </c>
      <c r="P175" s="14">
        <f t="shared" si="141"/>
        <v>8.602146238565607E-13</v>
      </c>
      <c r="Q175" s="22">
        <f t="shared" si="162"/>
        <v>1.590873277977066E-12</v>
      </c>
      <c r="R175" s="62">
        <f t="shared" si="109"/>
        <v>287.14528884286568</v>
      </c>
      <c r="S175" s="62">
        <f ca="1">AVERAGE(OFFSET($R$3,0,0,'Données projet'!$E$9+1,1))-AVERAGE(OFFSET($H$3,0,0,'Données projet'!$E$9+1,1))</f>
        <v>374.81775021423215</v>
      </c>
      <c r="T175" s="62">
        <f t="shared" si="142"/>
        <v>301.81248585467142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68.312351502599299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1.1527845344971866E-13</v>
      </c>
      <c r="AK175" s="14">
        <f t="shared" si="164"/>
        <v>1.7033846239409443E-12</v>
      </c>
      <c r="AL175" s="22">
        <f t="shared" si="165"/>
        <v>3.1675048597887374E-12</v>
      </c>
      <c r="AM175" s="62">
        <f t="shared" si="113"/>
        <v>287.14528884286727</v>
      </c>
      <c r="AN175" s="62">
        <f ca="1">AVERAGE(OFFSET($AM$3,0,0,'Données projet'!$E$10+1,1))-AVERAGE(OFFSET($H$3,0,0,'Données projet'!$E$10+1,1))</f>
        <v>468.39960552661171</v>
      </c>
      <c r="AO175" s="62">
        <f t="shared" si="144"/>
        <v>291.1952427029787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5.8997055505828289E-2</v>
      </c>
      <c r="AW175" s="23">
        <f>EXP(-LN(2)/2)*AW174+(1-EXP(-LN(2)/2))/(LN(2)/2)*AQ175*AT175*VLOOKUP('Données projet'!$B$10,Paramètres!$A$1:$I$89,3,0)*0.475*44/12</f>
        <v>5.9563456308366382E-21</v>
      </c>
      <c r="AX175" s="23">
        <f t="shared" si="166"/>
        <v>5.8997055505828289E-2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68.312351502599299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-9.9316821433603781E-14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373.50005214669716</v>
      </c>
      <c r="BJ175" s="62">
        <f t="shared" si="146"/>
        <v>383.60460086643036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0.30904521715452959</v>
      </c>
      <c r="BR175" s="23">
        <f>EXP(-LN(2)/2)*BR174+(1-EXP(-LN(2)/2))/(LN(2)/2)*BL175*BO175*VLOOKUP('Données projet'!$B$11,Paramètres!$A$1:$I$89,3,0)*0.475*44/12</f>
        <v>6.3081824248887351E-21</v>
      </c>
      <c r="BS175" s="24">
        <f t="shared" si="169"/>
        <v>0.30904521715452959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68.312351502599299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210.13237351083279</v>
      </c>
      <c r="CE175" s="62">
        <f t="shared" si="148"/>
        <v>423.06475179432277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5.9353399323879898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1.1264900551700634E-19</v>
      </c>
      <c r="CN175" s="24">
        <f t="shared" si="172"/>
        <v>5.9353399323879898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68.312351502599299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493.89660144134291</v>
      </c>
      <c r="CZ175" s="62">
        <f t="shared" si="150"/>
        <v>312.97494624463229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0.17809074981117132</v>
      </c>
      <c r="DH175" s="23">
        <f>EXP(-LN(2)/2)*DH174+(1-EXP(-LN(2)/2))/(LN(2)/2)*DB175*DE175*VLOOKUP('Données projet'!$B$13,Paramètres!$A$1:$I$89,3,0)*0.475*44/12</f>
        <v>6.3145351800385555E-21</v>
      </c>
      <c r="DI175" s="24">
        <f t="shared" si="175"/>
        <v>0.17809074981117132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68.312351502599299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>
        <f>DO175*VLOOKUP('Données projet'!$B$14,Paramètres!$A$1:$I$89,3,0)*VLOOKUP('Données projet'!$B$14,Paramètres!$A$1:$I$89,5,0)</f>
        <v>0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210.13237351083279</v>
      </c>
      <c r="DU175" s="62">
        <f t="shared" si="152"/>
        <v>423.06475179432277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5.9353399323879898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1.1264900551700634E-19</v>
      </c>
      <c r="ED175" s="24">
        <f t="shared" si="178"/>
        <v>5.9353399323879898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68.312351502599299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68.312351502599299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68.312351502599299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68.312351502599299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4.5049999999999999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16.518333333333334</v>
      </c>
      <c r="H176" s="70">
        <f t="shared" si="110"/>
        <v>147.64566666666667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68.341628431012396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5.3205440053716299E-14</v>
      </c>
      <c r="P176" s="14">
        <f t="shared" si="141"/>
        <v>8.602146238565607E-13</v>
      </c>
      <c r="Q176" s="22">
        <f t="shared" si="162"/>
        <v>1.590873277977066E-12</v>
      </c>
      <c r="R176" s="62">
        <f t="shared" si="109"/>
        <v>287.25263758038039</v>
      </c>
      <c r="S176" s="62">
        <f ca="1">AVERAGE(OFFSET($R$3,0,0,'Données projet'!$E$9+1,1))-AVERAGE(OFFSET($H$3,0,0,'Données projet'!$E$9+1,1))</f>
        <v>374.81775021423215</v>
      </c>
      <c r="T176" s="62">
        <f t="shared" si="142"/>
        <v>301.81248585467142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68.341628431012396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1.1527845344971866E-13</v>
      </c>
      <c r="AK176" s="14">
        <f t="shared" si="164"/>
        <v>1.7033846239409443E-12</v>
      </c>
      <c r="AL176" s="22">
        <f t="shared" si="165"/>
        <v>3.1675048597887374E-12</v>
      </c>
      <c r="AM176" s="62">
        <f t="shared" si="113"/>
        <v>287.25263758038199</v>
      </c>
      <c r="AN176" s="62">
        <f ca="1">AVERAGE(OFFSET($AM$3,0,0,'Données projet'!$E$10+1,1))-AVERAGE(OFFSET($H$3,0,0,'Données projet'!$E$10+1,1))</f>
        <v>468.39960552661171</v>
      </c>
      <c r="AO176" s="62">
        <f t="shared" si="144"/>
        <v>291.1952427029787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5.7383777920501103E-2</v>
      </c>
      <c r="AW176" s="23">
        <f>EXP(-LN(2)/2)*AW175+(1-EXP(-LN(2)/2))/(LN(2)/2)*AQ176*AT176*VLOOKUP('Données projet'!$B$10,Paramètres!$A$1:$I$89,3,0)*0.475*44/12</f>
        <v>4.2117723866554511E-21</v>
      </c>
      <c r="AX176" s="23">
        <f t="shared" si="166"/>
        <v>5.7383777920501103E-2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68.341628431012396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-9.9316821433603781E-14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373.50005214669716</v>
      </c>
      <c r="BJ176" s="62">
        <f t="shared" si="146"/>
        <v>383.60460086643036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0.30059435943945734</v>
      </c>
      <c r="BR176" s="23">
        <f>EXP(-LN(2)/2)*BR175+(1-EXP(-LN(2)/2))/(LN(2)/2)*BL176*BO176*VLOOKUP('Données projet'!$B$11,Paramètres!$A$1:$I$89,3,0)*0.475*44/12</f>
        <v>4.4605585696006235E-21</v>
      </c>
      <c r="BS176" s="24">
        <f t="shared" si="169"/>
        <v>0.30059435943945734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68.341628431012396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210.13237351083279</v>
      </c>
      <c r="CE176" s="62">
        <f t="shared" si="148"/>
        <v>423.06475179432277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5.8189515365137554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7.965487569499599E-20</v>
      </c>
      <c r="CN176" s="24">
        <f t="shared" si="172"/>
        <v>5.8189515365137554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68.341628431012396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493.89660144134291</v>
      </c>
      <c r="CZ176" s="62">
        <f t="shared" si="150"/>
        <v>312.97494624463229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0.17322084889219933</v>
      </c>
      <c r="DH176" s="23">
        <f>EXP(-LN(2)/2)*DH175+(1-EXP(-LN(2)/2))/(LN(2)/2)*DB176*DE176*VLOOKUP('Données projet'!$B$13,Paramètres!$A$1:$I$89,3,0)*0.475*44/12</f>
        <v>4.4650506458462793E-21</v>
      </c>
      <c r="DI176" s="24">
        <f t="shared" si="175"/>
        <v>0.17322084889219933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68.341628431012396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>
        <f>DO176*VLOOKUP('Données projet'!$B$14,Paramètres!$A$1:$I$89,3,0)*VLOOKUP('Données projet'!$B$14,Paramètres!$A$1:$I$89,5,0)</f>
        <v>0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210.13237351083279</v>
      </c>
      <c r="DU176" s="62">
        <f t="shared" si="152"/>
        <v>423.06475179432277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5.8189515365137554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7.965487569499599E-20</v>
      </c>
      <c r="ED176" s="24">
        <f t="shared" si="178"/>
        <v>5.8189515365137554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68.341628431012396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68.341628431012396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68.341628431012396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68.341628431012396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4.5049999999999999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16.518333333333334</v>
      </c>
      <c r="H177" s="70">
        <f t="shared" si="110"/>
        <v>147.64566666666667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68.370397470170943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5.3205440053716299E-14</v>
      </c>
      <c r="P177" s="14">
        <f t="shared" si="141"/>
        <v>8.602146238565607E-13</v>
      </c>
      <c r="Q177" s="22">
        <f t="shared" si="162"/>
        <v>1.590873277977066E-12</v>
      </c>
      <c r="R177" s="62">
        <f t="shared" si="109"/>
        <v>287.35812405729502</v>
      </c>
      <c r="S177" s="62">
        <f ca="1">AVERAGE(OFFSET($R$3,0,0,'Données projet'!$E$9+1,1))-AVERAGE(OFFSET($H$3,0,0,'Données projet'!$E$9+1,1))</f>
        <v>374.81775021423215</v>
      </c>
      <c r="T177" s="62">
        <f t="shared" si="142"/>
        <v>301.81248585467142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68.370397470170943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1.1527845344971866E-13</v>
      </c>
      <c r="AK177" s="14">
        <f t="shared" si="164"/>
        <v>1.7033846239409443E-12</v>
      </c>
      <c r="AL177" s="22">
        <f t="shared" si="165"/>
        <v>3.1675048597887374E-12</v>
      </c>
      <c r="AM177" s="62">
        <f t="shared" si="113"/>
        <v>287.35812405729661</v>
      </c>
      <c r="AN177" s="62">
        <f ca="1">AVERAGE(OFFSET($AM$3,0,0,'Données projet'!$E$10+1,1))-AVERAGE(OFFSET($H$3,0,0,'Données projet'!$E$10+1,1))</f>
        <v>468.39960552661171</v>
      </c>
      <c r="AO177" s="62">
        <f t="shared" si="144"/>
        <v>291.1952427029787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5.5814615495583274E-2</v>
      </c>
      <c r="AW177" s="23">
        <f>EXP(-LN(2)/2)*AW176+(1-EXP(-LN(2)/2))/(LN(2)/2)*AQ177*AT177*VLOOKUP('Données projet'!$B$10,Paramètres!$A$1:$I$89,3,0)*0.475*44/12</f>
        <v>2.9781728154183191E-21</v>
      </c>
      <c r="AX177" s="23">
        <f t="shared" si="166"/>
        <v>5.5814615495583274E-2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68.370397470170943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-9.9316821433603781E-14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373.50005214669716</v>
      </c>
      <c r="BJ177" s="62">
        <f t="shared" si="146"/>
        <v>383.60460086643036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0.29237459087301504</v>
      </c>
      <c r="BR177" s="23">
        <f>EXP(-LN(2)/2)*BR176+(1-EXP(-LN(2)/2))/(LN(2)/2)*BL177*BO177*VLOOKUP('Données projet'!$B$11,Paramètres!$A$1:$I$89,3,0)*0.475*44/12</f>
        <v>3.1540912124443676E-21</v>
      </c>
      <c r="BS177" s="24">
        <f t="shared" si="169"/>
        <v>0.29237459087301504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68.370397470170943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210.13237351083279</v>
      </c>
      <c r="CE177" s="62">
        <f t="shared" si="148"/>
        <v>423.06475179432277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5.7048454460927029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5.6324502758503171E-20</v>
      </c>
      <c r="CN177" s="24">
        <f t="shared" si="172"/>
        <v>5.7048454460927029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68.370397470170943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493.89660144134291</v>
      </c>
      <c r="CZ177" s="62">
        <f t="shared" si="150"/>
        <v>312.97494624463229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0.16848411566995358</v>
      </c>
      <c r="DH177" s="23">
        <f>EXP(-LN(2)/2)*DH176+(1-EXP(-LN(2)/2))/(LN(2)/2)*DB177*DE177*VLOOKUP('Données projet'!$B$13,Paramètres!$A$1:$I$89,3,0)*0.475*44/12</f>
        <v>3.1572675900192777E-21</v>
      </c>
      <c r="DI177" s="24">
        <f t="shared" si="175"/>
        <v>0.16848411566995358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68.370397470170943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>
        <f>DO177*VLOOKUP('Données projet'!$B$14,Paramètres!$A$1:$I$89,3,0)*VLOOKUP('Données projet'!$B$14,Paramètres!$A$1:$I$89,5,0)</f>
        <v>0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210.13237351083279</v>
      </c>
      <c r="DU177" s="62">
        <f t="shared" si="152"/>
        <v>423.06475179432277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5.7048454460927029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5.6324502758503171E-20</v>
      </c>
      <c r="ED177" s="24">
        <f t="shared" si="178"/>
        <v>5.7048454460927029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68.370397470170943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68.370397470170943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68.370397470170943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68.370397470170943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4.5049999999999999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16.518333333333334</v>
      </c>
      <c r="H178" s="70">
        <f t="shared" si="110"/>
        <v>147.64566666666667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68.398667430818008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5.3205440053716299E-14</v>
      </c>
      <c r="P178" s="14">
        <f t="shared" si="141"/>
        <v>8.602146238565607E-13</v>
      </c>
      <c r="Q178" s="22">
        <f t="shared" si="162"/>
        <v>1.590873277977066E-12</v>
      </c>
      <c r="R178" s="62">
        <f t="shared" si="109"/>
        <v>287.46178057966762</v>
      </c>
      <c r="S178" s="62">
        <f ca="1">AVERAGE(OFFSET($R$3,0,0,'Données projet'!$E$9+1,1))-AVERAGE(OFFSET($H$3,0,0,'Données projet'!$E$9+1,1))</f>
        <v>374.81775021423215</v>
      </c>
      <c r="T178" s="62">
        <f t="shared" si="142"/>
        <v>301.81248585467142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68.398667430818008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1.1527845344971866E-13</v>
      </c>
      <c r="AK178" s="14">
        <f t="shared" si="164"/>
        <v>1.7033846239409443E-12</v>
      </c>
      <c r="AL178" s="22">
        <f t="shared" si="165"/>
        <v>3.1675048597887374E-12</v>
      </c>
      <c r="AM178" s="62">
        <f t="shared" si="113"/>
        <v>287.46178057966921</v>
      </c>
      <c r="AN178" s="62">
        <f ca="1">AVERAGE(OFFSET($AM$3,0,0,'Données projet'!$E$10+1,1))-AVERAGE(OFFSET($H$3,0,0,'Données projet'!$E$10+1,1))</f>
        <v>468.39960552661171</v>
      </c>
      <c r="AO178" s="62">
        <f t="shared" si="144"/>
        <v>291.1952427029787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5.4288361899693487E-2</v>
      </c>
      <c r="AW178" s="23">
        <f>EXP(-LN(2)/2)*AW177+(1-EXP(-LN(2)/2))/(LN(2)/2)*AQ178*AT178*VLOOKUP('Données projet'!$B$10,Paramètres!$A$1:$I$89,3,0)*0.475*44/12</f>
        <v>2.1058861933277255E-21</v>
      </c>
      <c r="AX178" s="23">
        <f t="shared" si="166"/>
        <v>5.4288361899693487E-2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68.398667430818008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-9.9316821433603781E-14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373.50005214669716</v>
      </c>
      <c r="BJ178" s="62">
        <f t="shared" si="146"/>
        <v>383.60460086643036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0.28437959231028093</v>
      </c>
      <c r="BR178" s="23">
        <f>EXP(-LN(2)/2)*BR177+(1-EXP(-LN(2)/2))/(LN(2)/2)*BL178*BO178*VLOOKUP('Données projet'!$B$11,Paramètres!$A$1:$I$89,3,0)*0.475*44/12</f>
        <v>2.2302792848003118E-21</v>
      </c>
      <c r="BS178" s="24">
        <f t="shared" si="169"/>
        <v>0.28437959231028093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68.398667430818008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210.13237351083279</v>
      </c>
      <c r="CE178" s="62">
        <f t="shared" si="148"/>
        <v>423.06475179432277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5.5929769065069639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3.9827437847497995E-20</v>
      </c>
      <c r="CN178" s="24">
        <f t="shared" si="172"/>
        <v>5.5929769065069639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68.398667430818008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493.89660144134291</v>
      </c>
      <c r="CZ178" s="62">
        <f t="shared" si="150"/>
        <v>312.97494624463229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0.16387690866676413</v>
      </c>
      <c r="DH178" s="23">
        <f>EXP(-LN(2)/2)*DH177+(1-EXP(-LN(2)/2))/(LN(2)/2)*DB178*DE178*VLOOKUP('Données projet'!$B$13,Paramètres!$A$1:$I$89,3,0)*0.475*44/12</f>
        <v>2.2325253229231396E-21</v>
      </c>
      <c r="DI178" s="24">
        <f t="shared" si="175"/>
        <v>0.16387690866676413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68.398667430818008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>
        <f>DO178*VLOOKUP('Données projet'!$B$14,Paramètres!$A$1:$I$89,3,0)*VLOOKUP('Données projet'!$B$14,Paramètres!$A$1:$I$89,5,0)</f>
        <v>0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210.13237351083279</v>
      </c>
      <c r="DU178" s="62">
        <f t="shared" si="152"/>
        <v>423.06475179432277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5.5929769065069639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3.9827437847497995E-20</v>
      </c>
      <c r="ED178" s="24">
        <f t="shared" si="178"/>
        <v>5.5929769065069639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68.398667430818008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68.398667430818008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68.398667430818008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68.398667430818008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4.5049999999999999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16.518333333333334</v>
      </c>
      <c r="H179" s="70">
        <f t="shared" si="110"/>
        <v>147.64566666666667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68.426446970850023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5.3205440053716299E-14</v>
      </c>
      <c r="P179" s="14">
        <f t="shared" si="141"/>
        <v>8.602146238565607E-13</v>
      </c>
      <c r="Q179" s="22">
        <f t="shared" si="162"/>
        <v>1.590873277977066E-12</v>
      </c>
      <c r="R179" s="62">
        <f t="shared" si="109"/>
        <v>287.56363889311837</v>
      </c>
      <c r="S179" s="62">
        <f ca="1">AVERAGE(OFFSET($R$3,0,0,'Données projet'!$E$9+1,1))-AVERAGE(OFFSET($H$3,0,0,'Données projet'!$E$9+1,1))</f>
        <v>374.81775021423215</v>
      </c>
      <c r="T179" s="62">
        <f t="shared" si="142"/>
        <v>301.81248585467142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68.426446970850023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1.1527845344971866E-13</v>
      </c>
      <c r="AK179" s="14">
        <f t="shared" si="164"/>
        <v>1.7033846239409443E-12</v>
      </c>
      <c r="AL179" s="22">
        <f t="shared" si="165"/>
        <v>3.1675048597887374E-12</v>
      </c>
      <c r="AM179" s="62">
        <f t="shared" si="113"/>
        <v>287.56363889311996</v>
      </c>
      <c r="AN179" s="62">
        <f ca="1">AVERAGE(OFFSET($AM$3,0,0,'Données projet'!$E$10+1,1))-AVERAGE(OFFSET($H$3,0,0,'Données projet'!$E$10+1,1))</f>
        <v>468.39960552661171</v>
      </c>
      <c r="AO179" s="62">
        <f t="shared" si="144"/>
        <v>291.1952427029787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5.2803843788645492E-2</v>
      </c>
      <c r="AW179" s="23">
        <f>EXP(-LN(2)/2)*AW178+(1-EXP(-LN(2)/2))/(LN(2)/2)*AQ179*AT179*VLOOKUP('Données projet'!$B$10,Paramètres!$A$1:$I$89,3,0)*0.475*44/12</f>
        <v>1.4890864077091596E-21</v>
      </c>
      <c r="AX179" s="23">
        <f t="shared" si="166"/>
        <v>5.2803843788645492E-2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68.426446970850023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-9.9316821433603781E-14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373.50005214669716</v>
      </c>
      <c r="BJ179" s="62">
        <f t="shared" si="146"/>
        <v>383.60460086643036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0.27660321740368349</v>
      </c>
      <c r="BR179" s="23">
        <f>EXP(-LN(2)/2)*BR178+(1-EXP(-LN(2)/2))/(LN(2)/2)*BL179*BO179*VLOOKUP('Données projet'!$B$11,Paramètres!$A$1:$I$89,3,0)*0.475*44/12</f>
        <v>1.5770456062221838E-21</v>
      </c>
      <c r="BS179" s="24">
        <f t="shared" si="169"/>
        <v>0.27660321740368349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68.426446970850023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210.13237351083279</v>
      </c>
      <c r="CE179" s="62">
        <f t="shared" si="148"/>
        <v>423.06475179432277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5.4833020407494297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2.8162251379251586E-20</v>
      </c>
      <c r="CN179" s="24">
        <f t="shared" si="172"/>
        <v>5.4833020407494297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68.426446970850023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493.89660144134291</v>
      </c>
      <c r="CZ179" s="62">
        <f t="shared" si="150"/>
        <v>312.97494624463229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0.15939568598135939</v>
      </c>
      <c r="DH179" s="23">
        <f>EXP(-LN(2)/2)*DH178+(1-EXP(-LN(2)/2))/(LN(2)/2)*DB179*DE179*VLOOKUP('Données projet'!$B$13,Paramètres!$A$1:$I$89,3,0)*0.475*44/12</f>
        <v>1.5786337950096389E-21</v>
      </c>
      <c r="DI179" s="24">
        <f t="shared" si="175"/>
        <v>0.15939568598135939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68.426446970850023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>
        <f>DO179*VLOOKUP('Données projet'!$B$14,Paramètres!$A$1:$I$89,3,0)*VLOOKUP('Données projet'!$B$14,Paramètres!$A$1:$I$89,5,0)</f>
        <v>0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210.13237351083279</v>
      </c>
      <c r="DU179" s="62">
        <f t="shared" si="152"/>
        <v>423.06475179432277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5.4833020407494297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2.8162251379251586E-20</v>
      </c>
      <c r="ED179" s="24">
        <f t="shared" si="178"/>
        <v>5.4833020407494297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68.426446970850023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68.426446970850023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68.426446970850023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68.426446970850023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4.5049999999999999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16.518333333333334</v>
      </c>
      <c r="H180" s="70">
        <f t="shared" si="110"/>
        <v>147.64566666666667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68.453744597968225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5.3205440053716299E-14</v>
      </c>
      <c r="P180" s="14">
        <f t="shared" si="141"/>
        <v>8.602146238565607E-13</v>
      </c>
      <c r="Q180" s="22">
        <f t="shared" si="162"/>
        <v>1.590873277977066E-12</v>
      </c>
      <c r="R180" s="62">
        <f t="shared" si="109"/>
        <v>287.66373019255178</v>
      </c>
      <c r="S180" s="62">
        <f ca="1">AVERAGE(OFFSET($R$3,0,0,'Données projet'!$E$9+1,1))-AVERAGE(OFFSET($H$3,0,0,'Données projet'!$E$9+1,1))</f>
        <v>374.81775021423215</v>
      </c>
      <c r="T180" s="62">
        <f t="shared" si="142"/>
        <v>301.81248585467142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68.453744597968225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1.1527845344971866E-13</v>
      </c>
      <c r="AK180" s="14">
        <f t="shared" si="164"/>
        <v>1.7033846239409443E-12</v>
      </c>
      <c r="AL180" s="22">
        <f t="shared" si="165"/>
        <v>3.1675048597887374E-12</v>
      </c>
      <c r="AM180" s="62">
        <f t="shared" si="113"/>
        <v>287.66373019255337</v>
      </c>
      <c r="AN180" s="62">
        <f ca="1">AVERAGE(OFFSET($AM$3,0,0,'Données projet'!$E$10+1,1))-AVERAGE(OFFSET($H$3,0,0,'Données projet'!$E$10+1,1))</f>
        <v>468.39960552661171</v>
      </c>
      <c r="AO180" s="62">
        <f t="shared" si="144"/>
        <v>291.1952427029787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5.1359919903411523E-2</v>
      </c>
      <c r="AW180" s="23">
        <f>EXP(-LN(2)/2)*AW179+(1-EXP(-LN(2)/2))/(LN(2)/2)*AQ180*AT180*VLOOKUP('Données projet'!$B$10,Paramètres!$A$1:$I$89,3,0)*0.475*44/12</f>
        <v>1.0529430966638628E-21</v>
      </c>
      <c r="AX180" s="23">
        <f t="shared" si="166"/>
        <v>5.1359919903411523E-2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68.453744597968225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-9.9316821433603781E-14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373.50005214669716</v>
      </c>
      <c r="BJ180" s="62">
        <f t="shared" si="146"/>
        <v>383.60460086643036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0.26903948787784876</v>
      </c>
      <c r="BR180" s="23">
        <f>EXP(-LN(2)/2)*BR179+(1-EXP(-LN(2)/2))/(LN(2)/2)*BL180*BO180*VLOOKUP('Données projet'!$B$11,Paramètres!$A$1:$I$89,3,0)*0.475*44/12</f>
        <v>1.1151396424001559E-21</v>
      </c>
      <c r="BS180" s="24">
        <f t="shared" si="169"/>
        <v>0.26903948787784876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68.453744597968225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210.13237351083279</v>
      </c>
      <c r="CE180" s="62">
        <f t="shared" si="148"/>
        <v>423.06475179432277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5.3757778322143377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1.9913718923748998E-20</v>
      </c>
      <c r="CN180" s="24">
        <f t="shared" si="172"/>
        <v>5.3757778322143377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68.453744597968225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493.89660144134291</v>
      </c>
      <c r="CZ180" s="62">
        <f t="shared" si="150"/>
        <v>312.97494624463229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0.1550370025659443</v>
      </c>
      <c r="DH180" s="23">
        <f>EXP(-LN(2)/2)*DH179+(1-EXP(-LN(2)/2))/(LN(2)/2)*DB180*DE180*VLOOKUP('Données projet'!$B$13,Paramètres!$A$1:$I$89,3,0)*0.475*44/12</f>
        <v>1.1162626614615698E-21</v>
      </c>
      <c r="DI180" s="24">
        <f t="shared" si="175"/>
        <v>0.1550370025659443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68.453744597968225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>
        <f>DO180*VLOOKUP('Données projet'!$B$14,Paramètres!$A$1:$I$89,3,0)*VLOOKUP('Données projet'!$B$14,Paramètres!$A$1:$I$89,5,0)</f>
        <v>0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210.13237351083279</v>
      </c>
      <c r="DU180" s="62">
        <f t="shared" si="152"/>
        <v>423.06475179432277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5.3757778322143377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1.9913718923748998E-20</v>
      </c>
      <c r="ED180" s="24">
        <f t="shared" si="178"/>
        <v>5.3757778322143377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68.453744597968225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68.453744597968225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68.453744597968225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68.453744597968225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4.5049999999999999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16.518333333333334</v>
      </c>
      <c r="H181" s="70">
        <f t="shared" si="110"/>
        <v>147.64566666666667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68.480568672284292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5.3205440053716299E-14</v>
      </c>
      <c r="P181" s="14">
        <f t="shared" si="141"/>
        <v>8.602146238565607E-13</v>
      </c>
      <c r="Q181" s="22">
        <f t="shared" si="162"/>
        <v>1.590873277977066E-12</v>
      </c>
      <c r="R181" s="62">
        <f t="shared" si="109"/>
        <v>287.76208513171065</v>
      </c>
      <c r="S181" s="62">
        <f ca="1">AVERAGE(OFFSET($R$3,0,0,'Données projet'!$E$9+1,1))-AVERAGE(OFFSET($H$3,0,0,'Données projet'!$E$9+1,1))</f>
        <v>374.81775021423215</v>
      </c>
      <c r="T181" s="62">
        <f t="shared" si="142"/>
        <v>301.81248585467142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68.480568672284292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1.1527845344971866E-13</v>
      </c>
      <c r="AK181" s="14">
        <f t="shared" si="164"/>
        <v>1.7033846239409443E-12</v>
      </c>
      <c r="AL181" s="22">
        <f t="shared" si="165"/>
        <v>3.1675048597887374E-12</v>
      </c>
      <c r="AM181" s="62">
        <f t="shared" si="113"/>
        <v>287.76208513171224</v>
      </c>
      <c r="AN181" s="62">
        <f ca="1">AVERAGE(OFFSET($AM$3,0,0,'Données projet'!$E$10+1,1))-AVERAGE(OFFSET($H$3,0,0,'Données projet'!$E$10+1,1))</f>
        <v>468.39960552661171</v>
      </c>
      <c r="AO181" s="62">
        <f t="shared" si="144"/>
        <v>291.1952427029787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4.9955480192751929E-2</v>
      </c>
      <c r="AW181" s="23">
        <f>EXP(-LN(2)/2)*AW180+(1-EXP(-LN(2)/2))/(LN(2)/2)*AQ181*AT181*VLOOKUP('Données projet'!$B$10,Paramètres!$A$1:$I$89,3,0)*0.475*44/12</f>
        <v>7.4454320385457978E-22</v>
      </c>
      <c r="AX181" s="23">
        <f t="shared" si="166"/>
        <v>4.9955480192751929E-2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68.480568672284292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-9.9316821433603781E-14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373.50005214669716</v>
      </c>
      <c r="BJ181" s="62">
        <f t="shared" si="146"/>
        <v>383.60460086643036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0.2616825889336572</v>
      </c>
      <c r="BR181" s="23">
        <f>EXP(-LN(2)/2)*BR180+(1-EXP(-LN(2)/2))/(LN(2)/2)*BL181*BO181*VLOOKUP('Données projet'!$B$11,Paramètres!$A$1:$I$89,3,0)*0.475*44/12</f>
        <v>7.8852280311109189E-22</v>
      </c>
      <c r="BS181" s="24">
        <f t="shared" si="169"/>
        <v>0.2616825889336572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68.480568672284292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210.13237351083279</v>
      </c>
      <c r="CE181" s="62">
        <f t="shared" si="148"/>
        <v>423.06475179432277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5.2703621078253278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1.4081125689625793E-20</v>
      </c>
      <c r="CN181" s="24">
        <f t="shared" si="172"/>
        <v>5.2703621078253278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68.480568672284292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493.89660144134291</v>
      </c>
      <c r="CZ181" s="62">
        <f t="shared" si="150"/>
        <v>312.97494624463229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0.15079750757773694</v>
      </c>
      <c r="DH181" s="23">
        <f>EXP(-LN(2)/2)*DH180+(1-EXP(-LN(2)/2))/(LN(2)/2)*DB181*DE181*VLOOKUP('Données projet'!$B$13,Paramètres!$A$1:$I$89,3,0)*0.475*44/12</f>
        <v>7.8931689750481943E-22</v>
      </c>
      <c r="DI181" s="24">
        <f t="shared" si="175"/>
        <v>0.15079750757773694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68.480568672284292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>
        <f>DO181*VLOOKUP('Données projet'!$B$14,Paramètres!$A$1:$I$89,3,0)*VLOOKUP('Données projet'!$B$14,Paramètres!$A$1:$I$89,5,0)</f>
        <v>0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210.13237351083279</v>
      </c>
      <c r="DU181" s="62">
        <f t="shared" si="152"/>
        <v>423.06475179432277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5.2703621078253278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1.4081125689625793E-20</v>
      </c>
      <c r="ED181" s="24">
        <f t="shared" si="178"/>
        <v>5.2703621078253278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68.480568672284292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68.480568672284292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68.480568672284292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68.480568672284292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4.5049999999999999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16.518333333333334</v>
      </c>
      <c r="H182" s="70">
        <f t="shared" si="110"/>
        <v>147.64566666666667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68.5069274088806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5.3205440053716299E-14</v>
      </c>
      <c r="P182" s="14">
        <f t="shared" si="141"/>
        <v>8.602146238565607E-13</v>
      </c>
      <c r="Q182" s="22">
        <f t="shared" si="162"/>
        <v>1.590873277977066E-12</v>
      </c>
      <c r="R182" s="62">
        <f t="shared" si="109"/>
        <v>287.85873383256381</v>
      </c>
      <c r="S182" s="62">
        <f ca="1">AVERAGE(OFFSET($R$3,0,0,'Données projet'!$E$9+1,1))-AVERAGE(OFFSET($H$3,0,0,'Données projet'!$E$9+1,1))</f>
        <v>374.81775021423215</v>
      </c>
      <c r="T182" s="62">
        <f t="shared" si="142"/>
        <v>301.81248585467142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68.5069274088806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1.1527845344971866E-13</v>
      </c>
      <c r="AK182" s="14">
        <f t="shared" si="164"/>
        <v>1.7033846239409443E-12</v>
      </c>
      <c r="AL182" s="22">
        <f t="shared" si="165"/>
        <v>3.1675048597887374E-12</v>
      </c>
      <c r="AM182" s="62">
        <f t="shared" si="113"/>
        <v>287.85873383256541</v>
      </c>
      <c r="AN182" s="62">
        <f ca="1">AVERAGE(OFFSET($AM$3,0,0,'Données projet'!$E$10+1,1))-AVERAGE(OFFSET($H$3,0,0,'Données projet'!$E$10+1,1))</f>
        <v>468.39960552661171</v>
      </c>
      <c r="AO182" s="62">
        <f t="shared" si="144"/>
        <v>291.1952427029787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4.8589444959836602E-2</v>
      </c>
      <c r="AW182" s="23">
        <f>EXP(-LN(2)/2)*AW181+(1-EXP(-LN(2)/2))/(LN(2)/2)*AQ182*AT182*VLOOKUP('Données projet'!$B$10,Paramètres!$A$1:$I$89,3,0)*0.475*44/12</f>
        <v>5.2647154833193139E-22</v>
      </c>
      <c r="AX182" s="23">
        <f t="shared" si="166"/>
        <v>4.8589444959836602E-2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68.5069274088806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-9.9316821433603781E-14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373.50005214669716</v>
      </c>
      <c r="BJ182" s="62">
        <f t="shared" si="146"/>
        <v>383.60460086643036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0.25452686477797709</v>
      </c>
      <c r="BR182" s="23">
        <f>EXP(-LN(2)/2)*BR181+(1-EXP(-LN(2)/2))/(LN(2)/2)*BL182*BO182*VLOOKUP('Données projet'!$B$11,Paramètres!$A$1:$I$89,3,0)*0.475*44/12</f>
        <v>5.5756982120007794E-22</v>
      </c>
      <c r="BS182" s="24">
        <f t="shared" si="169"/>
        <v>0.25452686477797709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68.5069274088806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210.13237351083279</v>
      </c>
      <c r="CE182" s="62">
        <f t="shared" si="148"/>
        <v>423.06475179432277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5.1670135214943436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9.9568594618744988E-21</v>
      </c>
      <c r="CN182" s="24">
        <f t="shared" si="172"/>
        <v>5.1670135214943436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68.5069274088806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493.89660144134291</v>
      </c>
      <c r="CZ182" s="62">
        <f t="shared" si="150"/>
        <v>312.97494624463229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0.14667394180292745</v>
      </c>
      <c r="DH182" s="23">
        <f>EXP(-LN(2)/2)*DH181+(1-EXP(-LN(2)/2))/(LN(2)/2)*DB182*DE182*VLOOKUP('Données projet'!$B$13,Paramètres!$A$1:$I$89,3,0)*0.475*44/12</f>
        <v>5.5813133073078491E-22</v>
      </c>
      <c r="DI182" s="24">
        <f t="shared" si="175"/>
        <v>0.14667394180292745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68.5069274088806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>
        <f>DO182*VLOOKUP('Données projet'!$B$14,Paramètres!$A$1:$I$89,3,0)*VLOOKUP('Données projet'!$B$14,Paramètres!$A$1:$I$89,5,0)</f>
        <v>0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210.13237351083279</v>
      </c>
      <c r="DU182" s="62">
        <f t="shared" si="152"/>
        <v>423.06475179432277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5.1670135214943436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9.9568594618744988E-21</v>
      </c>
      <c r="ED182" s="24">
        <f t="shared" si="178"/>
        <v>5.1670135214943436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68.5069274088806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68.5069274088806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68.5069274088806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68.5069274088806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4.5049999999999999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16.518333333333334</v>
      </c>
      <c r="H183" s="70">
        <f t="shared" si="110"/>
        <v>147.64566666666667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68.532828880326278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5.3205440053716299E-14</v>
      </c>
      <c r="P183" s="14">
        <f t="shared" si="141"/>
        <v>8.602146238565607E-13</v>
      </c>
      <c r="Q183" s="22">
        <f t="shared" si="162"/>
        <v>1.590873277977066E-12</v>
      </c>
      <c r="R183" s="62">
        <f t="shared" si="109"/>
        <v>287.95370589453131</v>
      </c>
      <c r="S183" s="62">
        <f ca="1">AVERAGE(OFFSET($R$3,0,0,'Données projet'!$E$9+1,1))-AVERAGE(OFFSET($H$3,0,0,'Données projet'!$E$9+1,1))</f>
        <v>374.81775021423215</v>
      </c>
      <c r="T183" s="62">
        <f t="shared" si="142"/>
        <v>301.81248585467142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68.532828880326278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1.1527845344971866E-13</v>
      </c>
      <c r="AK183" s="14">
        <f t="shared" si="164"/>
        <v>1.7033846239409443E-12</v>
      </c>
      <c r="AL183" s="22">
        <f t="shared" si="165"/>
        <v>3.1675048597887374E-12</v>
      </c>
      <c r="AM183" s="62">
        <f t="shared" si="113"/>
        <v>287.9537058945329</v>
      </c>
      <c r="AN183" s="62">
        <f ca="1">AVERAGE(OFFSET($AM$3,0,0,'Données projet'!$E$10+1,1))-AVERAGE(OFFSET($H$3,0,0,'Données projet'!$E$10+1,1))</f>
        <v>468.39960552661171</v>
      </c>
      <c r="AO183" s="62">
        <f t="shared" si="144"/>
        <v>291.1952427029787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4.7260764032202009E-2</v>
      </c>
      <c r="AW183" s="23">
        <f>EXP(-LN(2)/2)*AW182+(1-EXP(-LN(2)/2))/(LN(2)/2)*AQ183*AT183*VLOOKUP('Données projet'!$B$10,Paramètres!$A$1:$I$89,3,0)*0.475*44/12</f>
        <v>3.7227160192728989E-22</v>
      </c>
      <c r="AX183" s="23">
        <f t="shared" si="166"/>
        <v>4.7260764032202009E-2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68.532828880326278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-9.9316821433603781E-14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373.50005214669716</v>
      </c>
      <c r="BJ183" s="62">
        <f t="shared" si="146"/>
        <v>383.60460086643036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0.24756681427563723</v>
      </c>
      <c r="BR183" s="23">
        <f>EXP(-LN(2)/2)*BR182+(1-EXP(-LN(2)/2))/(LN(2)/2)*BL183*BO183*VLOOKUP('Données projet'!$B$11,Paramètres!$A$1:$I$89,3,0)*0.475*44/12</f>
        <v>3.9426140155554595E-22</v>
      </c>
      <c r="BS183" s="24">
        <f t="shared" si="169"/>
        <v>0.24756681427563723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68.532828880326278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210.13237351083279</v>
      </c>
      <c r="CE183" s="62">
        <f t="shared" si="148"/>
        <v>423.06475179432277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5.0656915379048959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7.0405628448128964E-21</v>
      </c>
      <c r="CN183" s="24">
        <f t="shared" si="172"/>
        <v>5.0656915379048959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68.532828880326278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493.89660144134291</v>
      </c>
      <c r="CZ183" s="62">
        <f t="shared" si="150"/>
        <v>312.97494624463229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0.14266313515107903</v>
      </c>
      <c r="DH183" s="23">
        <f>EXP(-LN(2)/2)*DH182+(1-EXP(-LN(2)/2))/(LN(2)/2)*DB183*DE183*VLOOKUP('Données projet'!$B$13,Paramètres!$A$1:$I$89,3,0)*0.475*44/12</f>
        <v>3.9465844875240972E-22</v>
      </c>
      <c r="DI183" s="24">
        <f t="shared" si="175"/>
        <v>0.14266313515107903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68.532828880326278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>
        <f>DO183*VLOOKUP('Données projet'!$B$14,Paramètres!$A$1:$I$89,3,0)*VLOOKUP('Données projet'!$B$14,Paramètres!$A$1:$I$89,5,0)</f>
        <v>0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210.13237351083279</v>
      </c>
      <c r="DU183" s="62">
        <f t="shared" si="152"/>
        <v>423.06475179432277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5.0656915379048959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7.0405628448128964E-21</v>
      </c>
      <c r="ED183" s="24">
        <f t="shared" si="178"/>
        <v>5.0656915379048959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68.532828880326278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68.532828880326278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68.532828880326278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68.532828880326278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4.5049999999999999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16.518333333333334</v>
      </c>
      <c r="H184" s="70">
        <f t="shared" si="110"/>
        <v>147.64566666666667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68.558281019149391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5.3205440053716299E-14</v>
      </c>
      <c r="P184" s="14">
        <f t="shared" si="141"/>
        <v>8.602146238565607E-13</v>
      </c>
      <c r="Q184" s="22">
        <f t="shared" si="162"/>
        <v>1.590873277977066E-12</v>
      </c>
      <c r="R184" s="62">
        <f t="shared" si="109"/>
        <v>288.04703040354934</v>
      </c>
      <c r="S184" s="62">
        <f ca="1">AVERAGE(OFFSET($R$3,0,0,'Données projet'!$E$9+1,1))-AVERAGE(OFFSET($H$3,0,0,'Données projet'!$E$9+1,1))</f>
        <v>374.81775021423215</v>
      </c>
      <c r="T184" s="62">
        <f t="shared" si="142"/>
        <v>301.81248585467142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68.558281019149391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1.1527845344971866E-13</v>
      </c>
      <c r="AK184" s="14">
        <f t="shared" si="164"/>
        <v>1.7033846239409443E-12</v>
      </c>
      <c r="AL184" s="22">
        <f t="shared" si="165"/>
        <v>3.1675048597887374E-12</v>
      </c>
      <c r="AM184" s="62">
        <f t="shared" si="113"/>
        <v>288.04703040355093</v>
      </c>
      <c r="AN184" s="62">
        <f ca="1">AVERAGE(OFFSET($AM$3,0,0,'Données projet'!$E$10+1,1))-AVERAGE(OFFSET($H$3,0,0,'Données projet'!$E$10+1,1))</f>
        <v>468.39960552661171</v>
      </c>
      <c r="AO184" s="62">
        <f t="shared" si="144"/>
        <v>291.1952427029787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4.5968415954405879E-2</v>
      </c>
      <c r="AW184" s="23">
        <f>EXP(-LN(2)/2)*AW183+(1-EXP(-LN(2)/2))/(LN(2)/2)*AQ184*AT184*VLOOKUP('Données projet'!$B$10,Paramètres!$A$1:$I$89,3,0)*0.475*44/12</f>
        <v>2.6323577416596569E-22</v>
      </c>
      <c r="AX184" s="23">
        <f t="shared" si="166"/>
        <v>4.5968415954405879E-2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68.558281019149391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-9.9316821433603781E-14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373.50005214669716</v>
      </c>
      <c r="BJ184" s="62">
        <f t="shared" si="146"/>
        <v>383.60460086643036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0.24079708672029698</v>
      </c>
      <c r="BR184" s="23">
        <f>EXP(-LN(2)/2)*BR183+(1-EXP(-LN(2)/2))/(LN(2)/2)*BL184*BO184*VLOOKUP('Données projet'!$B$11,Paramètres!$A$1:$I$89,3,0)*0.475*44/12</f>
        <v>2.7878491060003897E-22</v>
      </c>
      <c r="BS184" s="24">
        <f t="shared" si="169"/>
        <v>0.24079708672029698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68.558281019149391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210.13237351083279</v>
      </c>
      <c r="CE184" s="62">
        <f t="shared" si="148"/>
        <v>423.06475179432277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4.9663564166133298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4.9784297309372494E-21</v>
      </c>
      <c r="CN184" s="24">
        <f t="shared" si="172"/>
        <v>4.9663564166133298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68.558281019149391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493.89660144134291</v>
      </c>
      <c r="CZ184" s="62">
        <f t="shared" si="150"/>
        <v>312.97494624463229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0.13876200421804455</v>
      </c>
      <c r="DH184" s="23">
        <f>EXP(-LN(2)/2)*DH183+(1-EXP(-LN(2)/2))/(LN(2)/2)*DB184*DE184*VLOOKUP('Données projet'!$B$13,Paramètres!$A$1:$I$89,3,0)*0.475*44/12</f>
        <v>2.7906566536539245E-22</v>
      </c>
      <c r="DI184" s="24">
        <f t="shared" si="175"/>
        <v>0.13876200421804455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68.558281019149391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>
        <f>DO184*VLOOKUP('Données projet'!$B$14,Paramètres!$A$1:$I$89,3,0)*VLOOKUP('Données projet'!$B$14,Paramètres!$A$1:$I$89,5,0)</f>
        <v>0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210.13237351083279</v>
      </c>
      <c r="DU184" s="62">
        <f t="shared" si="152"/>
        <v>423.06475179432277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4.9663564166133298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4.9784297309372494E-21</v>
      </c>
      <c r="ED184" s="24">
        <f t="shared" si="178"/>
        <v>4.9663564166133298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68.558281019149391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68.558281019149391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68.558281019149391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68.558281019149391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4.5049999999999999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16.518333333333334</v>
      </c>
      <c r="H185" s="70">
        <f t="shared" si="110"/>
        <v>147.64566666666667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68.58329162026638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5.3205440053716299E-14</v>
      </c>
      <c r="P185" s="14">
        <f t="shared" si="141"/>
        <v>8.602146238565607E-13</v>
      </c>
      <c r="Q185" s="22">
        <f t="shared" si="162"/>
        <v>1.590873277977066E-12</v>
      </c>
      <c r="R185" s="62">
        <f t="shared" si="109"/>
        <v>288.13873594097828</v>
      </c>
      <c r="S185" s="62">
        <f ca="1">AVERAGE(OFFSET($R$3,0,0,'Données projet'!$E$9+1,1))-AVERAGE(OFFSET($H$3,0,0,'Données projet'!$E$9+1,1))</f>
        <v>374.81775021423215</v>
      </c>
      <c r="T185" s="62">
        <f t="shared" si="142"/>
        <v>301.81248585467142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68.58329162026638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1.1527845344971866E-13</v>
      </c>
      <c r="AK185" s="14">
        <f t="shared" si="164"/>
        <v>1.7033846239409443E-12</v>
      </c>
      <c r="AL185" s="22">
        <f t="shared" si="165"/>
        <v>3.1675048597887374E-12</v>
      </c>
      <c r="AM185" s="62">
        <f t="shared" si="113"/>
        <v>288.13873594097987</v>
      </c>
      <c r="AN185" s="62">
        <f ca="1">AVERAGE(OFFSET($AM$3,0,0,'Données projet'!$E$10+1,1))-AVERAGE(OFFSET($H$3,0,0,'Données projet'!$E$10+1,1))</f>
        <v>468.39960552661171</v>
      </c>
      <c r="AO185" s="62">
        <f t="shared" si="144"/>
        <v>291.1952427029787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4.4711407202758721E-2</v>
      </c>
      <c r="AW185" s="23">
        <f>EXP(-LN(2)/2)*AW184+(1-EXP(-LN(2)/2))/(LN(2)/2)*AQ185*AT185*VLOOKUP('Données projet'!$B$10,Paramètres!$A$1:$I$89,3,0)*0.475*44/12</f>
        <v>1.8613580096364494E-22</v>
      </c>
      <c r="AX185" s="23">
        <f t="shared" si="166"/>
        <v>4.4711407202758721E-2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68.58329162026638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-9.9316821433603781E-14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373.50005214669716</v>
      </c>
      <c r="BJ185" s="62">
        <f t="shared" si="146"/>
        <v>383.60460086643036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0.23421247772096201</v>
      </c>
      <c r="BR185" s="23">
        <f>EXP(-LN(2)/2)*BR184+(1-EXP(-LN(2)/2))/(LN(2)/2)*BL185*BO185*VLOOKUP('Données projet'!$B$11,Paramètres!$A$1:$I$89,3,0)*0.475*44/12</f>
        <v>1.9713070077777297E-22</v>
      </c>
      <c r="BS185" s="24">
        <f t="shared" si="169"/>
        <v>0.23421247772096201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68.58329162026638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210.13237351083279</v>
      </c>
      <c r="CE185" s="62">
        <f t="shared" si="148"/>
        <v>423.06475179432277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4.8689691964618502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3.5202814224064482E-21</v>
      </c>
      <c r="CN185" s="24">
        <f t="shared" si="172"/>
        <v>4.8689691964618502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68.58329162026638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493.89660144134291</v>
      </c>
      <c r="CZ185" s="62">
        <f t="shared" si="150"/>
        <v>312.97494624463229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0.13496754991552545</v>
      </c>
      <c r="DH185" s="23">
        <f>EXP(-LN(2)/2)*DH184+(1-EXP(-LN(2)/2))/(LN(2)/2)*DB185*DE185*VLOOKUP('Données projet'!$B$13,Paramètres!$A$1:$I$89,3,0)*0.475*44/12</f>
        <v>1.9732922437620486E-22</v>
      </c>
      <c r="DI185" s="24">
        <f t="shared" si="175"/>
        <v>0.13496754991552545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68.58329162026638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>
        <f>DO185*VLOOKUP('Données projet'!$B$14,Paramètres!$A$1:$I$89,3,0)*VLOOKUP('Données projet'!$B$14,Paramètres!$A$1:$I$89,5,0)</f>
        <v>0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210.13237351083279</v>
      </c>
      <c r="DU185" s="62">
        <f t="shared" si="152"/>
        <v>423.06475179432277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4.8689691964618502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3.5202814224064482E-21</v>
      </c>
      <c r="ED185" s="24">
        <f t="shared" si="178"/>
        <v>4.8689691964618502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68.58329162026638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68.58329162026638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68.58329162026638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68.58329162026638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4.5049999999999999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16.518333333333334</v>
      </c>
      <c r="H186" s="70">
        <f t="shared" si="110"/>
        <v>147.64566666666667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68.607868343369304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5.3205440053716299E-14</v>
      </c>
      <c r="P186" s="14">
        <f t="shared" si="141"/>
        <v>8.602146238565607E-13</v>
      </c>
      <c r="Q186" s="22">
        <f t="shared" si="162"/>
        <v>1.590873277977066E-12</v>
      </c>
      <c r="R186" s="62">
        <f t="shared" si="109"/>
        <v>288.22885059235574</v>
      </c>
      <c r="S186" s="62">
        <f ca="1">AVERAGE(OFFSET($R$3,0,0,'Données projet'!$E$9+1,1))-AVERAGE(OFFSET($H$3,0,0,'Données projet'!$E$9+1,1))</f>
        <v>374.81775021423215</v>
      </c>
      <c r="T186" s="62">
        <f t="shared" si="142"/>
        <v>301.81248585467142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68.607868343369304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1.1527845344971866E-13</v>
      </c>
      <c r="AK186" s="14">
        <f t="shared" si="164"/>
        <v>1.7033846239409443E-12</v>
      </c>
      <c r="AL186" s="22">
        <f t="shared" si="165"/>
        <v>3.1675048597887374E-12</v>
      </c>
      <c r="AM186" s="62">
        <f t="shared" si="113"/>
        <v>288.22885059235733</v>
      </c>
      <c r="AN186" s="62">
        <f ca="1">AVERAGE(OFFSET($AM$3,0,0,'Données projet'!$E$10+1,1))-AVERAGE(OFFSET($H$3,0,0,'Données projet'!$E$10+1,1))</f>
        <v>468.39960552661171</v>
      </c>
      <c r="AO186" s="62">
        <f t="shared" si="144"/>
        <v>291.1952427029787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4.3488771421528571E-2</v>
      </c>
      <c r="AW186" s="23">
        <f>EXP(-LN(2)/2)*AW185+(1-EXP(-LN(2)/2))/(LN(2)/2)*AQ186*AT186*VLOOKUP('Données projet'!$B$10,Paramètres!$A$1:$I$89,3,0)*0.475*44/12</f>
        <v>1.3161788708298285E-22</v>
      </c>
      <c r="AX186" s="23">
        <f t="shared" si="166"/>
        <v>4.3488771421528571E-2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68.607868343369304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-9.9316821433603781E-14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373.50005214669716</v>
      </c>
      <c r="BJ186" s="62">
        <f t="shared" si="146"/>
        <v>383.60460086643036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0.22780792520098339</v>
      </c>
      <c r="BR186" s="23">
        <f>EXP(-LN(2)/2)*BR185+(1-EXP(-LN(2)/2))/(LN(2)/2)*BL186*BO186*VLOOKUP('Données projet'!$B$11,Paramètres!$A$1:$I$89,3,0)*0.475*44/12</f>
        <v>1.3939245530001949E-22</v>
      </c>
      <c r="BS186" s="24">
        <f t="shared" si="169"/>
        <v>0.22780792520098339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68.607868343369304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210.13237351083279</v>
      </c>
      <c r="CE186" s="62">
        <f t="shared" si="148"/>
        <v>423.06475179432277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4.7734916802972016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2.4892148654686247E-21</v>
      </c>
      <c r="CN186" s="24">
        <f t="shared" si="172"/>
        <v>4.7734916802972016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68.607868343369304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493.89660144134291</v>
      </c>
      <c r="CZ186" s="62">
        <f t="shared" si="150"/>
        <v>312.97494624463229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0.13127685516545043</v>
      </c>
      <c r="DH186" s="23">
        <f>EXP(-LN(2)/2)*DH185+(1-EXP(-LN(2)/2))/(LN(2)/2)*DB186*DE186*VLOOKUP('Données projet'!$B$13,Paramètres!$A$1:$I$89,3,0)*0.475*44/12</f>
        <v>1.3953283268269623E-22</v>
      </c>
      <c r="DI186" s="24">
        <f t="shared" si="175"/>
        <v>0.13127685516545043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68.607868343369304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>
        <f>DO186*VLOOKUP('Données projet'!$B$14,Paramètres!$A$1:$I$89,3,0)*VLOOKUP('Données projet'!$B$14,Paramètres!$A$1:$I$89,5,0)</f>
        <v>0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210.13237351083279</v>
      </c>
      <c r="DU186" s="62">
        <f t="shared" si="152"/>
        <v>423.06475179432277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4.7734916802972016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2.4892148654686247E-21</v>
      </c>
      <c r="ED186" s="24">
        <f t="shared" si="178"/>
        <v>4.7734916802972016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68.607868343369304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68.607868343369304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68.607868343369304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68.607868343369304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4.5049999999999999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16.518333333333334</v>
      </c>
      <c r="H187" s="70">
        <f t="shared" si="110"/>
        <v>147.64566666666667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68.632018715271727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5.3205440053716299E-14</v>
      </c>
      <c r="P187" s="14">
        <f t="shared" si="141"/>
        <v>8.602146238565607E-13</v>
      </c>
      <c r="Q187" s="22">
        <f t="shared" si="162"/>
        <v>1.590873277977066E-12</v>
      </c>
      <c r="R187" s="62">
        <f t="shared" si="109"/>
        <v>288.31740195599792</v>
      </c>
      <c r="S187" s="62">
        <f ca="1">AVERAGE(OFFSET($R$3,0,0,'Données projet'!$E$9+1,1))-AVERAGE(OFFSET($H$3,0,0,'Données projet'!$E$9+1,1))</f>
        <v>374.81775021423215</v>
      </c>
      <c r="T187" s="62">
        <f t="shared" si="142"/>
        <v>301.81248585467142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68.632018715271727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1.1527845344971866E-13</v>
      </c>
      <c r="AK187" s="14">
        <f t="shared" si="164"/>
        <v>1.7033846239409443E-12</v>
      </c>
      <c r="AL187" s="22">
        <f t="shared" si="165"/>
        <v>3.1675048597887374E-12</v>
      </c>
      <c r="AM187" s="62">
        <f t="shared" si="113"/>
        <v>288.31740195599951</v>
      </c>
      <c r="AN187" s="62">
        <f ca="1">AVERAGE(OFFSET($AM$3,0,0,'Données projet'!$E$10+1,1))-AVERAGE(OFFSET($H$3,0,0,'Données projet'!$E$10+1,1))</f>
        <v>468.39960552661171</v>
      </c>
      <c r="AO187" s="62">
        <f t="shared" si="144"/>
        <v>291.1952427029787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4.2299568680031777E-2</v>
      </c>
      <c r="AW187" s="23">
        <f>EXP(-LN(2)/2)*AW186+(1-EXP(-LN(2)/2))/(LN(2)/2)*AQ187*AT187*VLOOKUP('Données projet'!$B$10,Paramètres!$A$1:$I$89,3,0)*0.475*44/12</f>
        <v>9.3067900481822472E-23</v>
      </c>
      <c r="AX187" s="23">
        <f t="shared" si="166"/>
        <v>4.2299568680031777E-2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68.632018715271727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-9.9316821433603781E-14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373.50005214669716</v>
      </c>
      <c r="BJ187" s="62">
        <f t="shared" si="146"/>
        <v>383.60460086643036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0.22157850550646438</v>
      </c>
      <c r="BR187" s="23">
        <f>EXP(-LN(2)/2)*BR186+(1-EXP(-LN(2)/2))/(LN(2)/2)*BL187*BO187*VLOOKUP('Données projet'!$B$11,Paramètres!$A$1:$I$89,3,0)*0.475*44/12</f>
        <v>9.8565350388886486E-23</v>
      </c>
      <c r="BS187" s="24">
        <f t="shared" si="169"/>
        <v>0.22157850550646438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68.632018715271727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210.13237351083279</v>
      </c>
      <c r="CE187" s="62">
        <f t="shared" si="148"/>
        <v>423.06475179432277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4.6798864199890078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1.7601407112032241E-21</v>
      </c>
      <c r="CN187" s="24">
        <f t="shared" si="172"/>
        <v>4.6798864199890078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68.632018715271727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493.89660144134291</v>
      </c>
      <c r="CZ187" s="62">
        <f t="shared" si="150"/>
        <v>312.97494624463229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0.12768708265740142</v>
      </c>
      <c r="DH187" s="23">
        <f>EXP(-LN(2)/2)*DH186+(1-EXP(-LN(2)/2))/(LN(2)/2)*DB187*DE187*VLOOKUP('Données projet'!$B$13,Paramètres!$A$1:$I$89,3,0)*0.475*44/12</f>
        <v>9.8664612188102429E-23</v>
      </c>
      <c r="DI187" s="24">
        <f t="shared" si="175"/>
        <v>0.12768708265740142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68.632018715271727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>
        <f>DO187*VLOOKUP('Données projet'!$B$14,Paramètres!$A$1:$I$89,3,0)*VLOOKUP('Données projet'!$B$14,Paramètres!$A$1:$I$89,5,0)</f>
        <v>0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210.13237351083279</v>
      </c>
      <c r="DU187" s="62">
        <f t="shared" si="152"/>
        <v>423.06475179432277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4.6798864199890078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1.7601407112032241E-21</v>
      </c>
      <c r="ED187" s="24">
        <f t="shared" si="178"/>
        <v>4.6798864199890078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68.632018715271727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68.632018715271727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68.632018715271727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68.632018715271727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4.5049999999999999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16.518333333333334</v>
      </c>
      <c r="H188" s="70">
        <f t="shared" si="110"/>
        <v>147.64566666666667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68.655750132213797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5.3205440053716299E-14</v>
      </c>
      <c r="P188" s="14">
        <f t="shared" si="141"/>
        <v>8.602146238565607E-13</v>
      </c>
      <c r="Q188" s="22">
        <f t="shared" si="162"/>
        <v>1.590873277977066E-12</v>
      </c>
      <c r="R188" s="62">
        <f t="shared" si="109"/>
        <v>288.40441715145215</v>
      </c>
      <c r="S188" s="62">
        <f ca="1">AVERAGE(OFFSET($R$3,0,0,'Données projet'!$E$9+1,1))-AVERAGE(OFFSET($H$3,0,0,'Données projet'!$E$9+1,1))</f>
        <v>374.81775021423215</v>
      </c>
      <c r="T188" s="62">
        <f t="shared" si="142"/>
        <v>301.81248585467142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68.655750132213797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1.1527845344971866E-13</v>
      </c>
      <c r="AK188" s="14">
        <f t="shared" si="164"/>
        <v>1.7033846239409443E-12</v>
      </c>
      <c r="AL188" s="22">
        <f t="shared" si="165"/>
        <v>3.1675048597887374E-12</v>
      </c>
      <c r="AM188" s="62">
        <f t="shared" si="113"/>
        <v>288.40441715145374</v>
      </c>
      <c r="AN188" s="62">
        <f ca="1">AVERAGE(OFFSET($AM$3,0,0,'Données projet'!$E$10+1,1))-AVERAGE(OFFSET($H$3,0,0,'Données projet'!$E$10+1,1))</f>
        <v>468.39960552661171</v>
      </c>
      <c r="AO188" s="62">
        <f t="shared" si="144"/>
        <v>291.1952427029787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4.1142884750038668E-2</v>
      </c>
      <c r="AW188" s="23">
        <f>EXP(-LN(2)/2)*AW187+(1-EXP(-LN(2)/2))/(LN(2)/2)*AQ188*AT188*VLOOKUP('Données projet'!$B$10,Paramètres!$A$1:$I$89,3,0)*0.475*44/12</f>
        <v>6.5808943541491423E-23</v>
      </c>
      <c r="AX188" s="23">
        <f t="shared" si="166"/>
        <v>4.1142884750038668E-2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68.655750132213797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-9.9316821433603781E-14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373.50005214669716</v>
      </c>
      <c r="BJ188" s="62">
        <f t="shared" si="146"/>
        <v>383.60460086643036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0.21551942962108292</v>
      </c>
      <c r="BR188" s="23">
        <f>EXP(-LN(2)/2)*BR187+(1-EXP(-LN(2)/2))/(LN(2)/2)*BL188*BO188*VLOOKUP('Données projet'!$B$11,Paramètres!$A$1:$I$89,3,0)*0.475*44/12</f>
        <v>6.9696227650009743E-23</v>
      </c>
      <c r="BS188" s="24">
        <f t="shared" si="169"/>
        <v>0.21551942962108292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68.655750132213797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210.13237351083279</v>
      </c>
      <c r="CE188" s="62">
        <f t="shared" si="148"/>
        <v>423.06475179432277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4.5881167017418862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1.2446074327343123E-21</v>
      </c>
      <c r="CN188" s="24">
        <f t="shared" si="172"/>
        <v>4.5881167017418862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68.655750132213797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493.89660144134291</v>
      </c>
      <c r="CZ188" s="62">
        <f t="shared" si="150"/>
        <v>312.97494624463229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0.12419547266736293</v>
      </c>
      <c r="DH188" s="23">
        <f>EXP(-LN(2)/2)*DH187+(1-EXP(-LN(2)/2))/(LN(2)/2)*DB188*DE188*VLOOKUP('Données projet'!$B$13,Paramètres!$A$1:$I$89,3,0)*0.475*44/12</f>
        <v>6.9766416341348114E-23</v>
      </c>
      <c r="DI188" s="24">
        <f t="shared" si="175"/>
        <v>0.12419547266736293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68.655750132213797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>
        <f>DO188*VLOOKUP('Données projet'!$B$14,Paramètres!$A$1:$I$89,3,0)*VLOOKUP('Données projet'!$B$14,Paramètres!$A$1:$I$89,5,0)</f>
        <v>0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210.13237351083279</v>
      </c>
      <c r="DU188" s="62">
        <f t="shared" si="152"/>
        <v>423.06475179432277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4.5881167017418862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1.2446074327343123E-21</v>
      </c>
      <c r="ED188" s="24">
        <f t="shared" si="178"/>
        <v>4.5881167017418862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68.655750132213797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68.655750132213797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68.655750132213797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68.655750132213797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4.5049999999999999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16.518333333333334</v>
      </c>
      <c r="H189" s="70">
        <f t="shared" si="110"/>
        <v>147.64566666666667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68.679069862127392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5.3205440053716299E-14</v>
      </c>
      <c r="P189" s="14">
        <f t="shared" si="141"/>
        <v>8.602146238565607E-13</v>
      </c>
      <c r="Q189" s="22">
        <f t="shared" si="162"/>
        <v>1.590873277977066E-12</v>
      </c>
      <c r="R189" s="62">
        <f t="shared" si="109"/>
        <v>288.48992282780205</v>
      </c>
      <c r="S189" s="62">
        <f ca="1">AVERAGE(OFFSET($R$3,0,0,'Données projet'!$E$9+1,1))-AVERAGE(OFFSET($H$3,0,0,'Données projet'!$E$9+1,1))</f>
        <v>374.81775021423215</v>
      </c>
      <c r="T189" s="62">
        <f t="shared" si="142"/>
        <v>301.81248585467142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68.679069862127392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1.1527845344971866E-13</v>
      </c>
      <c r="AK189" s="14">
        <f t="shared" si="164"/>
        <v>1.7033846239409443E-12</v>
      </c>
      <c r="AL189" s="22">
        <f t="shared" si="165"/>
        <v>3.1675048597887374E-12</v>
      </c>
      <c r="AM189" s="62">
        <f t="shared" si="113"/>
        <v>288.48992282780364</v>
      </c>
      <c r="AN189" s="62">
        <f ca="1">AVERAGE(OFFSET($AM$3,0,0,'Données projet'!$E$10+1,1))-AVERAGE(OFFSET($H$3,0,0,'Données projet'!$E$10+1,1))</f>
        <v>468.39960552661171</v>
      </c>
      <c r="AO189" s="62">
        <f t="shared" si="144"/>
        <v>291.1952427029787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4.0017830402938583E-2</v>
      </c>
      <c r="AW189" s="23">
        <f>EXP(-LN(2)/2)*AW188+(1-EXP(-LN(2)/2))/(LN(2)/2)*AQ189*AT189*VLOOKUP('Données projet'!$B$10,Paramètres!$A$1:$I$89,3,0)*0.475*44/12</f>
        <v>4.6533950240911236E-23</v>
      </c>
      <c r="AX189" s="23">
        <f t="shared" si="166"/>
        <v>4.0017830402938583E-2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68.679069862127392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-9.9316821433603781E-14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373.50005214669716</v>
      </c>
      <c r="BJ189" s="62">
        <f t="shared" si="146"/>
        <v>383.60460086643036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0.20962603948442018</v>
      </c>
      <c r="BR189" s="23">
        <f>EXP(-LN(2)/2)*BR188+(1-EXP(-LN(2)/2))/(LN(2)/2)*BL189*BO189*VLOOKUP('Données projet'!$B$11,Paramètres!$A$1:$I$89,3,0)*0.475*44/12</f>
        <v>4.9282675194443243E-23</v>
      </c>
      <c r="BS189" s="24">
        <f t="shared" si="169"/>
        <v>0.20962603948442018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68.679069862127392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210.13237351083279</v>
      </c>
      <c r="CE189" s="62">
        <f t="shared" si="148"/>
        <v>423.06475179432277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4.4981465316955891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8.8007035560161205E-22</v>
      </c>
      <c r="CN189" s="24">
        <f t="shared" si="172"/>
        <v>4.4981465316955891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68.679069862127392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493.89660144134291</v>
      </c>
      <c r="CZ189" s="62">
        <f t="shared" si="150"/>
        <v>312.97494624463229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0.12079934093611784</v>
      </c>
      <c r="DH189" s="23">
        <f>EXP(-LN(2)/2)*DH188+(1-EXP(-LN(2)/2))/(LN(2)/2)*DB189*DE189*VLOOKUP('Données projet'!$B$13,Paramètres!$A$1:$I$89,3,0)*0.475*44/12</f>
        <v>4.9332306094051215E-23</v>
      </c>
      <c r="DI189" s="24">
        <f t="shared" si="175"/>
        <v>0.12079934093611784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68.679069862127392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>
        <f>DO189*VLOOKUP('Données projet'!$B$14,Paramètres!$A$1:$I$89,3,0)*VLOOKUP('Données projet'!$B$14,Paramètres!$A$1:$I$89,5,0)</f>
        <v>0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210.13237351083279</v>
      </c>
      <c r="DU189" s="62">
        <f t="shared" si="152"/>
        <v>423.06475179432277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4.4981465316955891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8.8007035560161205E-22</v>
      </c>
      <c r="ED189" s="24">
        <f t="shared" si="178"/>
        <v>4.4981465316955891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68.679069862127392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68.679069862127392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68.679069862127392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68.679069862127392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4.5049999999999999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16.518333333333334</v>
      </c>
      <c r="H190" s="70">
        <f t="shared" si="110"/>
        <v>147.64566666666667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68.701985046862134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5.3205440053716299E-14</v>
      </c>
      <c r="P190" s="14">
        <f t="shared" si="141"/>
        <v>8.602146238565607E-13</v>
      </c>
      <c r="Q190" s="22">
        <f t="shared" si="162"/>
        <v>1.590873277977066E-12</v>
      </c>
      <c r="R190" s="62">
        <f t="shared" si="109"/>
        <v>288.57394517182939</v>
      </c>
      <c r="S190" s="62">
        <f ca="1">AVERAGE(OFFSET($R$3,0,0,'Données projet'!$E$9+1,1))-AVERAGE(OFFSET($H$3,0,0,'Données projet'!$E$9+1,1))</f>
        <v>374.81775021423215</v>
      </c>
      <c r="T190" s="62">
        <f t="shared" si="142"/>
        <v>301.81248585467142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68.701985046862134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1.1527845344971866E-13</v>
      </c>
      <c r="AK190" s="14">
        <f t="shared" si="164"/>
        <v>1.7033846239409443E-12</v>
      </c>
      <c r="AL190" s="22">
        <f t="shared" si="165"/>
        <v>3.1675048597887374E-12</v>
      </c>
      <c r="AM190" s="62">
        <f t="shared" si="113"/>
        <v>288.57394517183099</v>
      </c>
      <c r="AN190" s="62">
        <f ca="1">AVERAGE(OFFSET($AM$3,0,0,'Données projet'!$E$10+1,1))-AVERAGE(OFFSET($H$3,0,0,'Données projet'!$E$10+1,1))</f>
        <v>468.39960552661171</v>
      </c>
      <c r="AO190" s="62">
        <f t="shared" si="144"/>
        <v>291.1952427029787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3.8923540726123987E-2</v>
      </c>
      <c r="AW190" s="23">
        <f>EXP(-LN(2)/2)*AW189+(1-EXP(-LN(2)/2))/(LN(2)/2)*AQ190*AT190*VLOOKUP('Données projet'!$B$10,Paramètres!$A$1:$I$89,3,0)*0.475*44/12</f>
        <v>3.2904471770745712E-23</v>
      </c>
      <c r="AX190" s="23">
        <f t="shared" si="166"/>
        <v>3.8923540726123987E-2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68.701985046862134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-9.9316821433603781E-14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373.50005214669716</v>
      </c>
      <c r="BJ190" s="62">
        <f t="shared" si="146"/>
        <v>383.60460086643036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0.20389380441096441</v>
      </c>
      <c r="BR190" s="23">
        <f>EXP(-LN(2)/2)*BR189+(1-EXP(-LN(2)/2))/(LN(2)/2)*BL190*BO190*VLOOKUP('Données projet'!$B$11,Paramètres!$A$1:$I$89,3,0)*0.475*44/12</f>
        <v>3.4848113825004871E-23</v>
      </c>
      <c r="BS190" s="24">
        <f t="shared" si="169"/>
        <v>0.20389380441096441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68.701985046862134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210.13237351083279</v>
      </c>
      <c r="CE190" s="62">
        <f t="shared" si="148"/>
        <v>423.06475179432277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4.4099406218075154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6.2230371636715617E-22</v>
      </c>
      <c r="CN190" s="24">
        <f t="shared" si="172"/>
        <v>4.4099406218075154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68.701985046862134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493.89660144134291</v>
      </c>
      <c r="CZ190" s="62">
        <f t="shared" si="150"/>
        <v>312.97494624463229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0.11749607660565844</v>
      </c>
      <c r="DH190" s="23">
        <f>EXP(-LN(2)/2)*DH189+(1-EXP(-LN(2)/2))/(LN(2)/2)*DB190*DE190*VLOOKUP('Données projet'!$B$13,Paramètres!$A$1:$I$89,3,0)*0.475*44/12</f>
        <v>3.4883208170674057E-23</v>
      </c>
      <c r="DI190" s="24">
        <f t="shared" si="175"/>
        <v>0.11749607660565844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68.701985046862134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>
        <f>DO190*VLOOKUP('Données projet'!$B$14,Paramètres!$A$1:$I$89,3,0)*VLOOKUP('Données projet'!$B$14,Paramètres!$A$1:$I$89,5,0)</f>
        <v>0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210.13237351083279</v>
      </c>
      <c r="DU190" s="62">
        <f t="shared" si="152"/>
        <v>423.06475179432277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4.4099406218075154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6.2230371636715617E-22</v>
      </c>
      <c r="ED190" s="24">
        <f t="shared" si="178"/>
        <v>4.4099406218075154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68.701985046862134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68.701985046862134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68.701985046862134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68.701985046862134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4.5049999999999999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16.518333333333334</v>
      </c>
      <c r="H191" s="70">
        <f t="shared" si="110"/>
        <v>147.64566666666667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68.72450270437237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5.3205440053716299E-14</v>
      </c>
      <c r="P191" s="14">
        <f t="shared" si="141"/>
        <v>8.602146238565607E-13</v>
      </c>
      <c r="Q191" s="22">
        <f t="shared" si="162"/>
        <v>1.590873277977066E-12</v>
      </c>
      <c r="R191" s="62">
        <f t="shared" si="109"/>
        <v>288.6565099160336</v>
      </c>
      <c r="S191" s="62">
        <f ca="1">AVERAGE(OFFSET($R$3,0,0,'Données projet'!$E$9+1,1))-AVERAGE(OFFSET($H$3,0,0,'Données projet'!$E$9+1,1))</f>
        <v>374.81775021423215</v>
      </c>
      <c r="T191" s="62">
        <f t="shared" si="142"/>
        <v>301.81248585467142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68.72450270437237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1.1527845344971866E-13</v>
      </c>
      <c r="AK191" s="14">
        <f t="shared" si="164"/>
        <v>1.7033846239409443E-12</v>
      </c>
      <c r="AL191" s="22">
        <f t="shared" si="165"/>
        <v>3.1675048597887374E-12</v>
      </c>
      <c r="AM191" s="62">
        <f t="shared" si="113"/>
        <v>288.65650991603519</v>
      </c>
      <c r="AN191" s="62">
        <f ca="1">AVERAGE(OFFSET($AM$3,0,0,'Données projet'!$E$10+1,1))-AVERAGE(OFFSET($H$3,0,0,'Données projet'!$E$10+1,1))</f>
        <v>468.39960552661171</v>
      </c>
      <c r="AO191" s="62">
        <f t="shared" si="144"/>
        <v>291.1952427029787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3.7859174458068079E-2</v>
      </c>
      <c r="AW191" s="23">
        <f>EXP(-LN(2)/2)*AW190+(1-EXP(-LN(2)/2))/(LN(2)/2)*AQ191*AT191*VLOOKUP('Données projet'!$B$10,Paramètres!$A$1:$I$89,3,0)*0.475*44/12</f>
        <v>2.3266975120455618E-23</v>
      </c>
      <c r="AX191" s="23">
        <f t="shared" si="166"/>
        <v>3.7859174458068079E-2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68.72450270437237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-9.9316821433603781E-14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373.50005214669716</v>
      </c>
      <c r="BJ191" s="62">
        <f t="shared" si="146"/>
        <v>383.60460086643036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0.19831831760703741</v>
      </c>
      <c r="BR191" s="23">
        <f>EXP(-LN(2)/2)*BR190+(1-EXP(-LN(2)/2))/(LN(2)/2)*BL191*BO191*VLOOKUP('Données projet'!$B$11,Paramètres!$A$1:$I$89,3,0)*0.475*44/12</f>
        <v>2.4641337597221622E-23</v>
      </c>
      <c r="BS191" s="24">
        <f t="shared" si="169"/>
        <v>0.19831831760703741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68.72450270437237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210.13237351083279</v>
      </c>
      <c r="CE191" s="62">
        <f t="shared" si="148"/>
        <v>423.06475179432277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4.3234643760120539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4.4003517780080603E-22</v>
      </c>
      <c r="CN191" s="24">
        <f t="shared" si="172"/>
        <v>4.3234643760120539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68.72450270437237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493.89660144134291</v>
      </c>
      <c r="CZ191" s="62">
        <f t="shared" si="150"/>
        <v>312.97494624463229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0.11428314021202658</v>
      </c>
      <c r="DH191" s="23">
        <f>EXP(-LN(2)/2)*DH190+(1-EXP(-LN(2)/2))/(LN(2)/2)*DB191*DE191*VLOOKUP('Données projet'!$B$13,Paramètres!$A$1:$I$89,3,0)*0.475*44/12</f>
        <v>2.4666153047025607E-23</v>
      </c>
      <c r="DI191" s="24">
        <f t="shared" si="175"/>
        <v>0.11428314021202658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68.72450270437237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>
        <f>DO191*VLOOKUP('Données projet'!$B$14,Paramètres!$A$1:$I$89,3,0)*VLOOKUP('Données projet'!$B$14,Paramètres!$A$1:$I$89,5,0)</f>
        <v>0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210.13237351083279</v>
      </c>
      <c r="DU191" s="62">
        <f t="shared" si="152"/>
        <v>423.06475179432277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4.3234643760120539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4.4003517780080603E-22</v>
      </c>
      <c r="ED191" s="24">
        <f t="shared" si="178"/>
        <v>4.3234643760120539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68.72450270437237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68.72450270437237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68.72450270437237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68.72450270437237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4.5049999999999999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16.518333333333334</v>
      </c>
      <c r="H192" s="70">
        <f t="shared" si="110"/>
        <v>147.64566666666667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68.746629730866744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5.3205440053716299E-14</v>
      </c>
      <c r="P192" s="14">
        <f t="shared" si="141"/>
        <v>8.602146238565607E-13</v>
      </c>
      <c r="Q192" s="22">
        <f t="shared" si="162"/>
        <v>1.590873277977066E-12</v>
      </c>
      <c r="R192" s="62">
        <f t="shared" si="109"/>
        <v>288.73764234651298</v>
      </c>
      <c r="S192" s="62">
        <f ca="1">AVERAGE(OFFSET($R$3,0,0,'Données projet'!$E$9+1,1))-AVERAGE(OFFSET($H$3,0,0,'Données projet'!$E$9+1,1))</f>
        <v>374.81775021423215</v>
      </c>
      <c r="T192" s="62">
        <f t="shared" si="142"/>
        <v>301.81248585467142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68.746629730866744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1.1527845344971866E-13</v>
      </c>
      <c r="AK192" s="14">
        <f t="shared" si="164"/>
        <v>1.7033846239409443E-12</v>
      </c>
      <c r="AL192" s="22">
        <f t="shared" si="165"/>
        <v>3.1675048597887374E-12</v>
      </c>
      <c r="AM192" s="62">
        <f t="shared" si="113"/>
        <v>288.73764234651458</v>
      </c>
      <c r="AN192" s="62">
        <f ca="1">AVERAGE(OFFSET($AM$3,0,0,'Données projet'!$E$10+1,1))-AVERAGE(OFFSET($H$3,0,0,'Données projet'!$E$10+1,1))</f>
        <v>468.39960552661171</v>
      </c>
      <c r="AO192" s="62">
        <f t="shared" si="144"/>
        <v>291.1952427029787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3.6823913341584753E-2</v>
      </c>
      <c r="AW192" s="23">
        <f>EXP(-LN(2)/2)*AW191+(1-EXP(-LN(2)/2))/(LN(2)/2)*AQ192*AT192*VLOOKUP('Données projet'!$B$10,Paramètres!$A$1:$I$89,3,0)*0.475*44/12</f>
        <v>1.6452235885372856E-23</v>
      </c>
      <c r="AX192" s="23">
        <f t="shared" si="166"/>
        <v>3.6823913341584753E-2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68.746629730866744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-9.9316821433603781E-14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373.50005214669716</v>
      </c>
      <c r="BJ192" s="62">
        <f t="shared" si="146"/>
        <v>383.60460086643036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0.19289529278296591</v>
      </c>
      <c r="BR192" s="23">
        <f>EXP(-LN(2)/2)*BR191+(1-EXP(-LN(2)/2))/(LN(2)/2)*BL192*BO192*VLOOKUP('Données projet'!$B$11,Paramètres!$A$1:$I$89,3,0)*0.475*44/12</f>
        <v>1.7424056912502436E-23</v>
      </c>
      <c r="BS192" s="24">
        <f t="shared" si="169"/>
        <v>0.19289529278296591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68.746629730866744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210.13237351083279</v>
      </c>
      <c r="CE192" s="62">
        <f t="shared" si="148"/>
        <v>423.06475179432277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4.2386838766513399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3.1115185818357809E-22</v>
      </c>
      <c r="CN192" s="24">
        <f t="shared" si="172"/>
        <v>4.2386838766513399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68.746629730866744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493.89660144134291</v>
      </c>
      <c r="CZ192" s="62">
        <f t="shared" si="150"/>
        <v>312.97494624463229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0.11115806173303958</v>
      </c>
      <c r="DH192" s="23">
        <f>EXP(-LN(2)/2)*DH191+(1-EXP(-LN(2)/2))/(LN(2)/2)*DB192*DE192*VLOOKUP('Données projet'!$B$13,Paramètres!$A$1:$I$89,3,0)*0.475*44/12</f>
        <v>1.7441604085337028E-23</v>
      </c>
      <c r="DI192" s="24">
        <f t="shared" si="175"/>
        <v>0.11115806173303958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68.746629730866744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>
        <f>DO192*VLOOKUP('Données projet'!$B$14,Paramètres!$A$1:$I$89,3,0)*VLOOKUP('Données projet'!$B$14,Paramètres!$A$1:$I$89,5,0)</f>
        <v>0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210.13237351083279</v>
      </c>
      <c r="DU192" s="62">
        <f t="shared" si="152"/>
        <v>423.06475179432277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4.2386838766513399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3.1115185818357809E-22</v>
      </c>
      <c r="ED192" s="24">
        <f t="shared" si="178"/>
        <v>4.2386838766513399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68.746629730866744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68.746629730866744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68.746629730866744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68.746629730866744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4.5049999999999999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16.518333333333334</v>
      </c>
      <c r="H193" s="70">
        <f t="shared" si="110"/>
        <v>147.64566666666667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68.768372902920078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5.3205440053716299E-14</v>
      </c>
      <c r="P193" s="14">
        <f t="shared" si="141"/>
        <v>8.602146238565607E-13</v>
      </c>
      <c r="Q193" s="22">
        <f t="shared" si="162"/>
        <v>1.590873277977066E-12</v>
      </c>
      <c r="R193" s="62">
        <f t="shared" si="109"/>
        <v>288.81736731070856</v>
      </c>
      <c r="S193" s="62">
        <f ca="1">AVERAGE(OFFSET($R$3,0,0,'Données projet'!$E$9+1,1))-AVERAGE(OFFSET($H$3,0,0,'Données projet'!$E$9+1,1))</f>
        <v>374.81775021423215</v>
      </c>
      <c r="T193" s="62">
        <f t="shared" si="142"/>
        <v>301.81248585467142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68.768372902920078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1.1527845344971866E-13</v>
      </c>
      <c r="AK193" s="14">
        <f t="shared" si="164"/>
        <v>1.7033846239409443E-12</v>
      </c>
      <c r="AL193" s="22">
        <f t="shared" si="165"/>
        <v>3.1675048597887374E-12</v>
      </c>
      <c r="AM193" s="62">
        <f t="shared" si="113"/>
        <v>288.81736731071015</v>
      </c>
      <c r="AN193" s="62">
        <f ca="1">AVERAGE(OFFSET($AM$3,0,0,'Données projet'!$E$10+1,1))-AVERAGE(OFFSET($H$3,0,0,'Données projet'!$E$10+1,1))</f>
        <v>468.39960552661171</v>
      </c>
      <c r="AO193" s="62">
        <f t="shared" si="144"/>
        <v>291.1952427029787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3.5816961494773675E-2</v>
      </c>
      <c r="AW193" s="23">
        <f>EXP(-LN(2)/2)*AW192+(1-EXP(-LN(2)/2))/(LN(2)/2)*AQ193*AT193*VLOOKUP('Données projet'!$B$10,Paramètres!$A$1:$I$89,3,0)*0.475*44/12</f>
        <v>1.1633487560227809E-23</v>
      </c>
      <c r="AX193" s="23">
        <f t="shared" si="166"/>
        <v>3.5816961494773675E-2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68.768372902920078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-9.9316821433603781E-14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373.50005214669716</v>
      </c>
      <c r="BJ193" s="62">
        <f t="shared" si="146"/>
        <v>383.60460086643036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0.18762056085789314</v>
      </c>
      <c r="BR193" s="23">
        <f>EXP(-LN(2)/2)*BR192+(1-EXP(-LN(2)/2))/(LN(2)/2)*BL193*BO193*VLOOKUP('Données projet'!$B$11,Paramètres!$A$1:$I$89,3,0)*0.475*44/12</f>
        <v>1.2320668798610811E-23</v>
      </c>
      <c r="BS193" s="24">
        <f t="shared" si="169"/>
        <v>0.18762056085789314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68.768372902920078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210.13237351083279</v>
      </c>
      <c r="CE193" s="62">
        <f t="shared" si="148"/>
        <v>423.06475179432277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4.1555658711720902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2.2001758890040301E-22</v>
      </c>
      <c r="CN193" s="24">
        <f t="shared" si="172"/>
        <v>4.1555658711720902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68.768372902920078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493.89660144134291</v>
      </c>
      <c r="CZ193" s="62">
        <f t="shared" si="150"/>
        <v>312.97494624463229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0.1081184386894012</v>
      </c>
      <c r="DH193" s="23">
        <f>EXP(-LN(2)/2)*DH192+(1-EXP(-LN(2)/2))/(LN(2)/2)*DB193*DE193*VLOOKUP('Données projet'!$B$13,Paramètres!$A$1:$I$89,3,0)*0.475*44/12</f>
        <v>1.2333076523512804E-23</v>
      </c>
      <c r="DI193" s="24">
        <f t="shared" si="175"/>
        <v>0.1081184386894012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68.768372902920078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>
        <f>DO193*VLOOKUP('Données projet'!$B$14,Paramètres!$A$1:$I$89,3,0)*VLOOKUP('Données projet'!$B$14,Paramètres!$A$1:$I$89,5,0)</f>
        <v>0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210.13237351083279</v>
      </c>
      <c r="DU193" s="62">
        <f t="shared" si="152"/>
        <v>423.06475179432277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4.1555658711720902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2.2001758890040301E-22</v>
      </c>
      <c r="ED193" s="24">
        <f t="shared" si="178"/>
        <v>4.1555658711720902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68.768372902920078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68.768372902920078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68.768372902920078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68.768372902920078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4.5049999999999999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16.518333333333334</v>
      </c>
      <c r="H194" s="70">
        <f t="shared" si="110"/>
        <v>147.64566666666667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68.789738879548736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5.3205440053716299E-14</v>
      </c>
      <c r="P194" s="14">
        <f t="shared" si="141"/>
        <v>8.602146238565607E-13</v>
      </c>
      <c r="Q194" s="22">
        <f t="shared" si="162"/>
        <v>1.590873277977066E-12</v>
      </c>
      <c r="R194" s="62">
        <f t="shared" si="109"/>
        <v>288.8957092250136</v>
      </c>
      <c r="S194" s="62">
        <f ca="1">AVERAGE(OFFSET($R$3,0,0,'Données projet'!$E$9+1,1))-AVERAGE(OFFSET($H$3,0,0,'Données projet'!$E$9+1,1))</f>
        <v>374.81775021423215</v>
      </c>
      <c r="T194" s="62">
        <f t="shared" si="142"/>
        <v>301.81248585467142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68.789738879548736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1.1527845344971866E-13</v>
      </c>
      <c r="AK194" s="14">
        <f t="shared" si="164"/>
        <v>1.7033846239409443E-12</v>
      </c>
      <c r="AL194" s="22">
        <f t="shared" si="165"/>
        <v>3.1675048597887374E-12</v>
      </c>
      <c r="AM194" s="62">
        <f t="shared" si="113"/>
        <v>288.8957092250152</v>
      </c>
      <c r="AN194" s="62">
        <f ca="1">AVERAGE(OFFSET($AM$3,0,0,'Données projet'!$E$10+1,1))-AVERAGE(OFFSET($H$3,0,0,'Données projet'!$E$10+1,1))</f>
        <v>468.39960552661171</v>
      </c>
      <c r="AO194" s="62">
        <f t="shared" si="144"/>
        <v>291.1952427029787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3.4837544799166946E-2</v>
      </c>
      <c r="AW194" s="23">
        <f>EXP(-LN(2)/2)*AW193+(1-EXP(-LN(2)/2))/(LN(2)/2)*AQ194*AT194*VLOOKUP('Données projet'!$B$10,Paramètres!$A$1:$I$89,3,0)*0.475*44/12</f>
        <v>8.2261179426864279E-24</v>
      </c>
      <c r="AX194" s="23">
        <f t="shared" si="166"/>
        <v>3.4837544799166946E-2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68.789738879548736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-9.9316821433603781E-14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373.50005214669716</v>
      </c>
      <c r="BJ194" s="62">
        <f t="shared" si="146"/>
        <v>383.60460086643036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0.18249006675469756</v>
      </c>
      <c r="BR194" s="23">
        <f>EXP(-LN(2)/2)*BR193+(1-EXP(-LN(2)/2))/(LN(2)/2)*BL194*BO194*VLOOKUP('Données projet'!$B$11,Paramètres!$A$1:$I$89,3,0)*0.475*44/12</f>
        <v>8.7120284562512178E-24</v>
      </c>
      <c r="BS194" s="24">
        <f t="shared" si="169"/>
        <v>0.18249006675469756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68.789738879548736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210.13237351083279</v>
      </c>
      <c r="CE194" s="62">
        <f t="shared" si="148"/>
        <v>423.06475179432277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4.0740777590833117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1.5557592909178904E-22</v>
      </c>
      <c r="CN194" s="24">
        <f t="shared" si="172"/>
        <v>4.0740777590833117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68.789738879548736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493.89660144134291</v>
      </c>
      <c r="CZ194" s="62">
        <f t="shared" si="150"/>
        <v>312.97494624463229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0.10516193429773794</v>
      </c>
      <c r="DH194" s="23">
        <f>EXP(-LN(2)/2)*DH193+(1-EXP(-LN(2)/2))/(LN(2)/2)*DB194*DE194*VLOOKUP('Données projet'!$B$13,Paramètres!$A$1:$I$89,3,0)*0.475*44/12</f>
        <v>8.7208020426685142E-24</v>
      </c>
      <c r="DI194" s="24">
        <f t="shared" si="175"/>
        <v>0.10516193429773794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68.789738879548736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>
        <f>DO194*VLOOKUP('Données projet'!$B$14,Paramètres!$A$1:$I$89,3,0)*VLOOKUP('Données projet'!$B$14,Paramètres!$A$1:$I$89,5,0)</f>
        <v>0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210.13237351083279</v>
      </c>
      <c r="DU194" s="62">
        <f t="shared" si="152"/>
        <v>423.06475179432277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4.0740777590833117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1.5557592909178904E-22</v>
      </c>
      <c r="ED194" s="24">
        <f t="shared" si="178"/>
        <v>4.0740777590833117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68.789738879548736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68.789738879548736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68.789738879548736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68.789738879548736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4.5049999999999999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16.518333333333334</v>
      </c>
      <c r="H195" s="70">
        <f t="shared" si="110"/>
        <v>147.64566666666667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68.810734204250053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5.3205440053716299E-14</v>
      </c>
      <c r="P195" s="14">
        <f t="shared" si="141"/>
        <v>8.602146238565607E-13</v>
      </c>
      <c r="Q195" s="22">
        <f t="shared" si="162"/>
        <v>1.590873277977066E-12</v>
      </c>
      <c r="R195" s="62">
        <f t="shared" ref="R195:R203" si="191">Q195+(I195+J195)*44/12</f>
        <v>288.9726920822518</v>
      </c>
      <c r="S195" s="62">
        <f ca="1">AVERAGE(OFFSET($R$3,0,0,'Données projet'!$E$9+1,1))-AVERAGE(OFFSET($H$3,0,0,'Données projet'!$E$9+1,1))</f>
        <v>374.81775021423215</v>
      </c>
      <c r="T195" s="62">
        <f t="shared" si="142"/>
        <v>301.81248585467142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68.810734204250053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1.1527845344971866E-13</v>
      </c>
      <c r="AK195" s="14">
        <f t="shared" si="164"/>
        <v>1.7033846239409443E-12</v>
      </c>
      <c r="AL195" s="22">
        <f t="shared" si="165"/>
        <v>3.1675048597887374E-12</v>
      </c>
      <c r="AM195" s="62">
        <f t="shared" si="113"/>
        <v>288.97269208225339</v>
      </c>
      <c r="AN195" s="62">
        <f ca="1">AVERAGE(OFFSET($AM$3,0,0,'Données projet'!$E$10+1,1))-AVERAGE(OFFSET($H$3,0,0,'Données projet'!$E$10+1,1))</f>
        <v>468.39960552661171</v>
      </c>
      <c r="AO195" s="62">
        <f t="shared" si="144"/>
        <v>291.1952427029787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3.3884910304606865E-2</v>
      </c>
      <c r="AW195" s="23">
        <f>EXP(-LN(2)/2)*AW194+(1-EXP(-LN(2)/2))/(LN(2)/2)*AQ195*AT195*VLOOKUP('Données projet'!$B$10,Paramètres!$A$1:$I$89,3,0)*0.475*44/12</f>
        <v>5.8167437801139045E-24</v>
      </c>
      <c r="AX195" s="23">
        <f t="shared" si="166"/>
        <v>3.3884910304606865E-2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68.810734204250053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-9.9316821433603781E-14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373.50005214669716</v>
      </c>
      <c r="BJ195" s="62">
        <f t="shared" si="146"/>
        <v>383.60460086643036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0.17749986628255482</v>
      </c>
      <c r="BR195" s="23">
        <f>EXP(-LN(2)/2)*BR194+(1-EXP(-LN(2)/2))/(LN(2)/2)*BL195*BO195*VLOOKUP('Données projet'!$B$11,Paramètres!$A$1:$I$89,3,0)*0.475*44/12</f>
        <v>6.1603343993054054E-24</v>
      </c>
      <c r="BS195" s="24">
        <f t="shared" si="169"/>
        <v>0.17749986628255482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68.810734204250053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210.13237351083279</v>
      </c>
      <c r="CE195" s="62">
        <f t="shared" si="148"/>
        <v>423.06475179432277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3.9941875791697532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1.1000879445020151E-22</v>
      </c>
      <c r="CN195" s="24">
        <f t="shared" si="172"/>
        <v>3.9941875791697532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68.810734204250053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493.89660144134291</v>
      </c>
      <c r="CZ195" s="62">
        <f t="shared" si="150"/>
        <v>312.97494624463229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0.10228627567414053</v>
      </c>
      <c r="DH195" s="23">
        <f>EXP(-LN(2)/2)*DH194+(1-EXP(-LN(2)/2))/(LN(2)/2)*DB195*DE195*VLOOKUP('Données projet'!$B$13,Paramètres!$A$1:$I$89,3,0)*0.475*44/12</f>
        <v>6.1665382617564018E-24</v>
      </c>
      <c r="DI195" s="24">
        <f t="shared" si="175"/>
        <v>0.10228627567414053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68.810734204250053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>
        <f>DO195*VLOOKUP('Données projet'!$B$14,Paramètres!$A$1:$I$89,3,0)*VLOOKUP('Données projet'!$B$14,Paramètres!$A$1:$I$89,5,0)</f>
        <v>0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210.13237351083279</v>
      </c>
      <c r="DU195" s="62">
        <f t="shared" si="152"/>
        <v>423.06475179432277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3.9941875791697532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1.1000879445020151E-22</v>
      </c>
      <c r="ED195" s="24">
        <f t="shared" si="178"/>
        <v>3.9941875791697532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68.810734204250053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68.810734204250053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68.810734204250053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68.810734204250053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4.5049999999999999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16.518333333333334</v>
      </c>
      <c r="H196" s="70">
        <f t="shared" ref="H196:H203" si="192">(B196+E196+F196)*44/12+(C196+D196)*0.475*44/12</f>
        <v>147.64566666666667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68.831365307006308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5.3205440053716299E-14</v>
      </c>
      <c r="P196" s="14">
        <f t="shared" si="141"/>
        <v>8.602146238565607E-13</v>
      </c>
      <c r="Q196" s="22">
        <f t="shared" si="162"/>
        <v>1.590873277977066E-12</v>
      </c>
      <c r="R196" s="62">
        <f t="shared" si="191"/>
        <v>289.0483394590247</v>
      </c>
      <c r="S196" s="62">
        <f ca="1">AVERAGE(OFFSET($R$3,0,0,'Données projet'!$E$9+1,1))-AVERAGE(OFFSET($H$3,0,0,'Données projet'!$E$9+1,1))</f>
        <v>374.81775021423215</v>
      </c>
      <c r="T196" s="62">
        <f t="shared" si="142"/>
        <v>301.81248585467142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68.831365307006308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1.1527845344971866E-13</v>
      </c>
      <c r="AK196" s="14">
        <f t="shared" si="164"/>
        <v>1.7033846239409443E-12</v>
      </c>
      <c r="AL196" s="22">
        <f t="shared" si="165"/>
        <v>3.1675048597887374E-12</v>
      </c>
      <c r="AM196" s="62">
        <f t="shared" ref="AM196:AM203" si="193">AL196+(AD196+AE196)*44/12</f>
        <v>289.04833945902629</v>
      </c>
      <c r="AN196" s="62">
        <f ca="1">AVERAGE(OFFSET($AM$3,0,0,'Données projet'!$E$10+1,1))-AVERAGE(OFFSET($H$3,0,0,'Données projet'!$E$10+1,1))</f>
        <v>468.39960552661171</v>
      </c>
      <c r="AO196" s="62">
        <f t="shared" si="144"/>
        <v>291.1952427029787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3.2958325650397399E-2</v>
      </c>
      <c r="AW196" s="23">
        <f>EXP(-LN(2)/2)*AW195+(1-EXP(-LN(2)/2))/(LN(2)/2)*AQ196*AT196*VLOOKUP('Données projet'!$B$10,Paramètres!$A$1:$I$89,3,0)*0.475*44/12</f>
        <v>4.1130589713432139E-24</v>
      </c>
      <c r="AX196" s="23">
        <f t="shared" si="166"/>
        <v>3.2958325650397399E-2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68.831365307006308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-9.9316821433603781E-14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373.50005214669716</v>
      </c>
      <c r="BJ196" s="62">
        <f t="shared" si="146"/>
        <v>383.60460086643036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0.17264612310474606</v>
      </c>
      <c r="BR196" s="23">
        <f>EXP(-LN(2)/2)*BR195+(1-EXP(-LN(2)/2))/(LN(2)/2)*BL196*BO196*VLOOKUP('Données projet'!$B$11,Paramètres!$A$1:$I$89,3,0)*0.475*44/12</f>
        <v>4.3560142281256089E-24</v>
      </c>
      <c r="BS196" s="24">
        <f t="shared" si="169"/>
        <v>0.17264612310474606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68.831365307006308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210.13237351083279</v>
      </c>
      <c r="CE196" s="62">
        <f t="shared" si="148"/>
        <v>423.06475179432277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3.9158639969561015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7.7787964545894522E-23</v>
      </c>
      <c r="CN196" s="24">
        <f t="shared" si="172"/>
        <v>3.9158639969561015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68.831365307006308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493.89660144134291</v>
      </c>
      <c r="CZ196" s="62">
        <f t="shared" si="150"/>
        <v>312.97494624463229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9.9489252086829696E-2</v>
      </c>
      <c r="DH196" s="23">
        <f>EXP(-LN(2)/2)*DH195+(1-EXP(-LN(2)/2))/(LN(2)/2)*DB196*DE196*VLOOKUP('Données projet'!$B$13,Paramètres!$A$1:$I$89,3,0)*0.475*44/12</f>
        <v>4.3604010213342571E-24</v>
      </c>
      <c r="DI196" s="24">
        <f t="shared" si="175"/>
        <v>9.9489252086829696E-2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68.831365307006308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>
        <f>DO196*VLOOKUP('Données projet'!$B$14,Paramètres!$A$1:$I$89,3,0)*VLOOKUP('Données projet'!$B$14,Paramètres!$A$1:$I$89,5,0)</f>
        <v>0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210.13237351083279</v>
      </c>
      <c r="DU196" s="62">
        <f t="shared" si="152"/>
        <v>423.06475179432277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3.9158639969561015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7.7787964545894522E-23</v>
      </c>
      <c r="ED196" s="24">
        <f t="shared" si="178"/>
        <v>3.9158639969561015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68.831365307006308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68.831365307006308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68.831365307006308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68.831365307006308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4.5049999999999999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16.518333333333334</v>
      </c>
      <c r="H197" s="70">
        <f t="shared" si="192"/>
        <v>147.64566666666667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68.851638506253977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5.3205440053716299E-14</v>
      </c>
      <c r="P197" s="14">
        <f t="shared" ref="P197:P203" si="203">EXP(-1.0587+0.8836*LN(O197)+0.284)</f>
        <v>8.602146238565607E-13</v>
      </c>
      <c r="Q197" s="22">
        <f t="shared" si="162"/>
        <v>1.590873277977066E-12</v>
      </c>
      <c r="R197" s="62">
        <f t="shared" si="191"/>
        <v>289.12267452293287</v>
      </c>
      <c r="S197" s="62">
        <f ca="1">AVERAGE(OFFSET($R$3,0,0,'Données projet'!$E$9+1,1))-AVERAGE(OFFSET($H$3,0,0,'Données projet'!$E$9+1,1))</f>
        <v>374.81775021423215</v>
      </c>
      <c r="T197" s="62">
        <f t="shared" ref="T197:T203" si="204">$T$3</f>
        <v>301.81248585467142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68.851638506253977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1.1527845344971866E-13</v>
      </c>
      <c r="AK197" s="14">
        <f t="shared" si="164"/>
        <v>1.7033846239409443E-12</v>
      </c>
      <c r="AL197" s="22">
        <f t="shared" si="165"/>
        <v>3.1675048597887374E-12</v>
      </c>
      <c r="AM197" s="62">
        <f t="shared" si="193"/>
        <v>289.12267452293446</v>
      </c>
      <c r="AN197" s="62">
        <f ca="1">AVERAGE(OFFSET($AM$3,0,0,'Données projet'!$E$10+1,1))-AVERAGE(OFFSET($H$3,0,0,'Données projet'!$E$10+1,1))</f>
        <v>468.39960552661171</v>
      </c>
      <c r="AO197" s="62">
        <f t="shared" ref="AO197:AO203" si="205">$AO$3</f>
        <v>291.1952427029787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3.2057078502284266E-2</v>
      </c>
      <c r="AW197" s="23">
        <f>EXP(-LN(2)/2)*AW196+(1-EXP(-LN(2)/2))/(LN(2)/2)*AQ197*AT197*VLOOKUP('Données projet'!$B$10,Paramètres!$A$1:$I$89,3,0)*0.475*44/12</f>
        <v>2.9083718900569522E-24</v>
      </c>
      <c r="AX197" s="23">
        <f t="shared" si="166"/>
        <v>3.2057078502284266E-2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68.851638506253977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-9.9316821433603781E-14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373.50005214669716</v>
      </c>
      <c r="BJ197" s="62">
        <f t="shared" ref="BJ197:BJ203" si="206">$BJ$3</f>
        <v>383.60460086643036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0.16792510578938175</v>
      </c>
      <c r="BR197" s="23">
        <f>EXP(-LN(2)/2)*BR196+(1-EXP(-LN(2)/2))/(LN(2)/2)*BL197*BO197*VLOOKUP('Données projet'!$B$11,Paramètres!$A$1:$I$89,3,0)*0.475*44/12</f>
        <v>3.0801671996527027E-24</v>
      </c>
      <c r="BS197" s="24">
        <f t="shared" si="169"/>
        <v>0.16792510578938175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68.851638506253977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210.13237351083279</v>
      </c>
      <c r="CE197" s="62">
        <f t="shared" ref="CE197:CE203" si="207">$CE$3</f>
        <v>423.06475179432277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3.8390762924169914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5.5004397225100753E-23</v>
      </c>
      <c r="CN197" s="24">
        <f t="shared" si="172"/>
        <v>3.8390762924169914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68.851638506253977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493.89660144134291</v>
      </c>
      <c r="CZ197" s="62">
        <f t="shared" ref="CZ197:CZ203" si="208">$CZ$3</f>
        <v>312.97494624463229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9.6768713256602953E-2</v>
      </c>
      <c r="DH197" s="23">
        <f>EXP(-LN(2)/2)*DH196+(1-EXP(-LN(2)/2))/(LN(2)/2)*DB197*DE197*VLOOKUP('Données projet'!$B$13,Paramètres!$A$1:$I$89,3,0)*0.475*44/12</f>
        <v>3.0832691308782009E-24</v>
      </c>
      <c r="DI197" s="24">
        <f t="shared" si="175"/>
        <v>9.6768713256602953E-2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68.851638506253977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>
        <f>DO197*VLOOKUP('Données projet'!$B$14,Paramètres!$A$1:$I$89,3,0)*VLOOKUP('Données projet'!$B$14,Paramètres!$A$1:$I$89,5,0)</f>
        <v>0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210.13237351083279</v>
      </c>
      <c r="DU197" s="62">
        <f t="shared" ref="DU197:DU203" si="209">$DU$3</f>
        <v>423.06475179432277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3.8390762924169914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5.5004397225100753E-23</v>
      </c>
      <c r="ED197" s="24">
        <f t="shared" si="178"/>
        <v>3.8390762924169914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68.851638506253977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68.851638506253977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68.851638506253977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68.851638506253977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4.5049999999999999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16.518333333333334</v>
      </c>
      <c r="H198" s="70">
        <f t="shared" si="192"/>
        <v>147.64566666666667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68.871560010818797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5.3205440053716299E-14</v>
      </c>
      <c r="P198" s="14">
        <f t="shared" si="203"/>
        <v>8.602146238565607E-13</v>
      </c>
      <c r="Q198" s="22">
        <f t="shared" si="162"/>
        <v>1.590873277977066E-12</v>
      </c>
      <c r="R198" s="62">
        <f t="shared" si="191"/>
        <v>289.1957200396705</v>
      </c>
      <c r="S198" s="62">
        <f ca="1">AVERAGE(OFFSET($R$3,0,0,'Données projet'!$E$9+1,1))-AVERAGE(OFFSET($H$3,0,0,'Données projet'!$E$9+1,1))</f>
        <v>374.81775021423215</v>
      </c>
      <c r="T198" s="62">
        <f t="shared" si="204"/>
        <v>301.81248585467142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68.871560010818797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1.1527845344971866E-13</v>
      </c>
      <c r="AK198" s="14">
        <f t="shared" si="164"/>
        <v>1.7033846239409443E-12</v>
      </c>
      <c r="AL198" s="22">
        <f t="shared" si="165"/>
        <v>3.1675048597887374E-12</v>
      </c>
      <c r="AM198" s="62">
        <f t="shared" si="193"/>
        <v>289.1957200396721</v>
      </c>
      <c r="AN198" s="62">
        <f ca="1">AVERAGE(OFFSET($AM$3,0,0,'Données projet'!$E$10+1,1))-AVERAGE(OFFSET($H$3,0,0,'Données projet'!$E$10+1,1))</f>
        <v>468.39960552661171</v>
      </c>
      <c r="AO198" s="62">
        <f t="shared" si="205"/>
        <v>291.1952427029787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3.1180476004830811E-2</v>
      </c>
      <c r="AW198" s="23">
        <f>EXP(-LN(2)/2)*AW197+(1-EXP(-LN(2)/2))/(LN(2)/2)*AQ198*AT198*VLOOKUP('Données projet'!$B$10,Paramètres!$A$1:$I$89,3,0)*0.475*44/12</f>
        <v>2.056529485671607E-24</v>
      </c>
      <c r="AX198" s="23">
        <f t="shared" si="166"/>
        <v>3.1180476004830811E-2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68.871560010818797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-9.9316821433603781E-14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373.50005214669716</v>
      </c>
      <c r="BJ198" s="62">
        <f t="shared" si="206"/>
        <v>383.60460086643036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0.16333318494077359</v>
      </c>
      <c r="BR198" s="23">
        <f>EXP(-LN(2)/2)*BR197+(1-EXP(-LN(2)/2))/(LN(2)/2)*BL198*BO198*VLOOKUP('Données projet'!$B$11,Paramètres!$A$1:$I$89,3,0)*0.475*44/12</f>
        <v>2.1780071140628045E-24</v>
      </c>
      <c r="BS198" s="24">
        <f t="shared" si="169"/>
        <v>0.16333318494077359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68.871560010818797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210.13237351083279</v>
      </c>
      <c r="CE198" s="62">
        <f t="shared" si="207"/>
        <v>423.06475179432277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3.7637943479280183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3.8893982272947261E-23</v>
      </c>
      <c r="CN198" s="24">
        <f t="shared" si="172"/>
        <v>3.7637943479280183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68.871560010818797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493.89660144134291</v>
      </c>
      <c r="CZ198" s="62">
        <f t="shared" si="208"/>
        <v>312.97494624463229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9.4122567703755683E-2</v>
      </c>
      <c r="DH198" s="23">
        <f>EXP(-LN(2)/2)*DH197+(1-EXP(-LN(2)/2))/(LN(2)/2)*DB198*DE198*VLOOKUP('Données projet'!$B$13,Paramètres!$A$1:$I$89,3,0)*0.475*44/12</f>
        <v>2.1802005106671286E-24</v>
      </c>
      <c r="DI198" s="24">
        <f t="shared" si="175"/>
        <v>9.4122567703755683E-2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68.871560010818797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>
        <f>DO198*VLOOKUP('Données projet'!$B$14,Paramètres!$A$1:$I$89,3,0)*VLOOKUP('Données projet'!$B$14,Paramètres!$A$1:$I$89,5,0)</f>
        <v>0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210.13237351083279</v>
      </c>
      <c r="DU198" s="62">
        <f t="shared" si="209"/>
        <v>423.06475179432277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3.7637943479280183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3.8893982272947261E-23</v>
      </c>
      <c r="ED198" s="24">
        <f t="shared" si="178"/>
        <v>3.7637943479280183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68.871560010818797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68.871560010818797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68.871560010818797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68.871560010818797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4.5049999999999999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16.518333333333334</v>
      </c>
      <c r="H199" s="70">
        <f t="shared" si="192"/>
        <v>147.64566666666667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68.891135921817224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5.3205440053716299E-14</v>
      </c>
      <c r="P199" s="14">
        <f t="shared" si="203"/>
        <v>8.602146238565607E-13</v>
      </c>
      <c r="Q199" s="22">
        <f t="shared" si="162"/>
        <v>1.590873277977066E-12</v>
      </c>
      <c r="R199" s="62">
        <f t="shared" si="191"/>
        <v>289.26749837999807</v>
      </c>
      <c r="S199" s="62">
        <f ca="1">AVERAGE(OFFSET($R$3,0,0,'Données projet'!$E$9+1,1))-AVERAGE(OFFSET($H$3,0,0,'Données projet'!$E$9+1,1))</f>
        <v>374.81775021423215</v>
      </c>
      <c r="T199" s="62">
        <f t="shared" si="204"/>
        <v>301.81248585467142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68.891135921817224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1.1527845344971866E-13</v>
      </c>
      <c r="AK199" s="14">
        <f t="shared" si="164"/>
        <v>1.7033846239409443E-12</v>
      </c>
      <c r="AL199" s="22">
        <f t="shared" si="165"/>
        <v>3.1675048597887374E-12</v>
      </c>
      <c r="AM199" s="62">
        <f t="shared" si="193"/>
        <v>289.26749837999967</v>
      </c>
      <c r="AN199" s="62">
        <f ca="1">AVERAGE(OFFSET($AM$3,0,0,'Données projet'!$E$10+1,1))-AVERAGE(OFFSET($H$3,0,0,'Données projet'!$E$10+1,1))</f>
        <v>468.39960552661171</v>
      </c>
      <c r="AO199" s="62">
        <f t="shared" si="205"/>
        <v>291.1952427029787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3.0327844248768745E-2</v>
      </c>
      <c r="AW199" s="23">
        <f>EXP(-LN(2)/2)*AW198+(1-EXP(-LN(2)/2))/(LN(2)/2)*AQ199*AT199*VLOOKUP('Données projet'!$B$10,Paramètres!$A$1:$I$89,3,0)*0.475*44/12</f>
        <v>1.4541859450284761E-24</v>
      </c>
      <c r="AX199" s="23">
        <f t="shared" si="166"/>
        <v>3.0327844248768745E-2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68.891135921817224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-9.9316821433603781E-14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373.50005214669716</v>
      </c>
      <c r="BJ199" s="62">
        <f t="shared" si="206"/>
        <v>383.60460086643036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0.15886683040924923</v>
      </c>
      <c r="BR199" s="23">
        <f>EXP(-LN(2)/2)*BR198+(1-EXP(-LN(2)/2))/(LN(2)/2)*BL199*BO199*VLOOKUP('Données projet'!$B$11,Paramètres!$A$1:$I$89,3,0)*0.475*44/12</f>
        <v>1.5400835998263513E-24</v>
      </c>
      <c r="BS199" s="24">
        <f t="shared" si="169"/>
        <v>0.15886683040924923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68.891135921817224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210.13237351083279</v>
      </c>
      <c r="CE199" s="62">
        <f t="shared" si="207"/>
        <v>423.06475179432277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3.6899886364530219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2.7502198612550377E-23</v>
      </c>
      <c r="CN199" s="24">
        <f t="shared" si="172"/>
        <v>3.6899886364530219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68.891135921817224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493.89660144134291</v>
      </c>
      <c r="CZ199" s="62">
        <f t="shared" si="208"/>
        <v>312.97494624463229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9.1548781140205773E-2</v>
      </c>
      <c r="DH199" s="23">
        <f>EXP(-LN(2)/2)*DH198+(1-EXP(-LN(2)/2))/(LN(2)/2)*DB199*DE199*VLOOKUP('Données projet'!$B$13,Paramètres!$A$1:$I$89,3,0)*0.475*44/12</f>
        <v>1.5416345654391005E-24</v>
      </c>
      <c r="DI199" s="24">
        <f t="shared" si="175"/>
        <v>9.1548781140205773E-2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68.891135921817224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>
        <f>DO199*VLOOKUP('Données projet'!$B$14,Paramètres!$A$1:$I$89,3,0)*VLOOKUP('Données projet'!$B$14,Paramètres!$A$1:$I$89,5,0)</f>
        <v>0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210.13237351083279</v>
      </c>
      <c r="DU199" s="62">
        <f t="shared" si="209"/>
        <v>423.06475179432277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3.6899886364530219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2.7502198612550377E-23</v>
      </c>
      <c r="ED199" s="24">
        <f t="shared" si="178"/>
        <v>3.6899886364530219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68.891135921817224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68.891135921817224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68.891135921817224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68.891135921817224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4.5049999999999999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16.518333333333334</v>
      </c>
      <c r="H200" s="70">
        <f t="shared" si="192"/>
        <v>147.64566666666667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68.910372234524999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5.3205440053716299E-14</v>
      </c>
      <c r="P200" s="14">
        <f t="shared" si="203"/>
        <v>8.602146238565607E-13</v>
      </c>
      <c r="Q200" s="22">
        <f t="shared" si="162"/>
        <v>1.590873277977066E-12</v>
      </c>
      <c r="R200" s="62">
        <f t="shared" si="191"/>
        <v>289.33803152659328</v>
      </c>
      <c r="S200" s="62">
        <f ca="1">AVERAGE(OFFSET($R$3,0,0,'Données projet'!$E$9+1,1))-AVERAGE(OFFSET($H$3,0,0,'Données projet'!$E$9+1,1))</f>
        <v>374.81775021423215</v>
      </c>
      <c r="T200" s="62">
        <f t="shared" si="204"/>
        <v>301.81248585467142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68.910372234524999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1.1527845344971866E-13</v>
      </c>
      <c r="AK200" s="14">
        <f t="shared" si="164"/>
        <v>1.7033846239409443E-12</v>
      </c>
      <c r="AL200" s="22">
        <f t="shared" si="165"/>
        <v>3.1675048597887374E-12</v>
      </c>
      <c r="AM200" s="62">
        <f t="shared" si="193"/>
        <v>289.33803152659488</v>
      </c>
      <c r="AN200" s="62">
        <f ca="1">AVERAGE(OFFSET($AM$3,0,0,'Données projet'!$E$10+1,1))-AVERAGE(OFFSET($H$3,0,0,'Données projet'!$E$10+1,1))</f>
        <v>468.39960552661171</v>
      </c>
      <c r="AO200" s="62">
        <f t="shared" si="205"/>
        <v>291.1952427029787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2.9498527752914151E-2</v>
      </c>
      <c r="AW200" s="23">
        <f>EXP(-LN(2)/2)*AW199+(1-EXP(-LN(2)/2))/(LN(2)/2)*AQ200*AT200*VLOOKUP('Données projet'!$B$10,Paramètres!$A$1:$I$89,3,0)*0.475*44/12</f>
        <v>1.0282647428358035E-24</v>
      </c>
      <c r="AX200" s="23">
        <f t="shared" si="166"/>
        <v>2.9498527752914151E-2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68.910372234524999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-9.9316821433603781E-14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373.50005214669716</v>
      </c>
      <c r="BJ200" s="62">
        <f t="shared" si="206"/>
        <v>383.60460086643036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0.1545226085772648</v>
      </c>
      <c r="BR200" s="23">
        <f>EXP(-LN(2)/2)*BR199+(1-EXP(-LN(2)/2))/(LN(2)/2)*BL200*BO200*VLOOKUP('Données projet'!$B$11,Paramètres!$A$1:$I$89,3,0)*0.475*44/12</f>
        <v>1.0890035570314022E-24</v>
      </c>
      <c r="BS200" s="24">
        <f t="shared" si="169"/>
        <v>0.1545226085772648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68.910372234524999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210.13237351083279</v>
      </c>
      <c r="CE200" s="62">
        <f t="shared" si="207"/>
        <v>423.06475179432277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3.6176302099630111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1.944699113647363E-23</v>
      </c>
      <c r="CN200" s="24">
        <f t="shared" si="172"/>
        <v>3.6176302099630111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68.910372234524999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493.89660144134291</v>
      </c>
      <c r="CZ200" s="62">
        <f t="shared" si="208"/>
        <v>312.97494624463229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8.9045374905585686E-2</v>
      </c>
      <c r="DH200" s="23">
        <f>EXP(-LN(2)/2)*DH199+(1-EXP(-LN(2)/2))/(LN(2)/2)*DB200*DE200*VLOOKUP('Données projet'!$B$13,Paramètres!$A$1:$I$89,3,0)*0.475*44/12</f>
        <v>1.0901002553335643E-24</v>
      </c>
      <c r="DI200" s="24">
        <f t="shared" si="175"/>
        <v>8.9045374905585686E-2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68.910372234524999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>
        <f>DO200*VLOOKUP('Données projet'!$B$14,Paramètres!$A$1:$I$89,3,0)*VLOOKUP('Données projet'!$B$14,Paramètres!$A$1:$I$89,5,0)</f>
        <v>0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210.13237351083279</v>
      </c>
      <c r="DU200" s="62">
        <f t="shared" si="209"/>
        <v>423.06475179432277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3.6176302099630111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1.944699113647363E-23</v>
      </c>
      <c r="ED200" s="24">
        <f t="shared" si="178"/>
        <v>3.6176302099630111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68.910372234524999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68.910372234524999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68.910372234524999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68.910372234524999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4.5049999999999999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16.518333333333334</v>
      </c>
      <c r="H201" s="70">
        <f t="shared" si="192"/>
        <v>147.64566666666667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68.929274840213239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5.3205440053716299E-14</v>
      </c>
      <c r="P201" s="14">
        <f t="shared" si="203"/>
        <v>8.602146238565607E-13</v>
      </c>
      <c r="Q201" s="22">
        <f t="shared" si="162"/>
        <v>1.590873277977066E-12</v>
      </c>
      <c r="R201" s="62">
        <f t="shared" si="191"/>
        <v>289.40734108078345</v>
      </c>
      <c r="S201" s="62">
        <f ca="1">AVERAGE(OFFSET($R$3,0,0,'Données projet'!$E$9+1,1))-AVERAGE(OFFSET($H$3,0,0,'Données projet'!$E$9+1,1))</f>
        <v>374.81775021423215</v>
      </c>
      <c r="T201" s="62">
        <f t="shared" si="204"/>
        <v>301.81248585467142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68.929274840213239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1.1527845344971866E-13</v>
      </c>
      <c r="AK201" s="14">
        <f t="shared" si="164"/>
        <v>1.7033846239409443E-12</v>
      </c>
      <c r="AL201" s="22">
        <f t="shared" si="165"/>
        <v>3.1675048597887374E-12</v>
      </c>
      <c r="AM201" s="62">
        <f t="shared" si="193"/>
        <v>289.40734108078505</v>
      </c>
      <c r="AN201" s="62">
        <f ca="1">AVERAGE(OFFSET($AM$3,0,0,'Données projet'!$E$10+1,1))-AVERAGE(OFFSET($H$3,0,0,'Données projet'!$E$10+1,1))</f>
        <v>468.39960552661171</v>
      </c>
      <c r="AO201" s="62">
        <f t="shared" si="205"/>
        <v>291.1952427029787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2.8691888960250558E-2</v>
      </c>
      <c r="AW201" s="23">
        <f>EXP(-LN(2)/2)*AW200+(1-EXP(-LN(2)/2))/(LN(2)/2)*AQ201*AT201*VLOOKUP('Données projet'!$B$10,Paramètres!$A$1:$I$89,3,0)*0.475*44/12</f>
        <v>7.2709297251423806E-25</v>
      </c>
      <c r="AX201" s="23">
        <f t="shared" si="166"/>
        <v>2.8691888960250558E-2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68.929274840213239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-9.9316821433603781E-14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373.50005214669716</v>
      </c>
      <c r="BJ201" s="62">
        <f t="shared" si="206"/>
        <v>383.60460086643036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0.15029717971972867</v>
      </c>
      <c r="BR201" s="23">
        <f>EXP(-LN(2)/2)*BR200+(1-EXP(-LN(2)/2))/(LN(2)/2)*BL201*BO201*VLOOKUP('Données projet'!$B$11,Paramètres!$A$1:$I$89,3,0)*0.475*44/12</f>
        <v>7.7004179991317567E-25</v>
      </c>
      <c r="BS201" s="24">
        <f t="shared" si="169"/>
        <v>0.15029717971972867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68.929274840213239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210.13237351083279</v>
      </c>
      <c r="CE201" s="62">
        <f t="shared" si="207"/>
        <v>423.06475179432277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3.5466906880821871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1.3751099306275188E-23</v>
      </c>
      <c r="CN201" s="24">
        <f t="shared" si="172"/>
        <v>3.5466906880821871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68.929274840213239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493.89660144134291</v>
      </c>
      <c r="CZ201" s="62">
        <f t="shared" si="208"/>
        <v>312.97494624463229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8.661042444609969E-2</v>
      </c>
      <c r="DH201" s="23">
        <f>EXP(-LN(2)/2)*DH200+(1-EXP(-LN(2)/2))/(LN(2)/2)*DB201*DE201*VLOOKUP('Données projet'!$B$13,Paramètres!$A$1:$I$89,3,0)*0.475*44/12</f>
        <v>7.7081728271955023E-25</v>
      </c>
      <c r="DI201" s="24">
        <f t="shared" si="175"/>
        <v>8.661042444609969E-2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68.929274840213239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>
        <f>DO201*VLOOKUP('Données projet'!$B$14,Paramètres!$A$1:$I$89,3,0)*VLOOKUP('Données projet'!$B$14,Paramètres!$A$1:$I$89,5,0)</f>
        <v>0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210.13237351083279</v>
      </c>
      <c r="DU201" s="62">
        <f t="shared" si="209"/>
        <v>423.06475179432277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3.5466906880821871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1.3751099306275188E-23</v>
      </c>
      <c r="ED201" s="24">
        <f t="shared" si="178"/>
        <v>3.5466906880821871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68.929274840213239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68.929274840213239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68.929274840213239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68.929274840213239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4.5049999999999999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16.518333333333334</v>
      </c>
      <c r="H202" s="70">
        <f t="shared" si="192"/>
        <v>147.64566666666667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68.947849527952712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5.3205440053716299E-14</v>
      </c>
      <c r="P202" s="14">
        <f t="shared" si="203"/>
        <v>8.602146238565607E-13</v>
      </c>
      <c r="Q202" s="22">
        <f t="shared" si="162"/>
        <v>1.590873277977066E-12</v>
      </c>
      <c r="R202" s="62">
        <f t="shared" si="191"/>
        <v>289.47544826916152</v>
      </c>
      <c r="S202" s="62">
        <f ca="1">AVERAGE(OFFSET($R$3,0,0,'Données projet'!$E$9+1,1))-AVERAGE(OFFSET($H$3,0,0,'Données projet'!$E$9+1,1))</f>
        <v>374.81775021423215</v>
      </c>
      <c r="T202" s="62">
        <f t="shared" si="204"/>
        <v>301.81248585467142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68.947849527952712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1.1527845344971866E-13</v>
      </c>
      <c r="AK202" s="14">
        <f t="shared" si="164"/>
        <v>1.7033846239409443E-12</v>
      </c>
      <c r="AL202" s="22">
        <f t="shared" si="165"/>
        <v>3.1675048597887374E-12</v>
      </c>
      <c r="AM202" s="62">
        <f t="shared" si="193"/>
        <v>289.47544826916311</v>
      </c>
      <c r="AN202" s="62">
        <f ca="1">AVERAGE(OFFSET($AM$3,0,0,'Données projet'!$E$10+1,1))-AVERAGE(OFFSET($H$3,0,0,'Données projet'!$E$10+1,1))</f>
        <v>468.39960552661171</v>
      </c>
      <c r="AO202" s="62">
        <f t="shared" si="205"/>
        <v>291.1952427029787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2.7907307747791644E-2</v>
      </c>
      <c r="AW202" s="23">
        <f>EXP(-LN(2)/2)*AW201+(1-EXP(-LN(2)/2))/(LN(2)/2)*AQ202*AT202*VLOOKUP('Données projet'!$B$10,Paramètres!$A$1:$I$89,3,0)*0.475*44/12</f>
        <v>5.1413237141790174E-25</v>
      </c>
      <c r="AX202" s="23">
        <f t="shared" si="166"/>
        <v>2.7907307747791644E-2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68.947849527952712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-9.9316821433603781E-14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373.50005214669716</v>
      </c>
      <c r="BJ202" s="62">
        <f t="shared" si="206"/>
        <v>383.60460086643036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0.14618729543650752</v>
      </c>
      <c r="BR202" s="23">
        <f>EXP(-LN(2)/2)*BR201+(1-EXP(-LN(2)/2))/(LN(2)/2)*BL202*BO202*VLOOKUP('Données projet'!$B$11,Paramètres!$A$1:$I$89,3,0)*0.475*44/12</f>
        <v>5.4450177851570112E-25</v>
      </c>
      <c r="BS202" s="24">
        <f t="shared" si="169"/>
        <v>0.14618729543650752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68.947849527952712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210.13237351083279</v>
      </c>
      <c r="CE202" s="62">
        <f t="shared" si="207"/>
        <v>423.06475179432277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3.47714224695661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9.7234955682368152E-24</v>
      </c>
      <c r="CN202" s="24">
        <f t="shared" si="172"/>
        <v>3.47714224695661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68.947849527952712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493.89660144134291</v>
      </c>
      <c r="CZ202" s="62">
        <f t="shared" si="208"/>
        <v>312.97494624463229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8.4242057834976819E-2</v>
      </c>
      <c r="DH202" s="23">
        <f>EXP(-LN(2)/2)*DH201+(1-EXP(-LN(2)/2))/(LN(2)/2)*DB202*DE202*VLOOKUP('Données projet'!$B$13,Paramètres!$A$1:$I$89,3,0)*0.475*44/12</f>
        <v>5.4505012766678214E-25</v>
      </c>
      <c r="DI202" s="24">
        <f t="shared" si="175"/>
        <v>8.4242057834976819E-2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68.947849527952712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>
        <f>DO202*VLOOKUP('Données projet'!$B$14,Paramètres!$A$1:$I$89,3,0)*VLOOKUP('Données projet'!$B$14,Paramètres!$A$1:$I$89,5,0)</f>
        <v>0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210.13237351083279</v>
      </c>
      <c r="DU202" s="62">
        <f t="shared" si="209"/>
        <v>423.06475179432277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3.47714224695661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9.7234955682368152E-24</v>
      </c>
      <c r="ED202" s="24">
        <f t="shared" si="178"/>
        <v>3.47714224695661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68.947849527952712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68.947849527952712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68.947849527952712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68.947849527952712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4.5049999999999999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35.762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16.518333333333334</v>
      </c>
      <c r="H203" s="70">
        <f t="shared" si="192"/>
        <v>147.64566666666667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68.966101986386676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5.3205440053716299E-14</v>
      </c>
      <c r="P203" s="14">
        <f t="shared" si="203"/>
        <v>8.602146238565607E-13</v>
      </c>
      <c r="Q203" s="22">
        <f t="shared" si="162"/>
        <v>1.590873277977066E-12</v>
      </c>
      <c r="R203" s="62">
        <f t="shared" si="191"/>
        <v>289.54237395008607</v>
      </c>
      <c r="S203" s="62">
        <f ca="1">AVERAGE(OFFSET($R$3,0,0,'Données projet'!$E$9+1,1))-AVERAGE(OFFSET($H$3,0,0,'Données projet'!$E$9+1,1))</f>
        <v>374.81775021423215</v>
      </c>
      <c r="T203" s="62">
        <f t="shared" si="204"/>
        <v>301.81248585467142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68.966101986386676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1.1527845344971866E-13</v>
      </c>
      <c r="AK203" s="14">
        <f t="shared" si="164"/>
        <v>1.7033846239409443E-12</v>
      </c>
      <c r="AL203" s="22">
        <f t="shared" si="165"/>
        <v>3.1675048597887374E-12</v>
      </c>
      <c r="AM203" s="62">
        <f t="shared" si="193"/>
        <v>289.54237395008766</v>
      </c>
      <c r="AN203" s="62">
        <f ca="1">AVERAGE(OFFSET($AM$3,0,0,'Données projet'!$E$10+1,1))-AVERAGE(OFFSET($H$3,0,0,'Données projet'!$E$10+1,1))</f>
        <v>468.39960552661171</v>
      </c>
      <c r="AO203" s="62">
        <f t="shared" si="205"/>
        <v>291.1952427029787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2.714418094984675E-2</v>
      </c>
      <c r="AW203" s="23">
        <f>EXP(-LN(2)/2)*AW202+(1-EXP(-LN(2)/2))/(LN(2)/2)*AQ203*AT203*VLOOKUP('Données projet'!$B$10,Paramètres!$A$1:$I$89,3,0)*0.475*44/12</f>
        <v>3.6354648625711903E-25</v>
      </c>
      <c r="AX203" s="23">
        <f t="shared" si="166"/>
        <v>2.714418094984675E-2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68.966101986386676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-9.9316821433603781E-14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373.50005214669716</v>
      </c>
      <c r="BJ203" s="62">
        <f t="shared" si="206"/>
        <v>383.60460086643036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0.14218979615514046</v>
      </c>
      <c r="BR203" s="23">
        <f>EXP(-LN(2)/2)*BR202+(1-EXP(-LN(2)/2))/(LN(2)/2)*BL203*BO203*VLOOKUP('Données projet'!$B$11,Paramètres!$A$1:$I$89,3,0)*0.475*44/12</f>
        <v>3.8502089995658784E-25</v>
      </c>
      <c r="BS203" s="24">
        <f t="shared" si="169"/>
        <v>0.14218979615514046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68.966101986386676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210.13237351083279</v>
      </c>
      <c r="CE203" s="62">
        <f t="shared" si="207"/>
        <v>423.06475179432277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3.408957608341145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6.8755496531375942E-24</v>
      </c>
      <c r="CN203" s="24">
        <f t="shared" si="172"/>
        <v>3.408957608341145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68.966101986386676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493.89660144134291</v>
      </c>
      <c r="CZ203" s="62">
        <f t="shared" si="208"/>
        <v>312.97494624463229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8.1938454333382094E-2</v>
      </c>
      <c r="DH203" s="23">
        <f>EXP(-LN(2)/2)*DH202+(1-EXP(-LN(2)/2))/(LN(2)/2)*DB203*DE203*VLOOKUP('Données projet'!$B$13,Paramètres!$A$1:$I$89,3,0)*0.475*44/12</f>
        <v>3.8540864135977511E-25</v>
      </c>
      <c r="DI203" s="24">
        <f t="shared" si="175"/>
        <v>8.1938454333382094E-2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68.966101986386676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>
        <f>DO203*VLOOKUP('Données projet'!$B$14,Paramètres!$A$1:$I$89,3,0)*VLOOKUP('Données projet'!$B$14,Paramètres!$A$1:$I$89,5,0)</f>
        <v>0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210.13237351083279</v>
      </c>
      <c r="DU203" s="62">
        <f t="shared" si="209"/>
        <v>423.06475179432277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3.408957608341145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6.8755496531375942E-24</v>
      </c>
      <c r="ED203" s="24">
        <f t="shared" si="178"/>
        <v>3.408957608341145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68.966101986386676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68.966101986386676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68.966101986386676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68.966101986386676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1.1278916335706877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>
        <f>EXP(LN('Données projet'!B88)/'Données projet'!A88)</f>
        <v>1.2765231539157764</v>
      </c>
      <c r="BV205" s="88">
        <f>EXP(LN('Données projet'!B114)/'Données projet'!A114)</f>
        <v>1.4261938757879591</v>
      </c>
      <c r="CQ205" s="88">
        <f>EXP(LN('Données projet'!B140)/'Données projet'!A140)</f>
        <v>1.2392705892426346</v>
      </c>
      <c r="DL205" s="88">
        <f>EXP(LN('Données projet'!B166)/'Données projet'!A166)</f>
        <v>1.4261938757879591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16" sqref="M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2.2016</v>
      </c>
      <c r="C6" s="156">
        <f ca="1">IF(OR('Données projet'!B9="",'Données projet'!C9="",'Données projet'!C9=0%),0,Calculateur!S3)</f>
        <v>374.81775021423215</v>
      </c>
      <c r="D6" s="156">
        <f>IF(OR('Données projet'!B9="",'Données projet'!C9="",'Données projet'!C9=0%),0,Calculateur!T3)</f>
        <v>301.81248585467142</v>
      </c>
      <c r="E6" s="156">
        <f ca="1">MIN(C6,D6)</f>
        <v>301.81248585467142</v>
      </c>
      <c r="F6" s="156">
        <f ca="1">E6*B6</f>
        <v>664.47036885764464</v>
      </c>
      <c r="G6" s="156">
        <f ca="1">F6*(100%-'Données projet'!$C$24)*(100%-'Données projet'!$C$25)*(100%-'Données projet'!$C$26)*(100%-'Données projet'!$C$27)</f>
        <v>598.02333197188022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598.02333197188022</v>
      </c>
      <c r="M6" s="25">
        <f ca="1">L6/B6</f>
        <v>271.63123726920429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2.9068000000000001</v>
      </c>
      <c r="C7" s="156">
        <f ca="1">IF(OR('Données projet'!B10="",'Données projet'!C10="",'Données projet'!C10=0%),0,Calculateur!AN3)</f>
        <v>468.39960552661171</v>
      </c>
      <c r="D7" s="156">
        <f>IF(OR('Données projet'!B10="",'Données projet'!C10="",'Données projet'!C10=0%),0,Calculateur!AO3)</f>
        <v>291.1952427029787</v>
      </c>
      <c r="E7" s="156">
        <f t="shared" ref="E7:E15" ca="1" si="0">MIN(C7,D7)</f>
        <v>291.1952427029787</v>
      </c>
      <c r="F7" s="156">
        <f t="shared" ref="F7:F15" ca="1" si="1">E7*B7</f>
        <v>846.44633148901846</v>
      </c>
      <c r="G7" s="156">
        <f ca="1">F7*(100%-'Données projet'!$C$24)*(100%-'Données projet'!$C$25)*(100%-'Données projet'!$C$26)*(100%-'Données projet'!$C$27)</f>
        <v>761.80169834011667</v>
      </c>
      <c r="H7" s="164">
        <f>IF(OR('Données projet'!B10="",'Données projet'!C10="",'Données projet'!C10=0%),0,AVERAGE(Calculateur!$AX$3:$AX$33)*B7)</f>
        <v>1.6023699726250098</v>
      </c>
      <c r="I7" s="158">
        <f>H7*(100%-'Données projet'!$C$24)*(100%-'Données projet'!$C$25)*(100%-'Données projet'!$C$26)*(100%-'Données projet'!$C$27)</f>
        <v>1.442132975362509</v>
      </c>
      <c r="J7" s="159">
        <f>IF(OR('Données projet'!B10="",'Données projet'!C10="",'Données projet'!C10=0%),0,SUM(Calculateur!$AQ$3:$AQ$33)*VLOOKUP('Données projet'!$B$10,Paramètres!$A$1:$I$89,9,0)*B7)</f>
        <v>21.074300000000001</v>
      </c>
      <c r="K7" s="160">
        <f>J7*(100%-'Données projet'!$C$24)*(100%-'Données projet'!$C$25)*(100%-'Données projet'!$C$26)*(100%-'Données projet'!$C$27)</f>
        <v>18.96687</v>
      </c>
      <c r="L7" s="161">
        <f t="shared" ref="L7:L15" ca="1" si="2">G7+I7+K7</f>
        <v>782.21070131547913</v>
      </c>
      <c r="M7" s="25">
        <f ca="1">L7/B7</f>
        <v>269.09684234053913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rouge d'Amérique</v>
      </c>
      <c r="B8" s="163">
        <f>'Données projet'!D11</f>
        <v>3.4056000000000002</v>
      </c>
      <c r="C8" s="156">
        <f ca="1">IF(OR('Données projet'!B11="",'Données projet'!C11="",'Données projet'!C11=0%),0,Calculateur!BI3)</f>
        <v>373.50005214669716</v>
      </c>
      <c r="D8" s="156">
        <f>IF(OR('Données projet'!B11="",'Données projet'!C11="",'Données projet'!C11=0%),0,Calculateur!BJ3)</f>
        <v>383.60460086643036</v>
      </c>
      <c r="E8" s="156">
        <f t="shared" ca="1" si="0"/>
        <v>373.50005214669716</v>
      </c>
      <c r="F8" s="156">
        <f t="shared" ca="1" si="1"/>
        <v>1271.9917775907918</v>
      </c>
      <c r="G8" s="156">
        <f ca="1">F8*(100%-'Données projet'!$C$24)*(100%-'Données projet'!$C$25)*(100%-'Données projet'!$C$26)*(100%-'Données projet'!$C$27)</f>
        <v>1144.7925998317126</v>
      </c>
      <c r="H8" s="164">
        <f>IF(OR('Données projet'!B11="",'Données projet'!C11="",'Données projet'!C11=0%),0,AVERAGE(Calculateur!$BS$3:$BS$33)*B8)</f>
        <v>12.06499754439751</v>
      </c>
      <c r="I8" s="158">
        <f>H8*(100%-'Données projet'!$C$24)*(100%-'Données projet'!$C$25)*(100%-'Données projet'!$C$26)*(100%-'Données projet'!$C$27)</f>
        <v>10.858497789957759</v>
      </c>
      <c r="J8" s="159">
        <f>IF(OR('Données projet'!B11="",'Données projet'!C11="",'Données projet'!C11=0%),0,SUM(Calculateur!$BL$3:$BL$33)*VLOOKUP('Données projet'!$B$11,Paramètres!$A$1:$I$89,9,0)*B8)</f>
        <v>105.5736</v>
      </c>
      <c r="K8" s="160">
        <f>J8*(100%-'Données projet'!$C$24)*(100%-'Données projet'!$C$25)*(100%-'Données projet'!$C$26)*(100%-'Données projet'!$C$27)</f>
        <v>95.016239999999996</v>
      </c>
      <c r="L8" s="161">
        <f t="shared" ca="1" si="2"/>
        <v>1250.6673376216702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Pin taeda</v>
      </c>
      <c r="B9" s="163">
        <f>'Données projet'!D12</f>
        <v>4.7988</v>
      </c>
      <c r="C9" s="156">
        <f ca="1">IF(OR('Données projet'!B12="",'Données projet'!C12="",'Données projet'!C12=0%),0,Calculateur!CD3)</f>
        <v>210.13237351083279</v>
      </c>
      <c r="D9" s="156">
        <f>IF(OR('Données projet'!B12="",'Données projet'!C12="",'Données projet'!C12=0%),0,Calculateur!CE3)</f>
        <v>423.06475179432277</v>
      </c>
      <c r="E9" s="156">
        <f t="shared" ca="1" si="0"/>
        <v>210.13237351083279</v>
      </c>
      <c r="F9" s="156">
        <f t="shared" ca="1" si="1"/>
        <v>1008.3832340037844</v>
      </c>
      <c r="G9" s="156">
        <f ca="1">F9*(100%-'Données projet'!$C$24)*(100%-'Données projet'!$C$25)*(100%-'Données projet'!$C$26)*(100%-'Données projet'!$C$27)</f>
        <v>907.54491060340604</v>
      </c>
      <c r="H9" s="164">
        <f>IF(OR('Données projet'!B12="",'Données projet'!C12="",'Données projet'!C12=0%),0,AVERAGE(Calculateur!$CN$3:$CN$33)*B9)</f>
        <v>46.471492748485694</v>
      </c>
      <c r="I9" s="158">
        <f>H9*(100%-'Données projet'!$C$24)*(100%-'Données projet'!$C$25)*(100%-'Données projet'!$C$26)*(100%-'Données projet'!$C$27)</f>
        <v>41.824343473637128</v>
      </c>
      <c r="J9" s="159">
        <f>IF(OR('Données projet'!B12="",'Données projet'!C12="",'Données projet'!C12=0%),0,SUM(Calculateur!$CG$3:$CG$33)*VLOOKUP('Données projet'!$B$12,Paramètres!$A$1:$I$89,9,0)*B9)</f>
        <v>247.61807999999999</v>
      </c>
      <c r="K9" s="160">
        <f>J9*(100%-'Données projet'!$C$24)*(100%-'Données projet'!$C$25)*(100%-'Données projet'!$C$26)*(100%-'Données projet'!$C$27)</f>
        <v>222.85627199999999</v>
      </c>
      <c r="L9" s="161">
        <f t="shared" ca="1" si="2"/>
        <v>1172.225526077043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Chêne sessile</v>
      </c>
      <c r="B10" s="163">
        <f>'Données projet'!D13</f>
        <v>1.7028000000000001</v>
      </c>
      <c r="C10" s="156">
        <f ca="1">IF(OR('Données projet'!B13="",'Données projet'!C13="",'Données projet'!C13=0%),0,Calculateur!CY3)</f>
        <v>493.89660144134291</v>
      </c>
      <c r="D10" s="156">
        <f>IF(OR('Données projet'!B13="",'Données projet'!C13="",'Données projet'!C13=0%),0,Calculateur!CZ3)</f>
        <v>312.97494624463229</v>
      </c>
      <c r="E10" s="156">
        <f t="shared" ca="1" si="0"/>
        <v>312.97494624463229</v>
      </c>
      <c r="F10" s="156">
        <f t="shared" ca="1" si="1"/>
        <v>532.93373846535985</v>
      </c>
      <c r="G10" s="156">
        <f ca="1">F10*(100%-'Données projet'!$C$24)*(100%-'Données projet'!$C$25)*(100%-'Données projet'!$C$26)*(100%-'Données projet'!$C$27)</f>
        <v>479.64036461882387</v>
      </c>
      <c r="H10" s="164">
        <f>IF(OR('Données projet'!B13="",'Données projet'!C13="",'Données projet'!C13=0%),0,AVERAGE(Calculateur!$DI$3:$DI$33)*B10)</f>
        <v>4.8395410708741666</v>
      </c>
      <c r="I10" s="158">
        <f>H10*(100%-'Données projet'!$C$24)*(100%-'Données projet'!$C$25)*(100%-'Données projet'!$C$26)*(100%-'Données projet'!$C$27)</f>
        <v>4.3555869637867497</v>
      </c>
      <c r="J10" s="159">
        <f>IF(OR('Données projet'!B13="",'Données projet'!C13="",'Données projet'!C13=0%),0,SUM(Calculateur!$DB$3:$DB$33)*VLOOKUP('Données projet'!$B$13,Paramètres!$A$1:$I$89,9,0)*B10)</f>
        <v>26.3934</v>
      </c>
      <c r="K10" s="160">
        <f>J10*(100%-'Données projet'!$C$24)*(100%-'Données projet'!$C$25)*(100%-'Données projet'!$C$26)*(100%-'Données projet'!$C$27)</f>
        <v>23.754059999999999</v>
      </c>
      <c r="L10" s="161">
        <f t="shared" ca="1" si="2"/>
        <v>507.75001158261063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Pin maritime</v>
      </c>
      <c r="B11" s="163">
        <f>'Données projet'!D14</f>
        <v>2.1844000000000001</v>
      </c>
      <c r="C11" s="156">
        <f ca="1">IF(OR('Données projet'!B14="",'Données projet'!C14="",'Données projet'!C14=0%),0,Calculateur!DT3)</f>
        <v>210.13237351083279</v>
      </c>
      <c r="D11" s="156">
        <f>IF(OR('Données projet'!B14="",'Données projet'!C14="",'Données projet'!C14=0%),0,Calculateur!DU3)</f>
        <v>423.06475179432277</v>
      </c>
      <c r="E11" s="156">
        <f t="shared" ca="1" si="0"/>
        <v>210.13237351083279</v>
      </c>
      <c r="F11" s="156">
        <f t="shared" ca="1" si="1"/>
        <v>459.01315669706315</v>
      </c>
      <c r="G11" s="156">
        <f ca="1">F11*(100%-'Données projet'!$C$24)*(100%-'Données projet'!$C$25)*(100%-'Données projet'!$C$26)*(100%-'Données projet'!$C$27)</f>
        <v>413.11184102735683</v>
      </c>
      <c r="H11" s="164">
        <f>IF(OR('Données projet'!B14="",'Données projet'!C14="",'Données projet'!C14=0%),0,AVERAGE(Calculateur!$ED$3:$ED$33)*B11)</f>
        <v>21.153690247518579</v>
      </c>
      <c r="I11" s="158">
        <f>H11*(100%-'Données projet'!$C$24)*(100%-'Données projet'!$C$25)*(100%-'Données projet'!$C$26)*(100%-'Données projet'!$C$27)</f>
        <v>19.038321222766722</v>
      </c>
      <c r="J11" s="159">
        <f>IF(OR('Données projet'!B14="",'Données projet'!C14="",'Données projet'!C14=0%),0,SUM(Calculateur!$DW$3:$DW$33)*VLOOKUP('Données projet'!$B$14,Paramètres!$A$1:$I$89,9,0)*B11)</f>
        <v>154.65552</v>
      </c>
      <c r="K11" s="160">
        <f>J11*(100%-'Données projet'!$C$24)*(100%-'Données projet'!$C$25)*(100%-'Données projet'!$C$26)*(100%-'Données projet'!$C$27)</f>
        <v>139.18996799999999</v>
      </c>
      <c r="L11" s="161">
        <f t="shared" ca="1" si="2"/>
        <v>571.34013025012359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4783.2386071036626</v>
      </c>
      <c r="G16" s="175">
        <f t="shared" ca="1" si="3"/>
        <v>4304.9147463932959</v>
      </c>
      <c r="H16" s="176">
        <f t="shared" si="3"/>
        <v>86.132091583900959</v>
      </c>
      <c r="I16" s="176">
        <f t="shared" si="3"/>
        <v>77.518882425510867</v>
      </c>
      <c r="J16" s="177">
        <f t="shared" si="3"/>
        <v>555.31489999999997</v>
      </c>
      <c r="K16" s="177">
        <f t="shared" si="3"/>
        <v>499.78341</v>
      </c>
      <c r="L16" s="178">
        <f t="shared" ca="1" si="3"/>
        <v>4882.2170388188069</v>
      </c>
      <c r="M16" s="25">
        <f ca="1">L16/17.2</f>
        <v>283.84982783830276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rouge d'Amérique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Pin taeda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Chêne sessile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Pin maritime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I33" sqref="I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1221.3452997251002</v>
      </c>
      <c r="U10" s="190">
        <f>'Données projet'!D9</f>
        <v>2.2016</v>
      </c>
      <c r="V10" s="189">
        <f>U10*T10</f>
        <v>2688.9138118747805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534.7393993298042</v>
      </c>
      <c r="U11" s="190">
        <f>'Données projet'!D10</f>
        <v>2.9068000000000001</v>
      </c>
      <c r="V11" s="189">
        <f t="shared" ref="V11" si="0">U11*T11</f>
        <v>1554.3804859718748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rouge d'Amérique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981.53929453486364</v>
      </c>
      <c r="U12" s="190">
        <f>'Données projet'!D11</f>
        <v>3.4056000000000002</v>
      </c>
      <c r="V12" s="189">
        <f t="shared" ref="V12:V19" si="1">U12*T12</f>
        <v>3342.7302214679316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taeda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3712.8763554282432</v>
      </c>
      <c r="U13" s="190">
        <f>'Données projet'!D12</f>
        <v>4.7988</v>
      </c>
      <c r="V13" s="189">
        <f t="shared" si="1"/>
        <v>17817.351054429055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sessile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910.11277300185668</v>
      </c>
      <c r="U14" s="190">
        <f>'Données projet'!D13</f>
        <v>1.7028000000000001</v>
      </c>
      <c r="V14" s="189">
        <f t="shared" si="1"/>
        <v>1549.7400298675616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Pin maritime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3712.8763554282432</v>
      </c>
      <c r="U15" s="190">
        <f>'Données projet'!D14</f>
        <v>2.1844000000000001</v>
      </c>
      <c r="V15" s="189">
        <f t="shared" si="1"/>
        <v>8110.4071107974551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63345.25/17.2</f>
        <v>3682.8633720930234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36543/17.2</f>
        <v>2124.5930232558139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49</v>
      </c>
      <c r="B23" s="193">
        <f>'Données projet'!D36</f>
        <v>105</v>
      </c>
      <c r="C23" s="206">
        <v>15</v>
      </c>
      <c r="D23" s="194">
        <f>B23*C23</f>
        <v>1575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-61745.246893658921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56</v>
      </c>
      <c r="B24" s="193">
        <f>'Données projet'!D37</f>
        <v>74</v>
      </c>
      <c r="C24" s="206">
        <v>20</v>
      </c>
      <c r="D24" s="194">
        <f t="shared" ref="D24:D42" si="2">B24*C24</f>
        <v>1480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63</v>
      </c>
      <c r="B25" s="193">
        <f>'Données projet'!D38</f>
        <v>77</v>
      </c>
      <c r="C25" s="206">
        <v>35</v>
      </c>
      <c r="D25" s="194">
        <f t="shared" si="2"/>
        <v>2695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-61745.246893658921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71</v>
      </c>
      <c r="B26" s="193">
        <f>'Données projet'!D39</f>
        <v>89</v>
      </c>
      <c r="C26" s="206">
        <v>40</v>
      </c>
      <c r="D26" s="194">
        <f t="shared" si="2"/>
        <v>3560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79</v>
      </c>
      <c r="B27" s="193">
        <f>'Données projet'!D40</f>
        <v>84</v>
      </c>
      <c r="C27" s="206">
        <v>45</v>
      </c>
      <c r="D27" s="194">
        <f t="shared" si="2"/>
        <v>3780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87</v>
      </c>
      <c r="B28" s="193">
        <f>'Données projet'!D41</f>
        <v>85</v>
      </c>
      <c r="C28" s="206">
        <v>45</v>
      </c>
      <c r="D28" s="194">
        <f t="shared" si="2"/>
        <v>3825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95</v>
      </c>
      <c r="B29" s="193">
        <f>'Données projet'!D42</f>
        <v>509</v>
      </c>
      <c r="C29" s="206">
        <v>50</v>
      </c>
      <c r="D29" s="194">
        <f t="shared" si="2"/>
        <v>25450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92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92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92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92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92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92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92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92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92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92">
        <v>20</v>
      </c>
      <c r="D63" s="191">
        <f t="shared" si="4"/>
        <v>420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92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92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92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92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92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92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92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92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92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284</v>
      </c>
      <c r="C73" s="292">
        <v>150</v>
      </c>
      <c r="D73" s="191">
        <f t="shared" si="4"/>
        <v>42600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rouge d'Amérique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50</v>
      </c>
      <c r="C85" s="292">
        <v>5</v>
      </c>
      <c r="D85" s="191">
        <f>B85*C85</f>
        <v>250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37</v>
      </c>
      <c r="C86" s="292">
        <v>7</v>
      </c>
      <c r="D86" s="191">
        <f t="shared" ref="D86:D104" si="6">B86*C86</f>
        <v>259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37</v>
      </c>
      <c r="C87" s="292">
        <v>9</v>
      </c>
      <c r="D87" s="191">
        <f t="shared" si="6"/>
        <v>333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36</v>
      </c>
      <c r="C88" s="292">
        <v>9</v>
      </c>
      <c r="D88" s="191">
        <f t="shared" si="6"/>
        <v>324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33</v>
      </c>
      <c r="C89" s="292">
        <v>9</v>
      </c>
      <c r="D89" s="191">
        <f t="shared" si="6"/>
        <v>297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31</v>
      </c>
      <c r="C90" s="292">
        <v>14</v>
      </c>
      <c r="D90" s="191">
        <f t="shared" si="6"/>
        <v>434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92">
        <v>14</v>
      </c>
      <c r="D91" s="191">
        <f t="shared" si="6"/>
        <v>392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25</v>
      </c>
      <c r="C92" s="292">
        <v>14</v>
      </c>
      <c r="D92" s="191">
        <f t="shared" si="6"/>
        <v>350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22</v>
      </c>
      <c r="C93" s="292">
        <v>17</v>
      </c>
      <c r="D93" s="191">
        <f t="shared" si="6"/>
        <v>374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20</v>
      </c>
      <c r="C94" s="292">
        <v>17</v>
      </c>
      <c r="D94" s="191">
        <f t="shared" si="6"/>
        <v>340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17</v>
      </c>
      <c r="C95" s="292">
        <v>17</v>
      </c>
      <c r="D95" s="191">
        <f t="shared" si="6"/>
        <v>289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15</v>
      </c>
      <c r="C96" s="292">
        <v>20</v>
      </c>
      <c r="D96" s="191">
        <f t="shared" si="6"/>
        <v>300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13</v>
      </c>
      <c r="C97" s="292">
        <v>25</v>
      </c>
      <c r="D97" s="191">
        <f t="shared" si="6"/>
        <v>325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12</v>
      </c>
      <c r="C98" s="292">
        <v>30</v>
      </c>
      <c r="D98" s="191">
        <f t="shared" si="6"/>
        <v>360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236</v>
      </c>
      <c r="C99" s="292">
        <v>80</v>
      </c>
      <c r="D99" s="191">
        <f t="shared" si="6"/>
        <v>18880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Pin taeda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13</v>
      </c>
      <c r="B116" s="193">
        <f>'Données projet'!D114</f>
        <v>28</v>
      </c>
      <c r="C116" s="204">
        <v>15</v>
      </c>
      <c r="D116" s="191">
        <f>B116*C116</f>
        <v>420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18</v>
      </c>
      <c r="B117" s="193">
        <f>'Données projet'!D115</f>
        <v>40</v>
      </c>
      <c r="C117" s="204">
        <v>20</v>
      </c>
      <c r="D117" s="191">
        <f t="shared" ref="D117:D135" si="8">B117*C117</f>
        <v>800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23</v>
      </c>
      <c r="B118" s="193">
        <f>'Données projet'!D116</f>
        <v>52</v>
      </c>
      <c r="C118" s="204">
        <v>30</v>
      </c>
      <c r="D118" s="191">
        <f t="shared" si="8"/>
        <v>1560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34</v>
      </c>
      <c r="B120" s="193">
        <f>'Données projet'!D118</f>
        <v>325</v>
      </c>
      <c r="C120" s="204">
        <v>35</v>
      </c>
      <c r="D120" s="191">
        <f t="shared" si="8"/>
        <v>11375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Chêne sessile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7">
        <f>'Données projet'!D140</f>
        <v>6</v>
      </c>
      <c r="C147" s="292">
        <v>4</v>
      </c>
      <c r="D147" s="194">
        <f>B147*C147</f>
        <v>24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7">
        <f>'Données projet'!D141</f>
        <v>28</v>
      </c>
      <c r="C148" s="292">
        <v>8</v>
      </c>
      <c r="D148" s="194">
        <f t="shared" ref="D148:D166" si="10">B148*C148</f>
        <v>224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7">
        <f>'Données projet'!D142</f>
        <v>28</v>
      </c>
      <c r="C149" s="292">
        <v>10</v>
      </c>
      <c r="D149" s="194">
        <f t="shared" si="10"/>
        <v>280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7">
        <f>'Données projet'!D143</f>
        <v>28</v>
      </c>
      <c r="C150" s="292">
        <v>10</v>
      </c>
      <c r="D150" s="194">
        <f t="shared" si="10"/>
        <v>280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7">
        <f>'Données projet'!D144</f>
        <v>28</v>
      </c>
      <c r="C151" s="292">
        <v>10</v>
      </c>
      <c r="D151" s="194">
        <f t="shared" si="10"/>
        <v>280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7">
        <f>'Données projet'!D145</f>
        <v>28</v>
      </c>
      <c r="C152" s="292">
        <v>10</v>
      </c>
      <c r="D152" s="194">
        <f t="shared" si="10"/>
        <v>280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7">
        <f>'Données projet'!D146</f>
        <v>28</v>
      </c>
      <c r="C153" s="292">
        <v>15</v>
      </c>
      <c r="D153" s="194">
        <f t="shared" si="10"/>
        <v>420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7">
        <f>'Données projet'!D147</f>
        <v>28</v>
      </c>
      <c r="C154" s="292">
        <v>15</v>
      </c>
      <c r="D154" s="194">
        <f t="shared" si="10"/>
        <v>420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7">
        <f>'Données projet'!D148</f>
        <v>28</v>
      </c>
      <c r="C155" s="292">
        <v>15</v>
      </c>
      <c r="D155" s="194">
        <f t="shared" si="10"/>
        <v>420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7">
        <f>'Données projet'!D149</f>
        <v>28</v>
      </c>
      <c r="C156" s="292">
        <v>20</v>
      </c>
      <c r="D156" s="194">
        <f t="shared" si="10"/>
        <v>560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7">
        <f>'Données projet'!D150</f>
        <v>28</v>
      </c>
      <c r="C157" s="292">
        <v>20</v>
      </c>
      <c r="D157" s="194">
        <f t="shared" si="10"/>
        <v>560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7">
        <f>'Données projet'!D151</f>
        <v>28</v>
      </c>
      <c r="C158" s="292">
        <v>20</v>
      </c>
      <c r="D158" s="194">
        <f t="shared" si="10"/>
        <v>560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7">
        <f>'Données projet'!D152</f>
        <v>28</v>
      </c>
      <c r="C159" s="292">
        <v>20</v>
      </c>
      <c r="D159" s="194">
        <f t="shared" si="10"/>
        <v>560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85</v>
      </c>
      <c r="B160" s="187">
        <f>'Données projet'!D153</f>
        <v>28</v>
      </c>
      <c r="C160" s="292">
        <v>20</v>
      </c>
      <c r="D160" s="194">
        <f t="shared" si="10"/>
        <v>560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90</v>
      </c>
      <c r="B161" s="187">
        <f>'Données projet'!D154</f>
        <v>28</v>
      </c>
      <c r="C161" s="292">
        <v>30</v>
      </c>
      <c r="D161" s="194">
        <f t="shared" si="10"/>
        <v>840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95</v>
      </c>
      <c r="B162" s="187">
        <f>'Données projet'!D155</f>
        <v>28</v>
      </c>
      <c r="C162" s="292">
        <v>30</v>
      </c>
      <c r="D162" s="194">
        <f t="shared" si="10"/>
        <v>840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100</v>
      </c>
      <c r="B163" s="187">
        <f>'Données projet'!D156</f>
        <v>27</v>
      </c>
      <c r="C163" s="292">
        <v>40</v>
      </c>
      <c r="D163" s="194">
        <f t="shared" si="10"/>
        <v>1080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105</v>
      </c>
      <c r="B164" s="187">
        <f>'Données projet'!D157</f>
        <v>26</v>
      </c>
      <c r="C164" s="292">
        <v>50</v>
      </c>
      <c r="D164" s="194">
        <f t="shared" si="10"/>
        <v>1300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110</v>
      </c>
      <c r="B165" s="187">
        <f>'Données projet'!D158</f>
        <v>25</v>
      </c>
      <c r="C165" s="292">
        <v>70</v>
      </c>
      <c r="D165" s="194">
        <f t="shared" si="10"/>
        <v>1750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115</v>
      </c>
      <c r="B166" s="187">
        <f>'Données projet'!D159</f>
        <v>330</v>
      </c>
      <c r="C166" s="292">
        <v>150</v>
      </c>
      <c r="D166" s="194">
        <f t="shared" si="10"/>
        <v>49500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Pin maritime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13</v>
      </c>
      <c r="B178" s="193">
        <f>'Données projet'!D166</f>
        <v>28</v>
      </c>
      <c r="C178" s="206">
        <v>15</v>
      </c>
      <c r="D178" s="191">
        <f>B178*C178</f>
        <v>420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18</v>
      </c>
      <c r="B179" s="193">
        <f>'Données projet'!D167</f>
        <v>40</v>
      </c>
      <c r="C179" s="206">
        <v>20</v>
      </c>
      <c r="D179" s="191">
        <f t="shared" ref="D179:D197" si="11">B179*C179</f>
        <v>800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23</v>
      </c>
      <c r="B180" s="193">
        <f>'Données projet'!D168</f>
        <v>52</v>
      </c>
      <c r="C180" s="206">
        <v>30</v>
      </c>
      <c r="D180" s="191">
        <f t="shared" si="11"/>
        <v>1560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34</v>
      </c>
      <c r="B182" s="193">
        <f>'Données projet'!D170</f>
        <v>325</v>
      </c>
      <c r="C182" s="206">
        <v>35</v>
      </c>
      <c r="D182" s="191">
        <f t="shared" si="11"/>
        <v>11375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2024-11-18T10:11:52Z</dcterms:modified>
</cp:coreProperties>
</file>