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PUGNAC (33) -  GFA Chateau de RIVEREAU\"/>
    </mc:Choice>
  </mc:AlternateContent>
  <xr:revisionPtr revIDLastSave="0" documentId="13_ncr:1_{4202B742-3EE5-4CA5-8D0B-28CD5EC00C6F}" xr6:coauthVersionLast="36" xr6:coauthVersionMax="36" xr10:uidLastSave="{00000000-0000-0000-0000-000000000000}"/>
  <bookViews>
    <workbookView xWindow="0" yWindow="0" windowWidth="28800" windowHeight="12612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6" l="1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FD82" i="2" a="1"/>
  <c r="FD82" i="2" s="1"/>
  <c r="DN187" i="2" a="1"/>
  <c r="DN187" i="2" s="1"/>
  <c r="HJ202" i="2"/>
  <c r="EY202" i="2"/>
  <c r="AX200" i="2"/>
  <c r="CS38" i="2" l="1" a="1"/>
  <c r="CS38" i="2" s="1"/>
  <c r="AH199" i="2" a="1"/>
  <c r="AH199" i="2" s="1"/>
  <c r="BC34" i="2" a="1"/>
  <c r="BC34" i="2" s="1"/>
  <c r="BX107" i="2" a="1"/>
  <c r="BX107" i="2" s="1"/>
  <c r="CS161" i="2" a="1"/>
  <c r="CS161" i="2" s="1"/>
  <c r="CS105" i="2" a="1"/>
  <c r="CS105" i="2" s="1"/>
  <c r="CS120" i="2" a="1"/>
  <c r="CS120" i="2" s="1"/>
  <c r="CS77" i="2" a="1"/>
  <c r="CS77" i="2" s="1"/>
  <c r="CS56" i="2" a="1"/>
  <c r="CS56" i="2" s="1"/>
  <c r="CS72" i="2" a="1"/>
  <c r="CS72" i="2" s="1"/>
  <c r="CS134" i="2" a="1"/>
  <c r="CS134" i="2" s="1"/>
  <c r="CS185" i="2" a="1"/>
  <c r="CS185" i="2" s="1"/>
  <c r="CS129" i="2" a="1"/>
  <c r="CS129" i="2" s="1"/>
  <c r="CS52" i="2" a="1"/>
  <c r="CS52" i="2" s="1"/>
  <c r="CS137" i="2" a="1"/>
  <c r="CS137" i="2" s="1"/>
  <c r="CS66" i="2" a="1"/>
  <c r="CS66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Y85" i="2" l="1"/>
  <c r="CY42" i="2"/>
  <c r="CY129" i="2"/>
  <c r="CY103" i="2"/>
  <c r="CY124" i="2"/>
  <c r="CY191" i="2"/>
  <c r="CY146" i="2"/>
  <c r="CY90" i="2"/>
  <c r="CY28" i="2"/>
  <c r="CY38" i="2"/>
  <c r="CY24" i="2"/>
  <c r="CY83" i="2"/>
  <c r="CY145" i="2"/>
  <c r="CY88" i="2"/>
  <c r="CY87" i="2"/>
  <c r="CY57" i="2"/>
  <c r="CY180" i="2"/>
  <c r="CY118" i="2"/>
  <c r="CY168" i="2"/>
  <c r="CY80" i="2"/>
  <c r="CY9" i="2"/>
  <c r="CY56" i="2"/>
  <c r="CY62" i="2"/>
  <c r="CY199" i="2"/>
  <c r="CY128" i="2"/>
  <c r="CY73" i="2"/>
  <c r="CY43" i="2"/>
  <c r="CY29" i="2"/>
  <c r="CY15" i="2"/>
  <c r="CY13" i="2"/>
  <c r="CY22" i="2"/>
  <c r="CY169" i="2"/>
  <c r="CY193" i="2"/>
  <c r="CY52" i="2"/>
  <c r="CY198" i="2"/>
  <c r="CY175" i="2"/>
  <c r="CY82" i="2"/>
  <c r="CY31" i="2"/>
  <c r="CY137" i="2"/>
  <c r="CY97" i="2"/>
  <c r="CY23" i="2"/>
  <c r="CY33" i="2"/>
  <c r="CY81" i="2"/>
  <c r="CY201" i="2"/>
  <c r="CY197" i="2"/>
  <c r="CY163" i="2"/>
  <c r="CY44" i="2"/>
  <c r="CY72" i="2"/>
  <c r="CY47" i="2"/>
  <c r="CY89" i="2"/>
  <c r="CY192" i="2"/>
  <c r="CY131" i="2"/>
  <c r="CY155" i="2"/>
  <c r="CY156" i="2"/>
  <c r="CY187" i="2"/>
  <c r="CY164" i="2"/>
  <c r="CY158" i="2"/>
  <c r="CY93" i="2"/>
  <c r="CY66" i="2"/>
  <c r="CY177" i="2"/>
  <c r="CY4" i="2"/>
  <c r="CY133" i="2"/>
  <c r="CY40" i="2"/>
  <c r="CY184" i="2"/>
  <c r="CY20" i="2"/>
  <c r="CY26" i="2"/>
  <c r="CY161" i="2"/>
  <c r="CY112" i="2"/>
  <c r="CY182" i="2"/>
  <c r="CY150" i="2"/>
  <c r="CY126" i="2"/>
  <c r="CY152" i="2"/>
  <c r="CY104" i="2"/>
  <c r="CY69" i="2"/>
  <c r="CY18" i="2"/>
  <c r="CY121" i="2"/>
  <c r="CY148" i="2"/>
  <c r="CY107" i="2"/>
  <c r="CY34" i="2"/>
  <c r="CY117" i="2"/>
  <c r="CY166" i="2"/>
  <c r="CY153" i="2"/>
  <c r="CY110" i="2"/>
  <c r="CY154" i="2"/>
  <c r="CY172" i="2"/>
  <c r="CY63" i="2"/>
  <c r="CY141" i="2"/>
  <c r="CY53" i="2"/>
  <c r="CY101" i="2"/>
  <c r="CY61" i="2"/>
  <c r="CY140" i="2"/>
  <c r="CY132" i="2"/>
  <c r="CY74" i="2"/>
  <c r="CY75" i="2"/>
  <c r="CY143" i="2"/>
  <c r="CY55" i="2"/>
  <c r="CY203" i="2"/>
  <c r="CY8" i="2"/>
  <c r="CY149" i="2"/>
  <c r="CY160" i="2"/>
  <c r="CY196" i="2"/>
  <c r="CY115" i="2"/>
  <c r="CY130" i="2"/>
  <c r="CY37" i="2"/>
  <c r="CY25" i="2"/>
  <c r="CY51" i="2"/>
  <c r="CY183" i="2"/>
  <c r="CY79" i="2"/>
  <c r="CY98" i="2"/>
  <c r="CY139" i="2"/>
  <c r="CY134" i="2"/>
  <c r="CY16" i="2"/>
  <c r="CY11" i="2"/>
  <c r="CY147" i="2"/>
  <c r="CY136" i="2"/>
  <c r="CY123" i="2"/>
  <c r="CY35" i="2"/>
  <c r="CY84" i="2"/>
  <c r="CY125" i="2"/>
  <c r="CY174" i="2"/>
  <c r="CY50" i="2"/>
  <c r="CY94" i="2"/>
  <c r="CY119" i="2"/>
  <c r="CY67" i="2"/>
  <c r="CY106" i="2"/>
  <c r="CY176" i="2"/>
  <c r="CY144" i="2"/>
  <c r="CY64" i="2"/>
  <c r="CY36" i="2"/>
  <c r="CY171" i="2"/>
  <c r="CY188" i="2"/>
  <c r="CY45" i="2"/>
  <c r="CY135" i="2"/>
  <c r="CY159" i="2"/>
  <c r="CY14" i="2"/>
  <c r="CY127" i="2"/>
  <c r="CY189" i="2"/>
  <c r="CY111" i="2"/>
  <c r="CY86" i="2"/>
  <c r="CY162" i="2"/>
  <c r="CY186" i="2"/>
  <c r="CY194" i="2"/>
  <c r="CY100" i="2"/>
  <c r="CY178" i="2"/>
  <c r="CY65" i="2"/>
  <c r="CY39" i="2"/>
  <c r="CY19" i="2"/>
  <c r="CY116" i="2"/>
  <c r="CY30" i="2"/>
  <c r="CY151" i="2"/>
  <c r="CY27" i="2"/>
  <c r="CY181" i="2"/>
  <c r="CY170" i="2"/>
  <c r="CY32" i="2"/>
  <c r="CY60" i="2"/>
  <c r="CY108" i="2"/>
  <c r="CY122" i="2"/>
  <c r="CY59" i="2"/>
  <c r="CY138" i="2"/>
  <c r="CY5" i="2"/>
  <c r="CY165" i="2"/>
  <c r="CY109" i="2"/>
  <c r="CY92" i="2"/>
  <c r="CY78" i="2"/>
  <c r="CY202" i="2"/>
  <c r="CY77" i="2"/>
  <c r="CY58" i="2"/>
  <c r="CY102" i="2"/>
  <c r="CY70" i="2"/>
  <c r="CY113" i="2"/>
  <c r="CY49" i="2"/>
  <c r="CY10" i="2"/>
  <c r="CY95" i="2"/>
  <c r="CY157" i="2"/>
  <c r="CY200" i="2"/>
  <c r="CY54" i="2"/>
  <c r="CY17" i="2"/>
  <c r="CY21" i="2"/>
  <c r="CY190" i="2"/>
  <c r="CY142" i="2"/>
  <c r="CY99" i="2"/>
  <c r="CY173" i="2"/>
  <c r="CY96" i="2"/>
  <c r="CY7" i="2"/>
  <c r="CY71" i="2"/>
  <c r="CY195" i="2"/>
  <c r="CY41" i="2"/>
  <c r="CY76" i="2"/>
  <c r="CY114" i="2"/>
  <c r="CY120" i="2"/>
  <c r="CY91" i="2"/>
  <c r="CY6" i="2"/>
  <c r="CY48" i="2"/>
  <c r="CY46" i="2"/>
  <c r="CY179" i="2"/>
  <c r="CY185" i="2"/>
  <c r="CY105" i="2"/>
  <c r="CY167" i="2"/>
  <c r="CY12" i="2"/>
  <c r="CY3" i="2"/>
  <c r="C10" i="4" s="1"/>
  <c r="E10" i="4" s="1"/>
  <c r="F10" i="4" s="1"/>
  <c r="G10" i="4" s="1"/>
  <c r="L10" i="4" s="1"/>
  <c r="CY68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<sst xmlns="http://schemas.openxmlformats.org/spreadsheetml/2006/main" count="1173" uniqueCount="324">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</sst>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9" fontId="32" fillId="14" borderId="1" xfId="1" applyNumberFormat="1" applyFont="1" applyFill="1" applyBorder="1" applyAlignment="1" applyProtection="1">
      <alignment horizontal="center"/>
      <protection locked="0" hidden="1"/>
    </xf>
    <xf numFmtId="0" fontId="0" fillId="21" borderId="0" xfId="0" applyNumberFormat="1" applyFill="1" applyProtection="1"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72.155748931369416</c:v>
                </c:pt>
                <c:pt idx="7">
                  <c:v>94.133673128860323</c:v>
                </c:pt>
                <c:pt idx="8">
                  <c:v>115.98283085356282</c:v>
                </c:pt>
                <c:pt idx="9">
                  <c:v>137.73104312742694</c:v>
                </c:pt>
                <c:pt idx="10">
                  <c:v>159.39654402501074</c:v>
                </c:pt>
                <c:pt idx="11">
                  <c:v>139.70382844505221</c:v>
                </c:pt>
                <c:pt idx="12">
                  <c:v>161.362507950626</c:v>
                </c:pt>
                <c:pt idx="13">
                  <c:v>182.95230030612535</c:v>
                </c:pt>
                <c:pt idx="14">
                  <c:v>204.48248491014036</c:v>
                </c:pt>
                <c:pt idx="15">
                  <c:v>225.96022281826015</c:v>
                </c:pt>
                <c:pt idx="16">
                  <c:v>211.90768212600287</c:v>
                </c:pt>
                <c:pt idx="17">
                  <c:v>231.02975966933766</c:v>
                </c:pt>
                <c:pt idx="18">
                  <c:v>250.11566977871595</c:v>
                </c:pt>
                <c:pt idx="19">
                  <c:v>269.16856029275453</c:v>
                </c:pt>
                <c:pt idx="20">
                  <c:v>288.19109683703851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334.27569654819109</c:v>
                </c:pt>
                <c:pt idx="27">
                  <c:v>347.41603793627536</c:v>
                </c:pt>
                <c:pt idx="28">
                  <c:v>360.54547259299108</c:v>
                </c:pt>
                <c:pt idx="29">
                  <c:v>373.66445368853493</c:v>
                </c:pt>
                <c:pt idx="30">
                  <c:v>386.77339997206712</c:v>
                </c:pt>
                <c:pt idx="31">
                  <c:v>380.60570876556693</c:v>
                </c:pt>
                <c:pt idx="32">
                  <c:v>391.78307456466808</c:v>
                </c:pt>
                <c:pt idx="33">
                  <c:v>402.95352523018465</c:v>
                </c:pt>
                <c:pt idx="34">
                  <c:v>414.1172795224561</c:v>
                </c:pt>
                <c:pt idx="35">
                  <c:v>425.27454344239999</c:v>
                </c:pt>
                <c:pt idx="36">
                  <c:v>421.04322924291415</c:v>
                </c:pt>
                <c:pt idx="37">
                  <c:v>430.2740205592209</c:v>
                </c:pt>
                <c:pt idx="38">
                  <c:v>439.50055712660497</c:v>
                </c:pt>
                <c:pt idx="39">
                  <c:v>448.72294089251392</c:v>
                </c:pt>
                <c:pt idx="40">
                  <c:v>457.94126927057533</c:v>
                </c:pt>
                <c:pt idx="41">
                  <c:v>456.02111397099492</c:v>
                </c:pt>
                <c:pt idx="42">
                  <c:v>465.6201790592072</c:v>
                </c:pt>
                <c:pt idx="43">
                  <c:v>475.2150257772908</c:v>
                </c:pt>
                <c:pt idx="44">
                  <c:v>484.80575132371115</c:v>
                </c:pt>
                <c:pt idx="45">
                  <c:v>494.39244873679655</c:v>
                </c:pt>
                <c:pt idx="46">
                  <c:v>4.7119831685935622E-12</c:v>
                </c:pt>
                <c:pt idx="47">
                  <c:v>4.7119831685935622E-12</c:v>
                </c:pt>
                <c:pt idx="48">
                  <c:v>4.7119831685935622E-12</c:v>
                </c:pt>
                <c:pt idx="49">
                  <c:v>4.7119831685935622E-12</c:v>
                </c:pt>
                <c:pt idx="50">
                  <c:v>4.7119831685935622E-12</c:v>
                </c:pt>
                <c:pt idx="51">
                  <c:v>4.7119831685935622E-12</c:v>
                </c:pt>
                <c:pt idx="52">
                  <c:v>4.7119831685935622E-12</c:v>
                </c:pt>
                <c:pt idx="53">
                  <c:v>4.7119831685935622E-12</c:v>
                </c:pt>
                <c:pt idx="54">
                  <c:v>4.7119831685935622E-12</c:v>
                </c:pt>
                <c:pt idx="55">
                  <c:v>4.7119831685935622E-12</c:v>
                </c:pt>
                <c:pt idx="56">
                  <c:v>4.7119831685935622E-12</c:v>
                </c:pt>
                <c:pt idx="57">
                  <c:v>4.7119831685935622E-12</c:v>
                </c:pt>
                <c:pt idx="58">
                  <c:v>4.7119831685935622E-12</c:v>
                </c:pt>
                <c:pt idx="59">
                  <c:v>4.7119831685935622E-12</c:v>
                </c:pt>
                <c:pt idx="60">
                  <c:v>4.7119831685935622E-12</c:v>
                </c:pt>
                <c:pt idx="61">
                  <c:v>4.7119831685935622E-12</c:v>
                </c:pt>
                <c:pt idx="62">
                  <c:v>4.7119831685935622E-12</c:v>
                </c:pt>
                <c:pt idx="63">
                  <c:v>4.7119831685935622E-12</c:v>
                </c:pt>
                <c:pt idx="64">
                  <c:v>4.7119831685935622E-12</c:v>
                </c:pt>
                <c:pt idx="65">
                  <c:v>4.7119831685935622E-12</c:v>
                </c:pt>
                <c:pt idx="66">
                  <c:v>4.7119831685935622E-12</c:v>
                </c:pt>
                <c:pt idx="67">
                  <c:v>4.7119831685935622E-12</c:v>
                </c:pt>
                <c:pt idx="68">
                  <c:v>4.7119831685935622E-12</c:v>
                </c:pt>
                <c:pt idx="69">
                  <c:v>4.7119831685935622E-12</c:v>
                </c:pt>
                <c:pt idx="70">
                  <c:v>4.7119831685935622E-12</c:v>
                </c:pt>
                <c:pt idx="71">
                  <c:v>4.7119831685935622E-12</c:v>
                </c:pt>
                <c:pt idx="72">
                  <c:v>4.7119831685935622E-12</c:v>
                </c:pt>
                <c:pt idx="73">
                  <c:v>4.7119831685935622E-12</c:v>
                </c:pt>
                <c:pt idx="74">
                  <c:v>4.7119831685935622E-12</c:v>
                </c:pt>
                <c:pt idx="75">
                  <c:v>4.7119831685935622E-12</c:v>
                </c:pt>
                <c:pt idx="76">
                  <c:v>4.7119831685935622E-12</c:v>
                </c:pt>
                <c:pt idx="77">
                  <c:v>4.7119831685935622E-12</c:v>
                </c:pt>
                <c:pt idx="78">
                  <c:v>4.7119831685935622E-12</c:v>
                </c:pt>
                <c:pt idx="79">
                  <c:v>4.7119831685935622E-12</c:v>
                </c:pt>
                <c:pt idx="80">
                  <c:v>4.7119831685935622E-12</c:v>
                </c:pt>
                <c:pt idx="81">
                  <c:v>4.7119831685935622E-12</c:v>
                </c:pt>
                <c:pt idx="82">
                  <c:v>4.7119831685935622E-12</c:v>
                </c:pt>
                <c:pt idx="83">
                  <c:v>4.7119831685935622E-12</c:v>
                </c:pt>
                <c:pt idx="84">
                  <c:v>4.7119831685935622E-12</c:v>
                </c:pt>
                <c:pt idx="85">
                  <c:v>4.7119831685935622E-12</c:v>
                </c:pt>
                <c:pt idx="86">
                  <c:v>4.7119831685935622E-12</c:v>
                </c:pt>
                <c:pt idx="87">
                  <c:v>4.7119831685935622E-12</c:v>
                </c:pt>
                <c:pt idx="88">
                  <c:v>4.7119831685935622E-12</c:v>
                </c:pt>
                <c:pt idx="89">
                  <c:v>4.7119831685935622E-12</c:v>
                </c:pt>
                <c:pt idx="90">
                  <c:v>4.7119831685935622E-12</c:v>
                </c:pt>
                <c:pt idx="91">
                  <c:v>4.7119831685935622E-12</c:v>
                </c:pt>
                <c:pt idx="92">
                  <c:v>4.7119831685935622E-12</c:v>
                </c:pt>
                <c:pt idx="93">
                  <c:v>4.7119831685935622E-12</c:v>
                </c:pt>
                <c:pt idx="94">
                  <c:v>4.7119831685935622E-12</c:v>
                </c:pt>
                <c:pt idx="95">
                  <c:v>4.7119831685935622E-12</c:v>
                </c:pt>
                <c:pt idx="96">
                  <c:v>4.7119831685935622E-12</c:v>
                </c:pt>
                <c:pt idx="97">
                  <c:v>4.7119831685935622E-12</c:v>
                </c:pt>
                <c:pt idx="98">
                  <c:v>4.7119831685935622E-12</c:v>
                </c:pt>
                <c:pt idx="99">
                  <c:v>4.7119831685935622E-12</c:v>
                </c:pt>
                <c:pt idx="100">
                  <c:v>4.7119831685935622E-12</c:v>
                </c:pt>
                <c:pt idx="101">
                  <c:v>4.7119831685935622E-12</c:v>
                </c:pt>
                <c:pt idx="102">
                  <c:v>4.7119831685935622E-12</c:v>
                </c:pt>
                <c:pt idx="103">
                  <c:v>4.7119831685935622E-12</c:v>
                </c:pt>
                <c:pt idx="104">
                  <c:v>4.7119831685935622E-12</c:v>
                </c:pt>
                <c:pt idx="105">
                  <c:v>4.7119831685935622E-12</c:v>
                </c:pt>
                <c:pt idx="106">
                  <c:v>4.7119831685935622E-12</c:v>
                </c:pt>
                <c:pt idx="107">
                  <c:v>4.7119831685935622E-12</c:v>
                </c:pt>
                <c:pt idx="108">
                  <c:v>4.7119831685935622E-12</c:v>
                </c:pt>
                <c:pt idx="109">
                  <c:v>4.7119831685935622E-12</c:v>
                </c:pt>
                <c:pt idx="110">
                  <c:v>4.7119831685935622E-12</c:v>
                </c:pt>
                <c:pt idx="111">
                  <c:v>4.7119831685935622E-12</c:v>
                </c:pt>
                <c:pt idx="112">
                  <c:v>4.7119831685935622E-12</c:v>
                </c:pt>
                <c:pt idx="113">
                  <c:v>4.7119831685935622E-12</c:v>
                </c:pt>
                <c:pt idx="114">
                  <c:v>4.7119831685935622E-12</c:v>
                </c:pt>
                <c:pt idx="115">
                  <c:v>4.7119831685935622E-12</c:v>
                </c:pt>
                <c:pt idx="116">
                  <c:v>4.7119831685935622E-12</c:v>
                </c:pt>
                <c:pt idx="117">
                  <c:v>4.7119831685935622E-12</c:v>
                </c:pt>
                <c:pt idx="118">
                  <c:v>4.7119831685935622E-12</c:v>
                </c:pt>
                <c:pt idx="119">
                  <c:v>4.7119831685935622E-12</c:v>
                </c:pt>
                <c:pt idx="120">
                  <c:v>4.7119831685935622E-12</c:v>
                </c:pt>
                <c:pt idx="121">
                  <c:v>4.7119831685935622E-12</c:v>
                </c:pt>
                <c:pt idx="122">
                  <c:v>4.7119831685935622E-12</c:v>
                </c:pt>
                <c:pt idx="123">
                  <c:v>4.7119831685935622E-12</c:v>
                </c:pt>
                <c:pt idx="124">
                  <c:v>4.7119831685935622E-12</c:v>
                </c:pt>
                <c:pt idx="125">
                  <c:v>4.7119831685935622E-12</c:v>
                </c:pt>
                <c:pt idx="126">
                  <c:v>4.7119831685935622E-12</c:v>
                </c:pt>
                <c:pt idx="127">
                  <c:v>4.7119831685935622E-12</c:v>
                </c:pt>
                <c:pt idx="128">
                  <c:v>4.7119831685935622E-12</c:v>
                </c:pt>
                <c:pt idx="129">
                  <c:v>4.7119831685935622E-12</c:v>
                </c:pt>
                <c:pt idx="130">
                  <c:v>4.7119831685935622E-12</c:v>
                </c:pt>
                <c:pt idx="131">
                  <c:v>4.7119831685935622E-12</c:v>
                </c:pt>
                <c:pt idx="132">
                  <c:v>4.7119831685935622E-12</c:v>
                </c:pt>
                <c:pt idx="133">
                  <c:v>4.7119831685935622E-12</c:v>
                </c:pt>
                <c:pt idx="134">
                  <c:v>4.7119831685935622E-12</c:v>
                </c:pt>
                <c:pt idx="135">
                  <c:v>4.7119831685935622E-12</c:v>
                </c:pt>
                <c:pt idx="136">
                  <c:v>4.7119831685935622E-12</c:v>
                </c:pt>
                <c:pt idx="137">
                  <c:v>4.7119831685935622E-12</c:v>
                </c:pt>
                <c:pt idx="138">
                  <c:v>4.7119831685935622E-12</c:v>
                </c:pt>
                <c:pt idx="139">
                  <c:v>4.7119831685935622E-12</c:v>
                </c:pt>
                <c:pt idx="140">
                  <c:v>4.7119831685935622E-12</c:v>
                </c:pt>
                <c:pt idx="141">
                  <c:v>4.7119831685935622E-12</c:v>
                </c:pt>
                <c:pt idx="142">
                  <c:v>4.7119831685935622E-12</c:v>
                </c:pt>
                <c:pt idx="143">
                  <c:v>4.7119831685935622E-12</c:v>
                </c:pt>
                <c:pt idx="144">
                  <c:v>4.7119831685935622E-12</c:v>
                </c:pt>
                <c:pt idx="145">
                  <c:v>4.7119831685935622E-12</c:v>
                </c:pt>
                <c:pt idx="146">
                  <c:v>4.7119831685935622E-12</c:v>
                </c:pt>
                <c:pt idx="147">
                  <c:v>4.7119831685935622E-12</c:v>
                </c:pt>
                <c:pt idx="148">
                  <c:v>4.7119831685935622E-12</c:v>
                </c:pt>
                <c:pt idx="149">
                  <c:v>4.7119831685935622E-12</c:v>
                </c:pt>
                <c:pt idx="150">
                  <c:v>4.7119831685935622E-12</c:v>
                </c:pt>
                <c:pt idx="151">
                  <c:v>4.7119831685935622E-12</c:v>
                </c:pt>
                <c:pt idx="152">
                  <c:v>4.7119831685935622E-12</c:v>
                </c:pt>
                <c:pt idx="153">
                  <c:v>4.7119831685935622E-12</c:v>
                </c:pt>
                <c:pt idx="154">
                  <c:v>4.7119831685935622E-12</c:v>
                </c:pt>
                <c:pt idx="155">
                  <c:v>4.7119831685935622E-12</c:v>
                </c:pt>
                <c:pt idx="156">
                  <c:v>4.7119831685935622E-12</c:v>
                </c:pt>
                <c:pt idx="157">
                  <c:v>4.7119831685935622E-12</c:v>
                </c:pt>
                <c:pt idx="158">
                  <c:v>4.7119831685935622E-12</c:v>
                </c:pt>
                <c:pt idx="159">
                  <c:v>4.7119831685935622E-12</c:v>
                </c:pt>
                <c:pt idx="160">
                  <c:v>4.7119831685935622E-12</c:v>
                </c:pt>
                <c:pt idx="161">
                  <c:v>4.7119831685935622E-12</c:v>
                </c:pt>
                <c:pt idx="162">
                  <c:v>4.7119831685935622E-12</c:v>
                </c:pt>
                <c:pt idx="163">
                  <c:v>4.7119831685935622E-12</c:v>
                </c:pt>
                <c:pt idx="164">
                  <c:v>4.7119831685935622E-12</c:v>
                </c:pt>
                <c:pt idx="165">
                  <c:v>4.7119831685935622E-12</c:v>
                </c:pt>
                <c:pt idx="166">
                  <c:v>4.7119831685935622E-12</c:v>
                </c:pt>
                <c:pt idx="167">
                  <c:v>4.7119831685935622E-12</c:v>
                </c:pt>
                <c:pt idx="168">
                  <c:v>4.7119831685935622E-12</c:v>
                </c:pt>
                <c:pt idx="169">
                  <c:v>4.7119831685935622E-12</c:v>
                </c:pt>
                <c:pt idx="170">
                  <c:v>4.7119831685935622E-12</c:v>
                </c:pt>
                <c:pt idx="171">
                  <c:v>4.7119831685935622E-12</c:v>
                </c:pt>
                <c:pt idx="172">
                  <c:v>4.7119831685935622E-12</c:v>
                </c:pt>
                <c:pt idx="173">
                  <c:v>4.7119831685935622E-12</c:v>
                </c:pt>
                <c:pt idx="174">
                  <c:v>4.7119831685935622E-12</c:v>
                </c:pt>
                <c:pt idx="175">
                  <c:v>4.7119831685935622E-12</c:v>
                </c:pt>
                <c:pt idx="176">
                  <c:v>4.7119831685935622E-12</c:v>
                </c:pt>
                <c:pt idx="177">
                  <c:v>4.7119831685935622E-12</c:v>
                </c:pt>
                <c:pt idx="178">
                  <c:v>4.7119831685935622E-12</c:v>
                </c:pt>
                <c:pt idx="179">
                  <c:v>4.7119831685935622E-12</c:v>
                </c:pt>
                <c:pt idx="180">
                  <c:v>4.7119831685935622E-12</c:v>
                </c:pt>
                <c:pt idx="181">
                  <c:v>4.7119831685935622E-12</c:v>
                </c:pt>
                <c:pt idx="182">
                  <c:v>4.7119831685935622E-12</c:v>
                </c:pt>
                <c:pt idx="183">
                  <c:v>4.7119831685935622E-12</c:v>
                </c:pt>
                <c:pt idx="184">
                  <c:v>4.7119831685935622E-12</c:v>
                </c:pt>
                <c:pt idx="185">
                  <c:v>4.7119831685935622E-12</c:v>
                </c:pt>
                <c:pt idx="186">
                  <c:v>4.7119831685935622E-12</c:v>
                </c:pt>
                <c:pt idx="187">
                  <c:v>4.7119831685935622E-12</c:v>
                </c:pt>
                <c:pt idx="188">
                  <c:v>4.7119831685935622E-12</c:v>
                </c:pt>
                <c:pt idx="189">
                  <c:v>4.7119831685935622E-12</c:v>
                </c:pt>
                <c:pt idx="190">
                  <c:v>4.7119831685935622E-12</c:v>
                </c:pt>
                <c:pt idx="191">
                  <c:v>4.7119831685935622E-12</c:v>
                </c:pt>
                <c:pt idx="192">
                  <c:v>4.7119831685935622E-12</c:v>
                </c:pt>
                <c:pt idx="193">
                  <c:v>4.7119831685935622E-12</c:v>
                </c:pt>
                <c:pt idx="194">
                  <c:v>4.7119831685935622E-12</c:v>
                </c:pt>
                <c:pt idx="195">
                  <c:v>4.7119831685935622E-12</c:v>
                </c:pt>
                <c:pt idx="196">
                  <c:v>4.7119831685935622E-12</c:v>
                </c:pt>
                <c:pt idx="197">
                  <c:v>4.7119831685935622E-12</c:v>
                </c:pt>
                <c:pt idx="198">
                  <c:v>4.7119831685935622E-12</c:v>
                </c:pt>
                <c:pt idx="199">
                  <c:v>4.7119831685935622E-12</c:v>
                </c:pt>
                <c:pt idx="200">
                  <c:v>4.7119831685935622E-12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397.18983794003793</c:v>
                </c:pt>
                <c:pt idx="67">
                  <c:v>405.74176424723129</c:v>
                </c:pt>
                <c:pt idx="68">
                  <c:v>414.28979501974965</c:v>
                </c:pt>
                <c:pt idx="69">
                  <c:v>422.83402201018413</c:v>
                </c:pt>
                <c:pt idx="70">
                  <c:v>431.37453295867726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415.77601826307938</c:v>
                </c:pt>
                <c:pt idx="77">
                  <c:v>422.46261177230502</c:v>
                </c:pt>
                <c:pt idx="78">
                  <c:v>429.14692708065189</c:v>
                </c:pt>
                <c:pt idx="79">
                  <c:v>435.82900470393224</c:v>
                </c:pt>
                <c:pt idx="80">
                  <c:v>442.5088838133741</c:v>
                </c:pt>
                <c:pt idx="81">
                  <c:v>423.9482106076087</c:v>
                </c:pt>
                <c:pt idx="82">
                  <c:v>429.51821195249204</c:v>
                </c:pt>
                <c:pt idx="83">
                  <c:v>435.0866609084182</c:v>
                </c:pt>
                <c:pt idx="84">
                  <c:v>440.65358016358778</c:v>
                </c:pt>
                <c:pt idx="85">
                  <c:v>446.21899178570357</c:v>
                </c:pt>
                <c:pt idx="86">
                  <c:v>428.77563530272073</c:v>
                </c:pt>
                <c:pt idx="87">
                  <c:v>433.60189168293056</c:v>
                </c:pt>
                <c:pt idx="88">
                  <c:v>438.42699459967213</c:v>
                </c:pt>
                <c:pt idx="89">
                  <c:v>443.25095855050739</c:v>
                </c:pt>
                <c:pt idx="90">
                  <c:v>448.07379769140431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E16" sqref="E1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17.2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138</v>
      </c>
      <c r="C9" s="35">
        <v>0.32600000000000001</v>
      </c>
      <c r="D9" s="36">
        <f t="shared" ref="D9:D18" si="0">C9*$C$5</f>
        <v>5.6071999999999997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44</v>
      </c>
      <c r="C10" s="35">
        <v>0.17399999999999999</v>
      </c>
      <c r="D10" s="36">
        <f t="shared" si="0"/>
        <v>2.9927999999999995</v>
      </c>
      <c r="E10" s="37">
        <v>45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13</v>
      </c>
      <c r="C11" s="35">
        <v>0.21</v>
      </c>
      <c r="D11" s="36">
        <f t="shared" si="0"/>
        <v>3.6119999999999997</v>
      </c>
      <c r="E11" s="37">
        <v>90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36</v>
      </c>
      <c r="C12" s="35">
        <v>0.20300000000000001</v>
      </c>
      <c r="D12" s="36">
        <f t="shared" si="0"/>
        <v>3.4916</v>
      </c>
      <c r="E12" s="37">
        <v>38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14</v>
      </c>
      <c r="C13" s="35">
        <v>8.6999999999999994E-2</v>
      </c>
      <c r="D13" s="36">
        <f t="shared" si="0"/>
        <v>1.4963999999999997</v>
      </c>
      <c r="E13" s="37">
        <v>115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17.2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Robinier faux-acacia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5</v>
      </c>
      <c r="B62" s="63">
        <v>28</v>
      </c>
      <c r="C62" s="63">
        <v>1</v>
      </c>
      <c r="D62" s="63">
        <v>4</v>
      </c>
      <c r="E62" s="54"/>
      <c r="F62" s="54"/>
      <c r="G62" s="54"/>
      <c r="H62" s="54">
        <v>1</v>
      </c>
      <c r="I62" s="56">
        <f>IFERROR(B62/A62,"")</f>
        <v>5.6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10</v>
      </c>
      <c r="B63" s="63">
        <v>79</v>
      </c>
      <c r="C63" s="63">
        <v>2</v>
      </c>
      <c r="D63" s="63">
        <v>21</v>
      </c>
      <c r="E63" s="54"/>
      <c r="F63" s="54"/>
      <c r="G63" s="54"/>
      <c r="H63" s="54">
        <v>1</v>
      </c>
      <c r="I63" s="52">
        <f>IF(A63&lt;&gt;0,(B63-(B62-D62))/(A63-A62),"")</f>
        <v>11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15</v>
      </c>
      <c r="B64" s="63">
        <v>113</v>
      </c>
      <c r="C64" s="63">
        <v>3</v>
      </c>
      <c r="D64" s="63">
        <v>17</v>
      </c>
      <c r="E64" s="54">
        <v>0.2</v>
      </c>
      <c r="F64" s="54"/>
      <c r="G64" s="54"/>
      <c r="H64" s="54">
        <v>0.8</v>
      </c>
      <c r="I64" s="52">
        <f>IF(A64&lt;&gt;0,(B64-(B63-D63))/(A64-A63),"")</f>
        <v>11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20</v>
      </c>
      <c r="B65" s="63">
        <v>145</v>
      </c>
      <c r="C65" s="63">
        <v>4</v>
      </c>
      <c r="D65" s="63">
        <v>14</v>
      </c>
      <c r="E65" s="54">
        <v>0.8</v>
      </c>
      <c r="F65" s="54"/>
      <c r="G65" s="54"/>
      <c r="H65" s="54">
        <v>0.2</v>
      </c>
      <c r="I65" s="52">
        <f>IF(A65&lt;&gt;0,(B65-(B64-D64))/(A65-A64),"")</f>
        <v>9.8000000000000007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25</v>
      </c>
      <c r="B66" s="63">
        <v>173</v>
      </c>
      <c r="C66" s="63">
        <v>5</v>
      </c>
      <c r="D66" s="63">
        <v>11</v>
      </c>
      <c r="E66" s="54">
        <v>0.8</v>
      </c>
      <c r="F66" s="54"/>
      <c r="G66" s="54"/>
      <c r="H66" s="54">
        <v>0.2</v>
      </c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30</v>
      </c>
      <c r="B67" s="63">
        <v>196</v>
      </c>
      <c r="C67" s="63">
        <v>6</v>
      </c>
      <c r="D67" s="63">
        <v>9</v>
      </c>
      <c r="E67" s="54">
        <v>0.9</v>
      </c>
      <c r="F67" s="54"/>
      <c r="G67" s="54"/>
      <c r="H67" s="54">
        <v>0.1</v>
      </c>
      <c r="I67" s="52">
        <f t="shared" si="2"/>
        <v>6.8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35</v>
      </c>
      <c r="B68" s="63">
        <v>216</v>
      </c>
      <c r="C68" s="63">
        <v>7</v>
      </c>
      <c r="D68" s="63">
        <v>7</v>
      </c>
      <c r="E68" s="54"/>
      <c r="F68" s="54"/>
      <c r="G68" s="54"/>
      <c r="H68" s="54"/>
      <c r="I68" s="52">
        <f t="shared" si="2"/>
        <v>5.8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40</v>
      </c>
      <c r="B69" s="53">
        <v>233</v>
      </c>
      <c r="C69" s="53">
        <v>8</v>
      </c>
      <c r="D69" s="53">
        <v>6</v>
      </c>
      <c r="E69" s="54"/>
      <c r="F69" s="54"/>
      <c r="G69" s="54"/>
      <c r="H69" s="54"/>
      <c r="I69" s="52">
        <f t="shared" si="2"/>
        <v>4.8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45</v>
      </c>
      <c r="B70" s="53">
        <v>252</v>
      </c>
      <c r="C70" s="53">
        <v>9</v>
      </c>
      <c r="D70" s="53">
        <v>252</v>
      </c>
      <c r="E70" s="54"/>
      <c r="F70" s="54"/>
      <c r="G70" s="54"/>
      <c r="H70" s="54"/>
      <c r="I70" s="52">
        <f t="shared" si="2"/>
        <v>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rouge d'Amérique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3">
        <v>132</v>
      </c>
      <c r="C88" s="63">
        <v>1</v>
      </c>
      <c r="D88" s="63">
        <v>50</v>
      </c>
      <c r="E88" s="54"/>
      <c r="F88" s="54"/>
      <c r="G88" s="54"/>
      <c r="H88" s="54">
        <v>1</v>
      </c>
      <c r="I88" s="56">
        <f>IFERROR(B88/A88,"")</f>
        <v>6.6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3">
        <v>143</v>
      </c>
      <c r="C89" s="63">
        <v>2</v>
      </c>
      <c r="D89" s="63">
        <v>37</v>
      </c>
      <c r="E89" s="54"/>
      <c r="F89" s="54">
        <v>0.5</v>
      </c>
      <c r="G89" s="54">
        <v>0.5</v>
      </c>
      <c r="H89" s="54"/>
      <c r="I89" s="56">
        <f t="shared" ref="I89:I107" si="3">IF(A89&lt;&gt;0,(B89-(B88-D88))/(A89-A88),"")</f>
        <v>12.2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3">
        <v>163</v>
      </c>
      <c r="C90" s="63">
        <v>3</v>
      </c>
      <c r="D90" s="63">
        <v>37</v>
      </c>
      <c r="E90" s="54"/>
      <c r="F90" s="54">
        <v>0.5</v>
      </c>
      <c r="G90" s="54">
        <v>0.5</v>
      </c>
      <c r="H90" s="54"/>
      <c r="I90" s="56">
        <f t="shared" si="3"/>
        <v>11.4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63">
        <v>179</v>
      </c>
      <c r="C91" s="63">
        <v>4</v>
      </c>
      <c r="D91" s="63">
        <v>36</v>
      </c>
      <c r="E91" s="54"/>
      <c r="F91" s="54"/>
      <c r="G91" s="54"/>
      <c r="H91" s="54"/>
      <c r="I91" s="56">
        <f t="shared" si="3"/>
        <v>10.6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63">
        <v>191</v>
      </c>
      <c r="C92" s="63">
        <v>5</v>
      </c>
      <c r="D92" s="63">
        <v>33</v>
      </c>
      <c r="E92" s="93"/>
      <c r="F92" s="93"/>
      <c r="G92" s="93"/>
      <c r="H92" s="93"/>
      <c r="I92" s="56">
        <f t="shared" si="3"/>
        <v>9.6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63">
        <v>201</v>
      </c>
      <c r="C93" s="63">
        <v>6</v>
      </c>
      <c r="D93" s="63">
        <v>31</v>
      </c>
      <c r="E93" s="93"/>
      <c r="F93" s="93"/>
      <c r="G93" s="93"/>
      <c r="H93" s="93"/>
      <c r="I93" s="56">
        <f t="shared" si="3"/>
        <v>8.6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63">
        <v>209</v>
      </c>
      <c r="C94" s="63">
        <v>7</v>
      </c>
      <c r="D94" s="63">
        <v>28</v>
      </c>
      <c r="E94" s="93"/>
      <c r="F94" s="93"/>
      <c r="G94" s="93"/>
      <c r="H94" s="93"/>
      <c r="I94" s="56">
        <f t="shared" si="3"/>
        <v>7.8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55</v>
      </c>
      <c r="B95" s="63">
        <v>215</v>
      </c>
      <c r="C95" s="63">
        <v>8</v>
      </c>
      <c r="D95" s="63">
        <v>25</v>
      </c>
      <c r="E95" s="93"/>
      <c r="F95" s="93"/>
      <c r="G95" s="93"/>
      <c r="H95" s="93"/>
      <c r="I95" s="56">
        <f t="shared" si="3"/>
        <v>6.8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60</v>
      </c>
      <c r="B96" s="63">
        <v>220</v>
      </c>
      <c r="C96" s="63">
        <v>9</v>
      </c>
      <c r="D96" s="63">
        <v>22</v>
      </c>
      <c r="E96" s="93"/>
      <c r="F96" s="93"/>
      <c r="G96" s="93"/>
      <c r="H96" s="93"/>
      <c r="I96" s="56">
        <f t="shared" si="3"/>
        <v>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65</v>
      </c>
      <c r="B97" s="63">
        <v>224</v>
      </c>
      <c r="C97" s="63">
        <v>10</v>
      </c>
      <c r="D97" s="63">
        <v>20</v>
      </c>
      <c r="E97" s="93"/>
      <c r="F97" s="93"/>
      <c r="G97" s="93"/>
      <c r="H97" s="93"/>
      <c r="I97" s="56">
        <f t="shared" si="3"/>
        <v>5.2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70</v>
      </c>
      <c r="B98" s="63">
        <v>227</v>
      </c>
      <c r="C98" s="63">
        <v>11</v>
      </c>
      <c r="D98" s="63">
        <v>17</v>
      </c>
      <c r="E98" s="93"/>
      <c r="F98" s="93"/>
      <c r="G98" s="93"/>
      <c r="H98" s="93"/>
      <c r="I98" s="56">
        <f t="shared" si="3"/>
        <v>4.5999999999999996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75</v>
      </c>
      <c r="B99" s="63">
        <v>230</v>
      </c>
      <c r="C99" s="63">
        <v>12</v>
      </c>
      <c r="D99" s="63">
        <v>15</v>
      </c>
      <c r="E99" s="93"/>
      <c r="F99" s="93"/>
      <c r="G99" s="93"/>
      <c r="H99" s="93"/>
      <c r="I99" s="56">
        <f t="shared" si="3"/>
        <v>4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>
        <v>80</v>
      </c>
      <c r="B100" s="63">
        <v>233</v>
      </c>
      <c r="C100" s="63">
        <v>13</v>
      </c>
      <c r="D100" s="63">
        <v>13</v>
      </c>
      <c r="E100" s="68"/>
      <c r="F100" s="68"/>
      <c r="G100" s="68"/>
      <c r="H100" s="68"/>
      <c r="I100" s="56">
        <f t="shared" si="3"/>
        <v>3.6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>
        <v>85</v>
      </c>
      <c r="B101" s="63">
        <v>235</v>
      </c>
      <c r="C101" s="63">
        <v>14</v>
      </c>
      <c r="D101" s="63">
        <v>12</v>
      </c>
      <c r="E101" s="68"/>
      <c r="F101" s="68"/>
      <c r="G101" s="68"/>
      <c r="H101" s="68"/>
      <c r="I101" s="56">
        <f t="shared" si="3"/>
        <v>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>
        <v>90</v>
      </c>
      <c r="B102" s="53">
        <v>236</v>
      </c>
      <c r="C102" s="63">
        <v>15</v>
      </c>
      <c r="D102" s="53">
        <v>236</v>
      </c>
      <c r="E102" s="57"/>
      <c r="F102" s="57"/>
      <c r="G102" s="57"/>
      <c r="H102" s="57"/>
      <c r="I102" s="56">
        <f t="shared" si="3"/>
        <v>2.6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Pin maritime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13</v>
      </c>
      <c r="B114" s="63">
        <v>75</v>
      </c>
      <c r="C114" s="53">
        <v>1</v>
      </c>
      <c r="D114" s="63">
        <v>15</v>
      </c>
      <c r="E114" s="54"/>
      <c r="F114" s="54"/>
      <c r="G114" s="54">
        <v>1</v>
      </c>
      <c r="H114" s="54"/>
      <c r="I114" s="56">
        <f>IFERROR(B114/A114,"")</f>
        <v>5.7692307692307692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19</v>
      </c>
      <c r="B115" s="63">
        <v>163</v>
      </c>
      <c r="C115" s="53">
        <v>2</v>
      </c>
      <c r="D115" s="63">
        <v>40</v>
      </c>
      <c r="E115" s="54">
        <v>0.3</v>
      </c>
      <c r="F115" s="343"/>
      <c r="G115" s="54">
        <v>0.7</v>
      </c>
      <c r="H115" s="54"/>
      <c r="I115" s="56">
        <f t="shared" ref="I115:I133" si="4">IF(A115&lt;&gt;0,(B115-(B114-D114))/(A115-A114),"")</f>
        <v>17.166666666666668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63">
        <v>222</v>
      </c>
      <c r="C116" s="53">
        <v>3</v>
      </c>
      <c r="D116" s="63">
        <v>54</v>
      </c>
      <c r="E116" s="54">
        <v>0.4</v>
      </c>
      <c r="F116" s="54">
        <v>0.2</v>
      </c>
      <c r="G116" s="54">
        <v>0.4</v>
      </c>
      <c r="H116" s="54"/>
      <c r="I116" s="56">
        <f t="shared" si="4"/>
        <v>16.5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30</v>
      </c>
      <c r="B117" s="63">
        <v>237</v>
      </c>
      <c r="C117" s="53">
        <v>4</v>
      </c>
      <c r="D117" s="63">
        <v>0</v>
      </c>
      <c r="E117" s="54"/>
      <c r="F117" s="54"/>
      <c r="G117" s="54"/>
      <c r="H117" s="54"/>
      <c r="I117" s="56">
        <f t="shared" si="4"/>
        <v>13.8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38</v>
      </c>
      <c r="B118" s="63">
        <v>338</v>
      </c>
      <c r="C118" s="53">
        <v>5</v>
      </c>
      <c r="D118" s="63">
        <v>338</v>
      </c>
      <c r="E118" s="54">
        <v>0.7</v>
      </c>
      <c r="F118" s="54"/>
      <c r="G118" s="54">
        <v>0.3</v>
      </c>
      <c r="H118" s="54"/>
      <c r="I118" s="56">
        <f t="shared" si="4"/>
        <v>12.625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Chêne sessile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20</v>
      </c>
      <c r="B140" s="63">
        <v>73</v>
      </c>
      <c r="C140" s="53">
        <v>1</v>
      </c>
      <c r="D140" s="63">
        <v>6</v>
      </c>
      <c r="E140" s="54"/>
      <c r="F140" s="54"/>
      <c r="G140" s="54"/>
      <c r="H140" s="54">
        <v>1</v>
      </c>
      <c r="I140" s="60">
        <f>IFERROR(B140/A140,"")</f>
        <v>3.65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25</v>
      </c>
      <c r="B141" s="63">
        <v>103</v>
      </c>
      <c r="C141" s="53">
        <v>2</v>
      </c>
      <c r="D141" s="63">
        <v>28</v>
      </c>
      <c r="E141" s="54"/>
      <c r="F141" s="54">
        <v>0.3</v>
      </c>
      <c r="G141" s="54">
        <v>0.7</v>
      </c>
      <c r="H141" s="54"/>
      <c r="I141" s="60">
        <f t="shared" ref="I141:I159" si="5">IF(A141&lt;&gt;0,(B141-(B140-D140))/(A141-A140),"")</f>
        <v>7.2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30</v>
      </c>
      <c r="B142" s="63">
        <v>121</v>
      </c>
      <c r="C142" s="53">
        <v>3</v>
      </c>
      <c r="D142" s="63">
        <v>28</v>
      </c>
      <c r="E142" s="54"/>
      <c r="F142" s="54"/>
      <c r="G142" s="54"/>
      <c r="H142" s="54"/>
      <c r="I142" s="60">
        <f t="shared" si="5"/>
        <v>9.1999999999999993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35</v>
      </c>
      <c r="B143" s="63">
        <v>147</v>
      </c>
      <c r="C143" s="53">
        <v>4</v>
      </c>
      <c r="D143" s="63">
        <v>28</v>
      </c>
      <c r="E143" s="54"/>
      <c r="F143" s="54"/>
      <c r="G143" s="54"/>
      <c r="H143" s="54"/>
      <c r="I143" s="60">
        <f t="shared" si="5"/>
        <v>10.8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40</v>
      </c>
      <c r="B144" s="63">
        <v>175</v>
      </c>
      <c r="C144" s="53">
        <v>5</v>
      </c>
      <c r="D144" s="63">
        <v>28</v>
      </c>
      <c r="E144" s="54"/>
      <c r="F144" s="54"/>
      <c r="G144" s="54"/>
      <c r="H144" s="54"/>
      <c r="I144" s="60">
        <f t="shared" si="5"/>
        <v>11.2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45</v>
      </c>
      <c r="B145" s="63">
        <v>204</v>
      </c>
      <c r="C145" s="53">
        <v>6</v>
      </c>
      <c r="D145" s="63">
        <v>28</v>
      </c>
      <c r="E145" s="54"/>
      <c r="F145" s="54"/>
      <c r="G145" s="54"/>
      <c r="H145" s="54"/>
      <c r="I145" s="60">
        <f t="shared" si="5"/>
        <v>11.4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50</v>
      </c>
      <c r="B146" s="63">
        <v>231</v>
      </c>
      <c r="C146" s="53">
        <v>7</v>
      </c>
      <c r="D146" s="63">
        <v>28</v>
      </c>
      <c r="E146" s="54"/>
      <c r="F146" s="54"/>
      <c r="G146" s="54"/>
      <c r="H146" s="54"/>
      <c r="I146" s="60">
        <f t="shared" si="5"/>
        <v>11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55</v>
      </c>
      <c r="B147" s="63">
        <v>254</v>
      </c>
      <c r="C147" s="53">
        <v>8</v>
      </c>
      <c r="D147" s="63">
        <v>28</v>
      </c>
      <c r="E147" s="54"/>
      <c r="F147" s="54"/>
      <c r="G147" s="54"/>
      <c r="H147" s="54"/>
      <c r="I147" s="60">
        <f>IF(A147&lt;&gt;0,(B147-(B146-D146))/(A147-A146),"")</f>
        <v>10.199999999999999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60</v>
      </c>
      <c r="B148" s="63">
        <v>273</v>
      </c>
      <c r="C148" s="53">
        <v>9</v>
      </c>
      <c r="D148" s="63">
        <v>28</v>
      </c>
      <c r="E148" s="54"/>
      <c r="F148" s="54"/>
      <c r="G148" s="54"/>
      <c r="H148" s="54"/>
      <c r="I148" s="60">
        <f t="shared" si="5"/>
        <v>9.4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65</v>
      </c>
      <c r="B149" s="63">
        <v>289</v>
      </c>
      <c r="C149" s="53">
        <v>10</v>
      </c>
      <c r="D149" s="63">
        <v>28</v>
      </c>
      <c r="E149" s="54"/>
      <c r="F149" s="54"/>
      <c r="G149" s="54"/>
      <c r="H149" s="54"/>
      <c r="I149" s="60">
        <f t="shared" si="5"/>
        <v>8.8000000000000007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70</v>
      </c>
      <c r="B150" s="63">
        <v>302</v>
      </c>
      <c r="C150" s="53">
        <v>11</v>
      </c>
      <c r="D150" s="63">
        <v>28</v>
      </c>
      <c r="E150" s="54"/>
      <c r="F150" s="54"/>
      <c r="G150" s="54"/>
      <c r="H150" s="54"/>
      <c r="I150" s="60">
        <f t="shared" si="5"/>
        <v>8.1999999999999993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75</v>
      </c>
      <c r="B151" s="63">
        <v>312</v>
      </c>
      <c r="C151" s="53">
        <v>12</v>
      </c>
      <c r="D151" s="63">
        <v>28</v>
      </c>
      <c r="E151" s="54"/>
      <c r="F151" s="54"/>
      <c r="G151" s="54"/>
      <c r="H151" s="54"/>
      <c r="I151" s="60">
        <f t="shared" si="5"/>
        <v>7.6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80</v>
      </c>
      <c r="B152" s="63">
        <v>320</v>
      </c>
      <c r="C152" s="53">
        <v>13</v>
      </c>
      <c r="D152" s="63">
        <v>28</v>
      </c>
      <c r="E152" s="57"/>
      <c r="F152" s="57"/>
      <c r="G152" s="57"/>
      <c r="H152" s="57"/>
      <c r="I152" s="60">
        <f t="shared" si="5"/>
        <v>7.2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85</v>
      </c>
      <c r="B153" s="63">
        <v>326</v>
      </c>
      <c r="C153" s="53">
        <v>14</v>
      </c>
      <c r="D153" s="63">
        <v>28</v>
      </c>
      <c r="E153" s="57"/>
      <c r="F153" s="57"/>
      <c r="G153" s="57"/>
      <c r="H153" s="57"/>
      <c r="I153" s="60">
        <f t="shared" si="5"/>
        <v>6.8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>
        <v>90</v>
      </c>
      <c r="B154" s="59">
        <v>330</v>
      </c>
      <c r="C154" s="53">
        <v>15</v>
      </c>
      <c r="D154" s="53">
        <v>28</v>
      </c>
      <c r="E154" s="57"/>
      <c r="F154" s="57"/>
      <c r="G154" s="57"/>
      <c r="H154" s="57"/>
      <c r="I154" s="60">
        <f t="shared" si="5"/>
        <v>6.4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>
        <v>95</v>
      </c>
      <c r="B155" s="59">
        <v>332</v>
      </c>
      <c r="C155" s="53">
        <v>16</v>
      </c>
      <c r="D155" s="53">
        <v>28</v>
      </c>
      <c r="E155" s="57"/>
      <c r="F155" s="57"/>
      <c r="G155" s="57"/>
      <c r="H155" s="57"/>
      <c r="I155" s="60">
        <f t="shared" si="5"/>
        <v>6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>
        <v>100</v>
      </c>
      <c r="B156" s="59">
        <v>333</v>
      </c>
      <c r="C156" s="53">
        <v>17</v>
      </c>
      <c r="D156" s="53">
        <v>27</v>
      </c>
      <c r="E156" s="57"/>
      <c r="F156" s="57"/>
      <c r="G156" s="57"/>
      <c r="H156" s="57"/>
      <c r="I156" s="60">
        <f t="shared" si="5"/>
        <v>5.8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>
        <v>105</v>
      </c>
      <c r="B157" s="59">
        <v>333</v>
      </c>
      <c r="C157" s="53">
        <v>18</v>
      </c>
      <c r="D157" s="53">
        <v>26</v>
      </c>
      <c r="E157" s="57"/>
      <c r="F157" s="57"/>
      <c r="G157" s="57"/>
      <c r="H157" s="57"/>
      <c r="I157" s="60">
        <f t="shared" si="5"/>
        <v>5.4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>
        <v>110</v>
      </c>
      <c r="B158" s="59">
        <v>332</v>
      </c>
      <c r="C158" s="53">
        <v>19</v>
      </c>
      <c r="D158" s="53">
        <v>25</v>
      </c>
      <c r="E158" s="57"/>
      <c r="F158" s="57"/>
      <c r="G158" s="57"/>
      <c r="H158" s="57"/>
      <c r="I158" s="60">
        <f t="shared" si="5"/>
        <v>5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>
        <v>115</v>
      </c>
      <c r="B159" s="59">
        <v>330</v>
      </c>
      <c r="C159" s="53">
        <v>20</v>
      </c>
      <c r="D159" s="61">
        <v>330</v>
      </c>
      <c r="E159" s="57"/>
      <c r="F159" s="57"/>
      <c r="G159" s="57"/>
      <c r="H159" s="57"/>
      <c r="I159" s="60">
        <f t="shared" si="5"/>
        <v>4.5999999999999996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F1" zoomScale="115" zoomScaleNormal="115" workbookViewId="0">
      <selection activeCell="F9" sqref="F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1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taeda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Robinier faux-acacia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Chêne rouge d'Amérique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Pin maritime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>Chêne sessile</v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135.66666666666666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117.33333333333333</v>
      </c>
      <c r="S3" s="62">
        <f ca="1">AVERAGE(OFFSET($R$3,0,0,'Données projet'!$E$9+1,1))-AVERAGE(OFFSET($H$3,0,0,'Données projet'!$E$9+1,1))</f>
        <v>211.70619219850786</v>
      </c>
      <c r="T3" s="62">
        <f>IF('Données projet'!E9&gt;30,$R$33-$H$33,LOOKUP('Données projet'!$E$9,$A$3:$A$203,R3:R203)-LOOKUP('Données projet'!$E$9,$A$3:$A$203,$H$3:$H$203))</f>
        <v>426.883837098247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117.33333333333333</v>
      </c>
      <c r="AN3" s="62">
        <f ca="1">AVERAGE(OFFSET($AM$3,0,0,'Données projet'!$E$10+1,1))-AVERAGE(OFFSET($H$3,0,0,'Données projet'!$E$10+1,1))</f>
        <v>327.07074355218322</v>
      </c>
      <c r="AO3" s="62">
        <f>IF('Données projet'!E10&gt;30,$AM$33-$H$33,LOOKUP('Données projet'!$E$10,$A$3:$A$203,AM3:AM203)-LOOKUP('Données projet'!$E$10,$A$3:$A$203,$H$3:$H$203))</f>
        <v>462.01668587029087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117.33333333333333</v>
      </c>
      <c r="BI3" s="62">
        <f ca="1">AVERAGE(OFFSET($BH$3,0,0,'Données projet'!$E$11+1,1))-AVERAGE(OFFSET($H$3,0,0,'Données projet'!$E$11+1,1))</f>
        <v>378.51861272969165</v>
      </c>
      <c r="BJ3" s="62">
        <f>IF('Données projet'!E11&gt;30,$BH$33-$H$33,LOOKUP('Données projet'!$E$11,$A$3:$A$203,BH3:BH203)-LOOKUP('Données projet'!$E$11,$A$3:$A$203,$H$3:$H$203))</f>
        <v>387.42368617035459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117.33333333333333</v>
      </c>
      <c r="CD3" s="62">
        <f ca="1">AVERAGE(OFFSET($CC$3,0,0,'Données projet'!$E$12+1,1))-AVERAGE(OFFSET($H$3,0,0,'Données projet'!$E$12+1,1))</f>
        <v>225.71928466161592</v>
      </c>
      <c r="CE3" s="62">
        <f>IF('Données projet'!E12&gt;30,$CC$33-$H$33,LOOKUP('Données projet'!$E$12,$A$3:$A$203,CC3:CC203)-LOOKUP('Données projet'!$E$12,$A$3:$A$203,$H$3:$H$203))</f>
        <v>385.98818770742025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117.33333333333333</v>
      </c>
      <c r="CY3" s="62">
        <f ca="1">AVERAGE(OFFSET($CX$3,0,0,'Données projet'!$E$13+1,1))-AVERAGE(OFFSET($H$3,0,0,'Données projet'!$E$13+1,1))</f>
        <v>499.92116338695428</v>
      </c>
      <c r="CZ3" s="62">
        <f>IF('Données projet'!E13&gt;30,$CX$33-$H$33,LOOKUP('Données projet'!$E$13,$A$3:$A$203,CX3:CX203)-LOOKUP('Données projet'!$E$13,$A$3:$A$203,$H$3:$H$203))</f>
        <v>316.79403154855652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135.66666666666666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123.15541866678116</v>
      </c>
      <c r="S4" s="62">
        <f ca="1">AVERAGE(OFFSET($R$3,0,0,'Données projet'!$E$9+1,1))-AVERAGE(OFFSET($H$3,0,0,'Données projet'!$E$9+1,1))</f>
        <v>211.70619219850786</v>
      </c>
      <c r="T4" s="62">
        <f>$T$3</f>
        <v>426.883837098247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5.6</v>
      </c>
      <c r="AI4" s="14">
        <f>IF('Données projet'!$A$62&gt;35,AI3+AH4-AQ3,IF(A4&lt;'Données projet'!$A$62,$AF$205^A4,IF(A4='Données projet'!$A$62,'Données projet'!$B$62,AI3+AH4-AQ3)))</f>
        <v>1.9472943612303364</v>
      </c>
      <c r="AJ4" s="14">
        <f>AI4*VLOOKUP('Données projet'!$B$10,Paramètres!$A$1:$I$89,3,0)*VLOOKUP('Données projet'!$B$10,Paramètres!$A$1:$I$89,5,0)</f>
        <v>1.7619119380412083</v>
      </c>
      <c r="AK4" s="14">
        <f>EXP(-1.0587+0.8836*LN(AJ4)+0.284)</f>
        <v>0.76015770586189668</v>
      </c>
      <c r="AL4" s="22">
        <f t="shared" ref="AL4:AL67" si="4">(AJ4+AK4)*0.475*44/12</f>
        <v>4.3926046297979076</v>
      </c>
      <c r="AM4" s="62">
        <f t="shared" ref="AM4:AM67" si="5">AL4+(AD4+AE4)*44/12</f>
        <v>125.36528201601993</v>
      </c>
      <c r="AN4" s="62">
        <f ca="1">AVERAGE(OFFSET($AM$3,0,0,'Données projet'!$E$10+1,1))-AVERAGE(OFFSET($H$3,0,0,'Données projet'!$E$10+1,1))</f>
        <v>327.07074355218322</v>
      </c>
      <c r="AO4" s="62">
        <f>$AO$3</f>
        <v>462.01668587029087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6.6</v>
      </c>
      <c r="BD4" s="13">
        <f>IF('Données projet'!$A$88&gt;35,BD3+BC4-BL3,IF(A4&lt;'Données projet'!$A$88,$BA$205^A4,IF(A4='Données projet'!$A$88,'Données projet'!$B$88,BD3+BC4-BL3)))</f>
        <v>1.2765231539157764</v>
      </c>
      <c r="BE4" s="14">
        <f>BD4*VLOOKUP('Données projet'!$B$11,Paramètres!$A$1:$I$89,3,0)*VLOOKUP('Données projet'!$B$11,Paramètres!$A$1:$I$89,5,0)</f>
        <v>1.1151706272608224</v>
      </c>
      <c r="BF4" s="14">
        <f>EXP(-1.0587+0.8836*LN(BE4)+0.284)</f>
        <v>0.50743784838663863</v>
      </c>
      <c r="BG4" s="22">
        <f t="shared" ref="BG4:BG67" si="7">(BE4+BF4)*0.475*44/12</f>
        <v>2.8260430950859945</v>
      </c>
      <c r="BH4" s="62">
        <f t="shared" ref="BH4:BH67" si="8">BG4+(AY4+AZ4)*44/12</f>
        <v>123.79872048130802</v>
      </c>
      <c r="BI4" s="62">
        <f ca="1">AVERAGE(OFFSET($BH$3,0,0,'Données projet'!$E$11+1,1))-AVERAGE(OFFSET($H$3,0,0,'Données projet'!$E$11+1,1))</f>
        <v>378.51861272969165</v>
      </c>
      <c r="BJ4" s="62">
        <f>$BJ$3</f>
        <v>387.42368617035459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5.7692307692307692</v>
      </c>
      <c r="BY4" s="13">
        <f>IF('Données projet'!$A$114&gt;35,BY3+BX4-CG3,IF(A4&lt;'Données projet'!$A$114,$BV$205^A4,IF(A4='Données projet'!$A$114,'Données projet'!$B$114,BY3+BX4-CG3)))</f>
        <v>1.3939124009120489</v>
      </c>
      <c r="BZ4" s="14">
        <f>BY4*VLOOKUP('Données projet'!$B$12,Paramètres!$A$1:$I$89,3,0)*VLOOKUP('Données projet'!$B$12,Paramètres!$A$1:$I$89,5,0)</f>
        <v>0.83355961574540538</v>
      </c>
      <c r="CA4" s="14">
        <f>EXP(-1.0587+0.8836*LN(BZ4)+0.284)</f>
        <v>0.39236630327500827</v>
      </c>
      <c r="CB4" s="22">
        <f t="shared" ref="CB4:CB67" si="10">(BZ4+CA4)*0.475*44/12</f>
        <v>2.1351543089605536</v>
      </c>
      <c r="CC4" s="62">
        <f t="shared" ref="CC4:CC67" si="11">CB4+(BT4+BU4)*44/12</f>
        <v>123.10783169518258</v>
      </c>
      <c r="CD4" s="62">
        <f ca="1">AVERAGE(OFFSET($CC$3,0,0,'Données projet'!$E$12+1,1))-AVERAGE(OFFSET($H$3,0,0,'Données projet'!$E$12+1,1))</f>
        <v>225.71928466161592</v>
      </c>
      <c r="CE4" s="62">
        <f>$CE$3</f>
        <v>385.98818770742025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3.65</v>
      </c>
      <c r="CT4" s="13">
        <f>IF('Données projet'!$A$140&gt;35,CT3+CS4-DB3,IF(A4&lt;'Données projet'!$A$140,$CQ$205^A4,IF(A4='Données projet'!$A$140,'Données projet'!$B$140,CT3+CS4-DB3)))</f>
        <v>1.2392705892426346</v>
      </c>
      <c r="CU4" s="18">
        <f>CT4*VLOOKUP('Données projet'!$B$13,Paramètres!$A$1:$I$89,3,0)*VLOOKUP('Données projet'!$B$13,Paramètres!$A$1:$I$89,5,0)</f>
        <v>1.1212920291467359</v>
      </c>
      <c r="CV4" s="14">
        <f>EXP(-1.0587+0.8836*LN(CU4)+0.284)</f>
        <v>0.50989827066551541</v>
      </c>
      <c r="CW4" s="22">
        <f t="shared" ref="CW4:CW67" si="13">(CU4+CV4)*0.475*44/12</f>
        <v>2.8409897721730037</v>
      </c>
      <c r="CX4" s="62">
        <f t="shared" ref="CX4:CX67" si="14">CW4+(CO4+CP4)*44/12</f>
        <v>123.81366715839503</v>
      </c>
      <c r="CY4" s="62">
        <f ca="1">AVERAGE(OFFSET($CX$3,0,0,'Données projet'!$E$13+1,1))-AVERAGE(OFFSET($H$3,0,0,'Données projet'!$E$13+1,1))</f>
        <v>499.92116338695428</v>
      </c>
      <c r="CZ4" s="62">
        <f>$CZ$3</f>
        <v>316.79403154855652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135.66666666666666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127.6428422455826</v>
      </c>
      <c r="S5" s="62">
        <f ca="1">AVERAGE(OFFSET($R$3,0,0,'Données projet'!$E$9+1,1))-AVERAGE(OFFSET($H$3,0,0,'Données projet'!$E$9+1,1))</f>
        <v>211.70619219850786</v>
      </c>
      <c r="T5" s="62">
        <f t="shared" ref="T5:T68" si="34">$T$3</f>
        <v>426.883837098247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5.6</v>
      </c>
      <c r="AI5" s="14">
        <f>IF('Données projet'!$A$62&gt;35,AI4+AH5-AQ4,IF(A5&lt;'Données projet'!$A$62,$AF$205^A5,IF(A5='Données projet'!$A$62,'Données projet'!$B$62,AI4+AH5-AQ4)))</f>
        <v>3.7919553292794639</v>
      </c>
      <c r="AJ5" s="14">
        <f>AI5*VLOOKUP('Données projet'!$B$10,Paramètres!$A$1:$I$89,3,0)*VLOOKUP('Données projet'!$B$10,Paramètres!$A$1:$I$89,5,0)</f>
        <v>3.4309611819320587</v>
      </c>
      <c r="AK5" s="14">
        <f t="shared" ref="AK5:AK68" si="35">EXP(-1.0587+0.8836*LN(AJ5)+0.284)</f>
        <v>1.3697631223860498</v>
      </c>
      <c r="AL5" s="22">
        <f t="shared" si="4"/>
        <v>8.3612614966873711</v>
      </c>
      <c r="AM5" s="62">
        <f t="shared" si="5"/>
        <v>132.93135127591088</v>
      </c>
      <c r="AN5" s="62">
        <f ca="1">AVERAGE(OFFSET($AM$3,0,0,'Données projet'!$E$10+1,1))-AVERAGE(OFFSET($H$3,0,0,'Données projet'!$E$10+1,1))</f>
        <v>327.07074355218322</v>
      </c>
      <c r="AO5" s="62">
        <f t="shared" ref="AO5:AO68" si="36">$AO$3</f>
        <v>462.01668587029087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6.6</v>
      </c>
      <c r="BD5" s="13">
        <f>IF('Données projet'!$A$88&gt;35,BD4+BC5-BL4,IF(A5&lt;'Données projet'!$A$88,$BA$205^A5,IF(A5='Données projet'!$A$88,'Données projet'!$B$88,BD4+BC5-BL4)))</f>
        <v>1.629511362483081</v>
      </c>
      <c r="BE5" s="14">
        <f>BD5*VLOOKUP('Données projet'!$B$11,Paramètres!$A$1:$I$89,3,0)*VLOOKUP('Données projet'!$B$11,Paramètres!$A$1:$I$89,5,0)</f>
        <v>1.4235411262652198</v>
      </c>
      <c r="BF5" s="14">
        <f t="shared" ref="BF5:BF68" si="37">EXP(-1.0587+0.8836*LN(BE5)+0.284)</f>
        <v>0.62960738463416654</v>
      </c>
      <c r="BG5" s="22">
        <f t="shared" si="7"/>
        <v>3.5759003231497637</v>
      </c>
      <c r="BH5" s="62">
        <f t="shared" si="8"/>
        <v>128.14599010237328</v>
      </c>
      <c r="BI5" s="62">
        <f ca="1">AVERAGE(OFFSET($BH$3,0,0,'Données projet'!$E$11+1,1))-AVERAGE(OFFSET($H$3,0,0,'Données projet'!$E$11+1,1))</f>
        <v>378.51861272969165</v>
      </c>
      <c r="BJ5" s="62">
        <f t="shared" ref="BJ5:BJ68" si="38">$BJ$3</f>
        <v>387.42368617035459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5.7692307692307692</v>
      </c>
      <c r="BY5" s="13">
        <f>IF('Données projet'!$A$114&gt;35,BY4+BX5-CG4,IF(A5&lt;'Données projet'!$A$114,$BV$205^A5,IF(A5='Données projet'!$A$114,'Données projet'!$B$114,BY4+BX5-CG4)))</f>
        <v>1.9429917814163926</v>
      </c>
      <c r="BZ5" s="14">
        <f>BY5*VLOOKUP('Données projet'!$B$12,Paramètres!$A$1:$I$89,3,0)*VLOOKUP('Données projet'!$B$12,Paramètres!$A$1:$I$89,5,0)</f>
        <v>1.1619090852870029</v>
      </c>
      <c r="CA5" s="14">
        <f t="shared" ref="CA5:CA68" si="39">EXP(-1.0587+0.8836*LN(BZ5)+0.284)</f>
        <v>0.52618464987689018</v>
      </c>
      <c r="CB5" s="22">
        <f t="shared" si="10"/>
        <v>2.9400965887437809</v>
      </c>
      <c r="CC5" s="62">
        <f t="shared" si="11"/>
        <v>127.51018636796731</v>
      </c>
      <c r="CD5" s="62">
        <f ca="1">AVERAGE(OFFSET($CC$3,0,0,'Données projet'!$E$12+1,1))-AVERAGE(OFFSET($H$3,0,0,'Données projet'!$E$12+1,1))</f>
        <v>225.71928466161592</v>
      </c>
      <c r="CE5" s="62">
        <f t="shared" ref="CE5:CE68" si="40">$CE$3</f>
        <v>385.98818770742025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3.65</v>
      </c>
      <c r="CT5" s="13">
        <f>IF('Données projet'!$A$140&gt;35,CT4+CS5-DB4,IF(A5&lt;'Données projet'!$A$140,$CQ$205^A5,IF(A5='Données projet'!$A$140,'Données projet'!$B$140,CT4+CS5-DB4)))</f>
        <v>1.5357915933617867</v>
      </c>
      <c r="CU5" s="18">
        <f>CT5*VLOOKUP('Données projet'!$B$13,Paramètres!$A$1:$I$89,3,0)*VLOOKUP('Données projet'!$B$13,Paramètres!$A$1:$I$89,5,0)</f>
        <v>1.3895842336737447</v>
      </c>
      <c r="CV5" s="14">
        <f t="shared" ref="CV5:CV68" si="41">EXP(-1.0587+0.8836*LN(CU5)+0.284)</f>
        <v>0.61631841327304715</v>
      </c>
      <c r="CW5" s="22">
        <f t="shared" si="13"/>
        <v>3.4936137767656628</v>
      </c>
      <c r="CX5" s="62">
        <f t="shared" si="14"/>
        <v>128.06370355598918</v>
      </c>
      <c r="CY5" s="62">
        <f ca="1">AVERAGE(OFFSET($CX$3,0,0,'Données projet'!$E$13+1,1))-AVERAGE(OFFSET($H$3,0,0,'Données projet'!$E$13+1,1))</f>
        <v>499.92116338695428</v>
      </c>
      <c r="CZ5" s="62">
        <f t="shared" ref="CZ5:CZ68" si="42">$CZ$3</f>
        <v>316.79403154855652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135.66666666666666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132.45354477368804</v>
      </c>
      <c r="S6" s="62">
        <f ca="1">AVERAGE(OFFSET($R$3,0,0,'Données projet'!$E$9+1,1))-AVERAGE(OFFSET($H$3,0,0,'Données projet'!$E$9+1,1))</f>
        <v>211.70619219850786</v>
      </c>
      <c r="T6" s="62">
        <f t="shared" si="34"/>
        <v>426.883837098247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5.6</v>
      </c>
      <c r="AI6" s="14">
        <f>IF('Données projet'!$A$62&gt;35,AI5+AH6-AQ5,IF(A6&lt;'Données projet'!$A$62,$AF$205^A6,IF(A6='Données projet'!$A$62,'Données projet'!$B$62,AI5+AH6-AQ5)))</f>
        <v>7.3840532307432234</v>
      </c>
      <c r="AJ6" s="14">
        <f>AI6*VLOOKUP('Données projet'!$B$10,Paramètres!$A$1:$I$89,3,0)*VLOOKUP('Données projet'!$B$10,Paramètres!$A$1:$I$89,5,0)</f>
        <v>6.6810913631764679</v>
      </c>
      <c r="AK6" s="14">
        <f t="shared" si="35"/>
        <v>2.4682391521919964</v>
      </c>
      <c r="AL6" s="22">
        <f t="shared" si="4"/>
        <v>15.935083980933408</v>
      </c>
      <c r="AM6" s="62">
        <f t="shared" si="5"/>
        <v>144.0613819138251</v>
      </c>
      <c r="AN6" s="62">
        <f ca="1">AVERAGE(OFFSET($AM$3,0,0,'Données projet'!$E$10+1,1))-AVERAGE(OFFSET($H$3,0,0,'Données projet'!$E$10+1,1))</f>
        <v>327.07074355218322</v>
      </c>
      <c r="AO6" s="62">
        <f t="shared" si="36"/>
        <v>462.01668587029087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6.6</v>
      </c>
      <c r="BD6" s="13">
        <f>IF('Données projet'!$A$88&gt;35,BD5+BC6-BL5,IF(A6&lt;'Données projet'!$A$88,$BA$205^A6,IF(A6='Données projet'!$A$88,'Données projet'!$B$88,BD5+BC6-BL5)))</f>
        <v>2.0801089837784965</v>
      </c>
      <c r="BE6" s="14">
        <f>BD6*VLOOKUP('Données projet'!$B$11,Paramètres!$A$1:$I$89,3,0)*VLOOKUP('Données projet'!$B$11,Paramètres!$A$1:$I$89,5,0)</f>
        <v>1.8171832082288948</v>
      </c>
      <c r="BF6" s="14">
        <f t="shared" si="37"/>
        <v>0.7811901694881791</v>
      </c>
      <c r="BG6" s="22">
        <f t="shared" si="7"/>
        <v>4.5255002995239044</v>
      </c>
      <c r="BH6" s="62">
        <f t="shared" si="8"/>
        <v>132.65179823241562</v>
      </c>
      <c r="BI6" s="62">
        <f ca="1">AVERAGE(OFFSET($BH$3,0,0,'Données projet'!$E$11+1,1))-AVERAGE(OFFSET($H$3,0,0,'Données projet'!$E$11+1,1))</f>
        <v>378.51861272969165</v>
      </c>
      <c r="BJ6" s="62">
        <f t="shared" si="38"/>
        <v>387.42368617035459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5.7692307692307692</v>
      </c>
      <c r="BY6" s="13">
        <f>IF('Données projet'!$A$114&gt;35,BY5+BX6-CG5,IF(A6&lt;'Données projet'!$A$114,$BV$205^A6,IF(A6='Données projet'!$A$114,'Données projet'!$B$114,BY5+BX6-CG5)))</f>
        <v>2.7083603389865027</v>
      </c>
      <c r="BZ6" s="14">
        <f>BY6*VLOOKUP('Données projet'!$B$12,Paramètres!$A$1:$I$89,3,0)*VLOOKUP('Données projet'!$B$12,Paramètres!$A$1:$I$89,5,0)</f>
        <v>1.6195994827139286</v>
      </c>
      <c r="CA6" s="14">
        <f t="shared" si="39"/>
        <v>0.70564236392136903</v>
      </c>
      <c r="CB6" s="22">
        <f t="shared" si="10"/>
        <v>4.0497962162231431</v>
      </c>
      <c r="CC6" s="62">
        <f t="shared" si="11"/>
        <v>132.17609414911485</v>
      </c>
      <c r="CD6" s="62">
        <f ca="1">AVERAGE(OFFSET($CC$3,0,0,'Données projet'!$E$12+1,1))-AVERAGE(OFFSET($H$3,0,0,'Données projet'!$E$12+1,1))</f>
        <v>225.71928466161592</v>
      </c>
      <c r="CE6" s="62">
        <f t="shared" si="40"/>
        <v>385.98818770742025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3.65</v>
      </c>
      <c r="CT6" s="13">
        <f>IF('Données projet'!$A$140&gt;35,CT5+CS6-DB5,IF(A6&lt;'Données projet'!$A$140,$CQ$205^A6,IF(A6='Données projet'!$A$140,'Données projet'!$B$140,CT5+CS6-DB5)))</f>
        <v>1.9032613528593461</v>
      </c>
      <c r="CU6" s="18">
        <f>CT6*VLOOKUP('Données projet'!$B$13,Paramètres!$A$1:$I$89,3,0)*VLOOKUP('Données projet'!$B$13,Paramètres!$A$1:$I$89,5,0)</f>
        <v>1.7220708720671365</v>
      </c>
      <c r="CV6" s="14">
        <f t="shared" si="41"/>
        <v>0.74494935243383209</v>
      </c>
      <c r="CW6" s="22">
        <f t="shared" si="13"/>
        <v>4.2967268910058536</v>
      </c>
      <c r="CX6" s="62">
        <f t="shared" si="14"/>
        <v>132.42302482389755</v>
      </c>
      <c r="CY6" s="62">
        <f ca="1">AVERAGE(OFFSET($CX$3,0,0,'Données projet'!$E$13+1,1))-AVERAGE(OFFSET($H$3,0,0,'Données projet'!$E$13+1,1))</f>
        <v>499.92116338695428</v>
      </c>
      <c r="CZ6" s="62">
        <f t="shared" si="42"/>
        <v>316.79403154855652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135.66666666666666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137.73811576902352</v>
      </c>
      <c r="S7" s="62">
        <f ca="1">AVERAGE(OFFSET($R$3,0,0,'Données projet'!$E$9+1,1))-AVERAGE(OFFSET($H$3,0,0,'Données projet'!$E$9+1,1))</f>
        <v>211.70619219850786</v>
      </c>
      <c r="T7" s="62">
        <f t="shared" si="34"/>
        <v>426.883837098247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5.6</v>
      </c>
      <c r="AI7" s="14">
        <f>IF('Données projet'!$A$62&gt;35,AI6+AH7-AQ6,IF(A7&lt;'Données projet'!$A$62,$AF$205^A7,IF(A7='Données projet'!$A$62,'Données projet'!$B$62,AI6+AH7-AQ6)))</f>
        <v>14.378925219250927</v>
      </c>
      <c r="AJ7" s="14">
        <f>AI7*VLOOKUP('Données projet'!$B$10,Paramètres!$A$1:$I$89,3,0)*VLOOKUP('Données projet'!$B$10,Paramètres!$A$1:$I$89,5,0)</f>
        <v>13.010051538378239</v>
      </c>
      <c r="AK7" s="14">
        <f t="shared" si="35"/>
        <v>4.4476336184326453</v>
      </c>
      <c r="AL7" s="22">
        <f t="shared" si="4"/>
        <v>30.405468314778947</v>
      </c>
      <c r="AM7" s="62">
        <f t="shared" si="5"/>
        <v>162.04748496343905</v>
      </c>
      <c r="AN7" s="62">
        <f ca="1">AVERAGE(OFFSET($AM$3,0,0,'Données projet'!$E$10+1,1))-AVERAGE(OFFSET($H$3,0,0,'Données projet'!$E$10+1,1))</f>
        <v>327.07074355218322</v>
      </c>
      <c r="AO7" s="62">
        <f t="shared" si="36"/>
        <v>462.01668587029087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6.6</v>
      </c>
      <c r="BD7" s="13">
        <f>IF('Données projet'!$A$88&gt;35,BD6+BC7-BL6,IF(A7&lt;'Données projet'!$A$88,$BA$205^A7,IF(A7='Données projet'!$A$88,'Données projet'!$B$88,BD6+BC7-BL6)))</f>
        <v>2.655307280461467</v>
      </c>
      <c r="BE7" s="14">
        <f>BD7*VLOOKUP('Données projet'!$B$11,Paramètres!$A$1:$I$89,3,0)*VLOOKUP('Données projet'!$B$11,Paramètres!$A$1:$I$89,5,0)</f>
        <v>2.3196764402111376</v>
      </c>
      <c r="BF7" s="14">
        <f t="shared" si="37"/>
        <v>0.96926766711854973</v>
      </c>
      <c r="BG7" s="22">
        <f t="shared" si="7"/>
        <v>5.7282443202658717</v>
      </c>
      <c r="BH7" s="62">
        <f t="shared" si="8"/>
        <v>137.37026096892598</v>
      </c>
      <c r="BI7" s="62">
        <f ca="1">AVERAGE(OFFSET($BH$3,0,0,'Données projet'!$E$11+1,1))-AVERAGE(OFFSET($H$3,0,0,'Données projet'!$E$11+1,1))</f>
        <v>378.51861272969165</v>
      </c>
      <c r="BJ7" s="62">
        <f t="shared" si="38"/>
        <v>387.42368617035459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5.7692307692307692</v>
      </c>
      <c r="BY7" s="13">
        <f>IF('Données projet'!$A$114&gt;35,BY6+BX7-CG6,IF(A7&lt;'Données projet'!$A$114,$BV$205^A7,IF(A7='Données projet'!$A$114,'Données projet'!$B$114,BY6+BX7-CG6)))</f>
        <v>3.775217062651647</v>
      </c>
      <c r="BZ7" s="14">
        <f>BY7*VLOOKUP('Données projet'!$B$12,Paramètres!$A$1:$I$89,3,0)*VLOOKUP('Données projet'!$B$12,Paramètres!$A$1:$I$89,5,0)</f>
        <v>2.2575798034656849</v>
      </c>
      <c r="CA7" s="14">
        <f t="shared" si="39"/>
        <v>0.94630496324253699</v>
      </c>
      <c r="CB7" s="22">
        <f t="shared" si="10"/>
        <v>5.5800993020168193</v>
      </c>
      <c r="CC7" s="62">
        <f t="shared" si="11"/>
        <v>137.22211595067694</v>
      </c>
      <c r="CD7" s="62">
        <f ca="1">AVERAGE(OFFSET($CC$3,0,0,'Données projet'!$E$12+1,1))-AVERAGE(OFFSET($H$3,0,0,'Données projet'!$E$12+1,1))</f>
        <v>225.71928466161592</v>
      </c>
      <c r="CE7" s="62">
        <f t="shared" si="40"/>
        <v>385.98818770742025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3.65</v>
      </c>
      <c r="CT7" s="13">
        <f>IF('Données projet'!$A$140&gt;35,CT6+CS7-DB6,IF(A7&lt;'Données projet'!$A$140,$CQ$205^A7,IF(A7='Données projet'!$A$140,'Données projet'!$B$140,CT6+CS7-DB6)))</f>
        <v>2.3586558182407358</v>
      </c>
      <c r="CU7" s="18">
        <f>CT7*VLOOKUP('Données projet'!$B$13,Paramètres!$A$1:$I$89,3,0)*VLOOKUP('Données projet'!$B$13,Paramètres!$A$1:$I$89,5,0)</f>
        <v>2.1341117843442179</v>
      </c>
      <c r="CV7" s="14">
        <f t="shared" si="41"/>
        <v>0.90042667189585779</v>
      </c>
      <c r="CW7" s="22">
        <f t="shared" si="13"/>
        <v>5.2851544779514645</v>
      </c>
      <c r="CX7" s="62">
        <f t="shared" si="14"/>
        <v>136.92717112661157</v>
      </c>
      <c r="CY7" s="62">
        <f ca="1">AVERAGE(OFFSET($CX$3,0,0,'Données projet'!$E$13+1,1))-AVERAGE(OFFSET($H$3,0,0,'Données projet'!$E$13+1,1))</f>
        <v>499.92116338695428</v>
      </c>
      <c r="CZ7" s="62">
        <f t="shared" si="42"/>
        <v>316.79403154855652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135.66666666666666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143.70899411069837</v>
      </c>
      <c r="S8" s="62">
        <f ca="1">AVERAGE(OFFSET($R$3,0,0,'Données projet'!$E$9+1,1))-AVERAGE(OFFSET($H$3,0,0,'Données projet'!$E$9+1,1))</f>
        <v>211.70619219850786</v>
      </c>
      <c r="T8" s="62">
        <f t="shared" si="34"/>
        <v>426.883837098247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>
        <f>VLOOKUP(A8,'Données projet'!$A$61:$I$81,2,0)</f>
        <v>28</v>
      </c>
      <c r="AG8" s="13">
        <f>VLOOKUP(A8,'Données projet'!$A$61:$I$81,9,0)</f>
        <v>5.6</v>
      </c>
      <c r="AH8" s="13">
        <f t="array" ref="AH8">INDEX(AG:AG,MIN(IF(ISNUMBER(AG8:AG204),ROW(AG8:AG204),"")))</f>
        <v>5.6</v>
      </c>
      <c r="AI8" s="14">
        <f>IF('Données projet'!$A$62&gt;35,AI7+AH8-AQ7,IF(A8&lt;'Données projet'!$A$62,$AF$205^A8,IF(A8='Données projet'!$A$62,'Données projet'!$B$62,AI7+AH8-AQ7)))</f>
        <v>28</v>
      </c>
      <c r="AJ8" s="14">
        <f>AI8*VLOOKUP('Données projet'!$B$10,Paramètres!$A$1:$I$89,3,0)*VLOOKUP('Données projet'!$B$10,Paramètres!$A$1:$I$89,5,0)</f>
        <v>25.334399999999999</v>
      </c>
      <c r="AK8" s="14">
        <f t="shared" si="35"/>
        <v>8.0143955200794572</v>
      </c>
      <c r="AL8" s="22">
        <f t="shared" si="4"/>
        <v>58.082485530805052</v>
      </c>
      <c r="AM8" s="62">
        <f t="shared" si="5"/>
        <v>193.20043385856056</v>
      </c>
      <c r="AN8" s="62">
        <f ca="1">AVERAGE(OFFSET($AM$3,0,0,'Données projet'!$E$10+1,1))-AVERAGE(OFFSET($H$3,0,0,'Données projet'!$E$10+1,1))</f>
        <v>327.07074355218322</v>
      </c>
      <c r="AO8" s="62">
        <f t="shared" si="36"/>
        <v>462.01668587029087</v>
      </c>
      <c r="AP8" s="16">
        <f>IF(ISNA(VLOOKUP(A8,'Données projet'!$A$61:$I$81,3,0)),0,VLOOKUP(A8,'Données projet'!$A$61:$I$81,3,0))</f>
        <v>1</v>
      </c>
      <c r="AQ8" s="16">
        <f>IF(ISNA(VLOOKUP(A8,'Données projet'!$A$61:$I$81,4,0)),0,VLOOKUP(A8,'Données projet'!$A$61:$I$81,4,0))</f>
        <v>4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6.6</v>
      </c>
      <c r="BD8" s="13">
        <f>IF('Données projet'!$A$88&gt;35,BD7+BC8-BL7,IF(A8&lt;'Données projet'!$A$88,$BA$205^A8,IF(A8='Données projet'!$A$88,'Données projet'!$B$88,BD7+BC8-BL7)))</f>
        <v>3.3895612242701949</v>
      </c>
      <c r="BE8" s="14">
        <f>BD8*VLOOKUP('Données projet'!$B$11,Paramètres!$A$1:$I$89,3,0)*VLOOKUP('Données projet'!$B$11,Paramètres!$A$1:$I$89,5,0)</f>
        <v>2.9611206855224426</v>
      </c>
      <c r="BF8" s="14">
        <f t="shared" si="37"/>
        <v>1.2026262582604759</v>
      </c>
      <c r="BG8" s="22">
        <f t="shared" si="7"/>
        <v>7.2518592604219156</v>
      </c>
      <c r="BH8" s="62">
        <f t="shared" si="8"/>
        <v>142.36980758817742</v>
      </c>
      <c r="BI8" s="62">
        <f ca="1">AVERAGE(OFFSET($BH$3,0,0,'Données projet'!$E$11+1,1))-AVERAGE(OFFSET($H$3,0,0,'Données projet'!$E$11+1,1))</f>
        <v>378.51861272969165</v>
      </c>
      <c r="BJ8" s="62">
        <f t="shared" si="38"/>
        <v>387.42368617035459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5.7692307692307692</v>
      </c>
      <c r="BY8" s="13">
        <f>IF('Données projet'!$A$114&gt;35,BY7+BX8-CG7,IF(A8&lt;'Données projet'!$A$114,$BV$205^A8,IF(A8='Données projet'!$A$114,'Données projet'!$B$114,BY7+BX8-CG7)))</f>
        <v>5.2623218797648903</v>
      </c>
      <c r="BZ8" s="14">
        <f>BY8*VLOOKUP('Données projet'!$B$12,Paramètres!$A$1:$I$89,3,0)*VLOOKUP('Données projet'!$B$12,Paramètres!$A$1:$I$89,5,0)</f>
        <v>3.1468684840994046</v>
      </c>
      <c r="CA8" s="14">
        <f t="shared" si="39"/>
        <v>1.2690466576879811</v>
      </c>
      <c r="CB8" s="22">
        <f t="shared" si="10"/>
        <v>7.6910522052796955</v>
      </c>
      <c r="CC8" s="62">
        <f t="shared" si="11"/>
        <v>142.8090005330352</v>
      </c>
      <c r="CD8" s="62">
        <f ca="1">AVERAGE(OFFSET($CC$3,0,0,'Données projet'!$E$12+1,1))-AVERAGE(OFFSET($H$3,0,0,'Données projet'!$E$12+1,1))</f>
        <v>225.71928466161592</v>
      </c>
      <c r="CE8" s="62">
        <f t="shared" si="40"/>
        <v>385.98818770742025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3.65</v>
      </c>
      <c r="CT8" s="13">
        <f>IF('Données projet'!$A$140&gt;35,CT7+CS8-DB7,IF(A8&lt;'Données projet'!$A$140,$CQ$205^A8,IF(A8='Données projet'!$A$140,'Données projet'!$B$140,CT7+CS8-DB7)))</f>
        <v>2.9230127856917649</v>
      </c>
      <c r="CU8" s="18">
        <f>CT8*VLOOKUP('Données projet'!$B$13,Paramètres!$A$1:$I$89,3,0)*VLOOKUP('Données projet'!$B$13,Paramètres!$A$1:$I$89,5,0)</f>
        <v>2.6447419684939089</v>
      </c>
      <c r="CV8" s="14">
        <f t="shared" si="41"/>
        <v>1.0883534414958294</v>
      </c>
      <c r="CW8" s="22">
        <f t="shared" si="13"/>
        <v>6.5018078390654601</v>
      </c>
      <c r="CX8" s="62">
        <f t="shared" si="14"/>
        <v>141.61975616682096</v>
      </c>
      <c r="CY8" s="62">
        <f ca="1">AVERAGE(OFFSET($CX$3,0,0,'Données projet'!$E$13+1,1))-AVERAGE(OFFSET($H$3,0,0,'Données projet'!$E$13+1,1))</f>
        <v>499.92116338695428</v>
      </c>
      <c r="CZ8" s="62">
        <f t="shared" si="42"/>
        <v>316.79403154855652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135.66666666666666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150.66609130672455</v>
      </c>
      <c r="S9" s="62">
        <f ca="1">AVERAGE(OFFSET($R$3,0,0,'Données projet'!$E$9+1,1))-AVERAGE(OFFSET($H$3,0,0,'Données projet'!$E$9+1,1))</f>
        <v>211.70619219850786</v>
      </c>
      <c r="T9" s="62">
        <f t="shared" si="34"/>
        <v>426.883837098247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11</v>
      </c>
      <c r="AI9" s="14">
        <f>IF('Données projet'!$A$62&gt;35,AI8+AH9-AQ8,IF(A9&lt;'Données projet'!$A$62,$AF$205^A9,IF(A9='Données projet'!$A$62,'Données projet'!$B$62,AI8+AH9-AQ8)))</f>
        <v>35</v>
      </c>
      <c r="AJ9" s="14">
        <f>AI9*VLOOKUP('Données projet'!$B$10,Paramètres!$A$1:$I$89,3,0)*VLOOKUP('Données projet'!$B$10,Paramètres!$A$1:$I$89,5,0)</f>
        <v>31.667999999999996</v>
      </c>
      <c r="AK9" s="14">
        <f t="shared" si="35"/>
        <v>9.7611381424130652</v>
      </c>
      <c r="AL9" s="22">
        <f t="shared" si="4"/>
        <v>72.155748931369416</v>
      </c>
      <c r="AM9" s="62">
        <f t="shared" si="5"/>
        <v>210.7105321176831</v>
      </c>
      <c r="AN9" s="62">
        <f ca="1">AVERAGE(OFFSET($AM$3,0,0,'Données projet'!$E$10+1,1))-AVERAGE(OFFSET($H$3,0,0,'Données projet'!$E$10+1,1))</f>
        <v>327.07074355218322</v>
      </c>
      <c r="AO9" s="62">
        <f t="shared" si="36"/>
        <v>462.01668587029087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6.6</v>
      </c>
      <c r="BD9" s="13">
        <f>IF('Données projet'!$A$88&gt;35,BD8+BC9-BL8,IF(A9&lt;'Données projet'!$A$88,$BA$205^A9,IF(A9='Données projet'!$A$88,'Données projet'!$B$88,BD8+BC9-BL8)))</f>
        <v>4.32685338439601</v>
      </c>
      <c r="BE9" s="14">
        <f>BD9*VLOOKUP('Données projet'!$B$11,Paramètres!$A$1:$I$89,3,0)*VLOOKUP('Données projet'!$B$11,Paramètres!$A$1:$I$89,5,0)</f>
        <v>3.7799391166083551</v>
      </c>
      <c r="BF9" s="14">
        <f t="shared" si="37"/>
        <v>1.4921677118944865</v>
      </c>
      <c r="BG9" s="22">
        <f t="shared" si="7"/>
        <v>9.1822527263091143</v>
      </c>
      <c r="BH9" s="62">
        <f t="shared" si="8"/>
        <v>147.73703591262279</v>
      </c>
      <c r="BI9" s="62">
        <f ca="1">AVERAGE(OFFSET($BH$3,0,0,'Données projet'!$E$11+1,1))-AVERAGE(OFFSET($H$3,0,0,'Données projet'!$E$11+1,1))</f>
        <v>378.51861272969165</v>
      </c>
      <c r="BJ9" s="62">
        <f t="shared" si="38"/>
        <v>387.42368617035459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5.7692307692307692</v>
      </c>
      <c r="BY9" s="13">
        <f>IF('Données projet'!$A$114&gt;35,BY8+BX9-CG8,IF(A9&lt;'Données projet'!$A$114,$BV$205^A9,IF(A9='Données projet'!$A$114,'Données projet'!$B$114,BY8+BX9-CG8)))</f>
        <v>7.3352157257950852</v>
      </c>
      <c r="BZ9" s="14">
        <f>BY9*VLOOKUP('Données projet'!$B$12,Paramètres!$A$1:$I$89,3,0)*VLOOKUP('Données projet'!$B$12,Paramètres!$A$1:$I$89,5,0)</f>
        <v>4.3864590040254612</v>
      </c>
      <c r="CA9" s="14">
        <f t="shared" si="39"/>
        <v>1.7018609031391834</v>
      </c>
      <c r="CB9" s="22">
        <f t="shared" si="10"/>
        <v>10.603823838311754</v>
      </c>
      <c r="CC9" s="62">
        <f t="shared" si="11"/>
        <v>149.15860702462544</v>
      </c>
      <c r="CD9" s="62">
        <f ca="1">AVERAGE(OFFSET($CC$3,0,0,'Données projet'!$E$12+1,1))-AVERAGE(OFFSET($H$3,0,0,'Données projet'!$E$12+1,1))</f>
        <v>225.71928466161592</v>
      </c>
      <c r="CE9" s="62">
        <f t="shared" si="40"/>
        <v>385.98818770742025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3.65</v>
      </c>
      <c r="CT9" s="13">
        <f>IF('Données projet'!$A$140&gt;35,CT8+CS9-DB8,IF(A9&lt;'Données projet'!$A$140,$CQ$205^A9,IF(A9='Données projet'!$A$140,'Données projet'!$B$140,CT8+CS9-DB8)))</f>
        <v>3.6224037772879885</v>
      </c>
      <c r="CU9" s="18">
        <f>CT9*VLOOKUP('Données projet'!$B$13,Paramètres!$A$1:$I$89,3,0)*VLOOKUP('Données projet'!$B$13,Paramètres!$A$1:$I$89,5,0)</f>
        <v>3.2775509376901719</v>
      </c>
      <c r="CV9" s="14">
        <f t="shared" si="41"/>
        <v>1.315502139804245</v>
      </c>
      <c r="CW9" s="22">
        <f t="shared" si="13"/>
        <v>7.9995674433027766</v>
      </c>
      <c r="CX9" s="62">
        <f t="shared" si="14"/>
        <v>146.55435062961644</v>
      </c>
      <c r="CY9" s="62">
        <f ca="1">AVERAGE(OFFSET($CX$3,0,0,'Données projet'!$E$13+1,1))-AVERAGE(OFFSET($H$3,0,0,'Données projet'!$E$13+1,1))</f>
        <v>499.92116338695428</v>
      </c>
      <c r="CZ9" s="62">
        <f t="shared" si="42"/>
        <v>316.79403154855652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135.66666666666666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159.03306172972634</v>
      </c>
      <c r="S10" s="62">
        <f ca="1">AVERAGE(OFFSET($R$3,0,0,'Données projet'!$E$9+1,1))-AVERAGE(OFFSET($H$3,0,0,'Données projet'!$E$9+1,1))</f>
        <v>211.70619219850786</v>
      </c>
      <c r="T10" s="62">
        <f t="shared" si="34"/>
        <v>426.883837098247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11</v>
      </c>
      <c r="AI10" s="14">
        <f>IF('Données projet'!$A$62&gt;35,AI9+AH10-AQ9,IF(A10&lt;'Données projet'!$A$62,$AF$205^A10,IF(A10='Données projet'!$A$62,'Données projet'!$B$62,AI9+AH10-AQ9)))</f>
        <v>46</v>
      </c>
      <c r="AJ10" s="14">
        <f>AI10*VLOOKUP('Données projet'!$B$10,Paramètres!$A$1:$I$89,3,0)*VLOOKUP('Données projet'!$B$10,Paramètres!$A$1:$I$89,5,0)</f>
        <v>41.620800000000003</v>
      </c>
      <c r="AK10" s="14">
        <f t="shared" si="35"/>
        <v>12.427241987862391</v>
      </c>
      <c r="AL10" s="22">
        <f t="shared" si="4"/>
        <v>94.133673128860323</v>
      </c>
      <c r="AM10" s="62">
        <f t="shared" si="5"/>
        <v>236.08687259562384</v>
      </c>
      <c r="AN10" s="62">
        <f ca="1">AVERAGE(OFFSET($AM$3,0,0,'Données projet'!$E$10+1,1))-AVERAGE(OFFSET($H$3,0,0,'Données projet'!$E$10+1,1))</f>
        <v>327.07074355218322</v>
      </c>
      <c r="AO10" s="62">
        <f t="shared" si="36"/>
        <v>462.01668587029087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6.6</v>
      </c>
      <c r="BD10" s="13">
        <f>IF('Données projet'!$A$88&gt;35,BD9+BC10-BL9,IF(A10&lt;'Données projet'!$A$88,$BA$205^A10,IF(A10='Données projet'!$A$88,'Données projet'!$B$88,BD9+BC10-BL9)))</f>
        <v>5.5233285287803451</v>
      </c>
      <c r="BE10" s="14">
        <f>BD10*VLOOKUP('Données projet'!$B$11,Paramètres!$A$1:$I$89,3,0)*VLOOKUP('Données projet'!$B$11,Paramètres!$A$1:$I$89,5,0)</f>
        <v>4.8251798027425101</v>
      </c>
      <c r="BF10" s="14">
        <f t="shared" si="37"/>
        <v>1.8514184811173284</v>
      </c>
      <c r="BG10" s="22">
        <f t="shared" si="7"/>
        <v>11.628408677722552</v>
      </c>
      <c r="BH10" s="62">
        <f t="shared" si="8"/>
        <v>153.58160814448607</v>
      </c>
      <c r="BI10" s="62">
        <f ca="1">AVERAGE(OFFSET($BH$3,0,0,'Données projet'!$E$11+1,1))-AVERAGE(OFFSET($H$3,0,0,'Données projet'!$E$11+1,1))</f>
        <v>378.51861272969165</v>
      </c>
      <c r="BJ10" s="62">
        <f t="shared" si="38"/>
        <v>387.42368617035459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5.7692307692307692</v>
      </c>
      <c r="BY10" s="13">
        <f>IF('Données projet'!$A$114&gt;35,BY9+BX10-CG9,IF(A10&lt;'Données projet'!$A$114,$BV$205^A10,IF(A10='Données projet'!$A$114,'Données projet'!$B$114,BY9+BX10-CG9)))</f>
        <v>10.224648163550844</v>
      </c>
      <c r="BZ10" s="14">
        <f>BY10*VLOOKUP('Données projet'!$B$12,Paramètres!$A$1:$I$89,3,0)*VLOOKUP('Données projet'!$B$12,Paramètres!$A$1:$I$89,5,0)</f>
        <v>6.1143396018034055</v>
      </c>
      <c r="CA10" s="14">
        <f t="shared" si="39"/>
        <v>2.2822884533736612</v>
      </c>
      <c r="CB10" s="22">
        <f t="shared" si="10"/>
        <v>14.624127196100055</v>
      </c>
      <c r="CC10" s="62">
        <f t="shared" si="11"/>
        <v>156.57732666286358</v>
      </c>
      <c r="CD10" s="62">
        <f ca="1">AVERAGE(OFFSET($CC$3,0,0,'Données projet'!$E$12+1,1))-AVERAGE(OFFSET($H$3,0,0,'Données projet'!$E$12+1,1))</f>
        <v>225.71928466161592</v>
      </c>
      <c r="CE10" s="62">
        <f t="shared" si="40"/>
        <v>385.98818770742025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3.65</v>
      </c>
      <c r="CT10" s="13">
        <f>IF('Données projet'!$A$140&gt;35,CT9+CS10-DB9,IF(A10&lt;'Données projet'!$A$140,$CQ$205^A10,IF(A10='Données projet'!$A$140,'Données projet'!$B$140,CT9+CS10-DB9)))</f>
        <v>4.4891384635544309</v>
      </c>
      <c r="CU10" s="18">
        <f>CT10*VLOOKUP('Données projet'!$B$13,Paramètres!$A$1:$I$89,3,0)*VLOOKUP('Données projet'!$B$13,Paramètres!$A$1:$I$89,5,0)</f>
        <v>4.0617724818240486</v>
      </c>
      <c r="CV10" s="14">
        <f t="shared" si="41"/>
        <v>1.590058719758437</v>
      </c>
      <c r="CW10" s="22">
        <f t="shared" si="13"/>
        <v>9.8436060094228282</v>
      </c>
      <c r="CX10" s="62">
        <f t="shared" si="14"/>
        <v>151.79680547618636</v>
      </c>
      <c r="CY10" s="62">
        <f ca="1">AVERAGE(OFFSET($CX$3,0,0,'Données projet'!$E$13+1,1))-AVERAGE(OFFSET($H$3,0,0,'Données projet'!$E$13+1,1))</f>
        <v>499.92116338695428</v>
      </c>
      <c r="CZ10" s="62">
        <f t="shared" si="42"/>
        <v>316.79403154855652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135.66666666666666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169.40865675178679</v>
      </c>
      <c r="S11" s="62">
        <f ca="1">AVERAGE(OFFSET($R$3,0,0,'Données projet'!$E$9+1,1))-AVERAGE(OFFSET($H$3,0,0,'Données projet'!$E$9+1,1))</f>
        <v>211.70619219850786</v>
      </c>
      <c r="T11" s="62">
        <f t="shared" si="34"/>
        <v>426.883837098247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11</v>
      </c>
      <c r="AI11" s="14">
        <f>IF('Données projet'!$A$62&gt;35,AI10+AH11-AQ10,IF(A11&lt;'Données projet'!$A$62,$AF$205^A11,IF(A11='Données projet'!$A$62,'Données projet'!$B$62,AI10+AH11-AQ10)))</f>
        <v>57</v>
      </c>
      <c r="AJ11" s="14">
        <f>AI11*VLOOKUP('Données projet'!$B$10,Paramètres!$A$1:$I$89,3,0)*VLOOKUP('Données projet'!$B$10,Paramètres!$A$1:$I$89,5,0)</f>
        <v>51.573599999999992</v>
      </c>
      <c r="AK11" s="14">
        <f t="shared" si="35"/>
        <v>15.019412930275323</v>
      </c>
      <c r="AL11" s="22">
        <f t="shared" si="4"/>
        <v>115.98283085356282</v>
      </c>
      <c r="AM11" s="62">
        <f t="shared" si="5"/>
        <v>261.29669449910699</v>
      </c>
      <c r="AN11" s="62">
        <f ca="1">AVERAGE(OFFSET($AM$3,0,0,'Données projet'!$E$10+1,1))-AVERAGE(OFFSET($H$3,0,0,'Données projet'!$E$10+1,1))</f>
        <v>327.07074355218322</v>
      </c>
      <c r="AO11" s="62">
        <f t="shared" si="36"/>
        <v>462.01668587029087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6.6</v>
      </c>
      <c r="BD11" s="13">
        <f>IF('Données projet'!$A$88&gt;35,BD10+BC11-BL10,IF(A11&lt;'Données projet'!$A$88,$BA$205^A11,IF(A11='Données projet'!$A$88,'Données projet'!$B$88,BD10+BC11-BL10)))</f>
        <v>7.0506567536716718</v>
      </c>
      <c r="BE11" s="14">
        <f>BD11*VLOOKUP('Données projet'!$B$11,Paramètres!$A$1:$I$89,3,0)*VLOOKUP('Données projet'!$B$11,Paramètres!$A$1:$I$89,5,0)</f>
        <v>6.1594537400075735</v>
      </c>
      <c r="BF11" s="14">
        <f t="shared" si="37"/>
        <v>2.2971616158822084</v>
      </c>
      <c r="BG11" s="22">
        <f t="shared" si="7"/>
        <v>14.728605078174702</v>
      </c>
      <c r="BH11" s="62">
        <f t="shared" si="8"/>
        <v>160.04246872371886</v>
      </c>
      <c r="BI11" s="62">
        <f ca="1">AVERAGE(OFFSET($BH$3,0,0,'Données projet'!$E$11+1,1))-AVERAGE(OFFSET($H$3,0,0,'Données projet'!$E$11+1,1))</f>
        <v>378.51861272969165</v>
      </c>
      <c r="BJ11" s="62">
        <f t="shared" si="38"/>
        <v>387.42368617035459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5.7692307692307692</v>
      </c>
      <c r="BY11" s="13">
        <f>IF('Données projet'!$A$114&gt;35,BY10+BX11-CG10,IF(A11&lt;'Données projet'!$A$114,$BV$205^A11,IF(A11='Données projet'!$A$114,'Données projet'!$B$114,BY10+BX11-CG10)))</f>
        <v>14.252263870136129</v>
      </c>
      <c r="BZ11" s="14">
        <f>BY11*VLOOKUP('Données projet'!$B$12,Paramètres!$A$1:$I$89,3,0)*VLOOKUP('Données projet'!$B$12,Paramètres!$A$1:$I$89,5,0)</f>
        <v>8.5228537943414064</v>
      </c>
      <c r="CA11" s="14">
        <f t="shared" si="39"/>
        <v>3.0606735102702713</v>
      </c>
      <c r="CB11" s="22">
        <f t="shared" si="10"/>
        <v>20.174643388865338</v>
      </c>
      <c r="CC11" s="62">
        <f t="shared" si="11"/>
        <v>165.48850703440951</v>
      </c>
      <c r="CD11" s="62">
        <f ca="1">AVERAGE(OFFSET($CC$3,0,0,'Données projet'!$E$12+1,1))-AVERAGE(OFFSET($H$3,0,0,'Données projet'!$E$12+1,1))</f>
        <v>225.71928466161592</v>
      </c>
      <c r="CE11" s="62">
        <f t="shared" si="40"/>
        <v>385.98818770742025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3.65</v>
      </c>
      <c r="CT11" s="13">
        <f>IF('Données projet'!$A$140&gt;35,CT10+CS11-DB10,IF(A11&lt;'Données projet'!$A$140,$CQ$205^A11,IF(A11='Données projet'!$A$140,'Données projet'!$B$140,CT10+CS11-DB10)))</f>
        <v>5.563257268920875</v>
      </c>
      <c r="CU11" s="18">
        <f>CT11*VLOOKUP('Données projet'!$B$13,Paramètres!$A$1:$I$89,3,0)*VLOOKUP('Données projet'!$B$13,Paramètres!$A$1:$I$89,5,0)</f>
        <v>5.0336351769196082</v>
      </c>
      <c r="CV11" s="14">
        <f t="shared" si="41"/>
        <v>1.9219176128866391</v>
      </c>
      <c r="CW11" s="22">
        <f t="shared" si="13"/>
        <v>12.11425444224588</v>
      </c>
      <c r="CX11" s="62">
        <f t="shared" si="14"/>
        <v>157.42811808779004</v>
      </c>
      <c r="CY11" s="62">
        <f ca="1">AVERAGE(OFFSET($CX$3,0,0,'Données projet'!$E$13+1,1))-AVERAGE(OFFSET($H$3,0,0,'Données projet'!$E$13+1,1))</f>
        <v>499.92116338695428</v>
      </c>
      <c r="CZ11" s="62">
        <f t="shared" si="42"/>
        <v>316.79403154855652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135.66666666666666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182.63945358261782</v>
      </c>
      <c r="S12" s="62">
        <f ca="1">AVERAGE(OFFSET($R$3,0,0,'Données projet'!$E$9+1,1))-AVERAGE(OFFSET($H$3,0,0,'Données projet'!$E$9+1,1))</f>
        <v>211.70619219850786</v>
      </c>
      <c r="T12" s="62">
        <f t="shared" si="34"/>
        <v>426.883837098247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11</v>
      </c>
      <c r="AI12" s="14">
        <f>IF('Données projet'!$A$62&gt;35,AI11+AH12-AQ11,IF(A12&lt;'Données projet'!$A$62,$AF$205^A12,IF(A12='Données projet'!$A$62,'Données projet'!$B$62,AI11+AH12-AQ11)))</f>
        <v>68</v>
      </c>
      <c r="AJ12" s="14">
        <f>AI12*VLOOKUP('Données projet'!$B$10,Paramètres!$A$1:$I$89,3,0)*VLOOKUP('Données projet'!$B$10,Paramètres!$A$1:$I$89,5,0)</f>
        <v>61.526399999999995</v>
      </c>
      <c r="AK12" s="14">
        <f t="shared" si="35"/>
        <v>17.553624762159014</v>
      </c>
      <c r="AL12" s="22">
        <f t="shared" si="4"/>
        <v>137.73104312742694</v>
      </c>
      <c r="AM12" s="62">
        <f t="shared" si="5"/>
        <v>286.36847376464544</v>
      </c>
      <c r="AN12" s="62">
        <f ca="1">AVERAGE(OFFSET($AM$3,0,0,'Données projet'!$E$10+1,1))-AVERAGE(OFFSET($H$3,0,0,'Données projet'!$E$10+1,1))</f>
        <v>327.07074355218322</v>
      </c>
      <c r="AO12" s="62">
        <f t="shared" si="36"/>
        <v>462.01668587029087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6.6</v>
      </c>
      <c r="BD12" s="13">
        <f>IF('Données projet'!$A$88&gt;35,BD11+BC12-BL11,IF(A12&lt;'Données projet'!$A$88,$BA$205^A12,IF(A12='Données projet'!$A$88,'Données projet'!$B$88,BD11+BC12-BL11)))</f>
        <v>9.0003265963745314</v>
      </c>
      <c r="BE12" s="14">
        <f>BD12*VLOOKUP('Données projet'!$B$11,Paramètres!$A$1:$I$89,3,0)*VLOOKUP('Données projet'!$B$11,Paramètres!$A$1:$I$89,5,0)</f>
        <v>7.8626853145927917</v>
      </c>
      <c r="BF12" s="14">
        <f t="shared" si="37"/>
        <v>2.8502208135558442</v>
      </c>
      <c r="BG12" s="22">
        <f t="shared" si="7"/>
        <v>18.658311506525539</v>
      </c>
      <c r="BH12" s="62">
        <f t="shared" si="8"/>
        <v>167.29574214374404</v>
      </c>
      <c r="BI12" s="62">
        <f ca="1">AVERAGE(OFFSET($BH$3,0,0,'Données projet'!$E$11+1,1))-AVERAGE(OFFSET($H$3,0,0,'Données projet'!$E$11+1,1))</f>
        <v>378.51861272969165</v>
      </c>
      <c r="BJ12" s="62">
        <f t="shared" si="38"/>
        <v>387.42368617035459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5.7692307692307692</v>
      </c>
      <c r="BY12" s="13">
        <f>IF('Données projet'!$A$114&gt;35,BY11+BX12-CG11,IF(A12&lt;'Données projet'!$A$114,$BV$205^A12,IF(A12='Données projet'!$A$114,'Données projet'!$B$114,BY11+BX12-CG11)))</f>
        <v>19.866407349653503</v>
      </c>
      <c r="BZ12" s="14">
        <f>BY12*VLOOKUP('Données projet'!$B$12,Paramètres!$A$1:$I$89,3,0)*VLOOKUP('Données projet'!$B$12,Paramètres!$A$1:$I$89,5,0)</f>
        <v>11.880111595092796</v>
      </c>
      <c r="CA12" s="14">
        <f t="shared" si="39"/>
        <v>4.1045303991363813</v>
      </c>
      <c r="CB12" s="22">
        <f t="shared" si="10"/>
        <v>27.839918139949148</v>
      </c>
      <c r="CC12" s="62">
        <f t="shared" si="11"/>
        <v>176.47734877716766</v>
      </c>
      <c r="CD12" s="62">
        <f ca="1">AVERAGE(OFFSET($CC$3,0,0,'Données projet'!$E$12+1,1))-AVERAGE(OFFSET($H$3,0,0,'Données projet'!$E$12+1,1))</f>
        <v>225.71928466161592</v>
      </c>
      <c r="CE12" s="62">
        <f t="shared" si="40"/>
        <v>385.98818770742025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3.65</v>
      </c>
      <c r="CT12" s="13">
        <f>IF('Données projet'!$A$140&gt;35,CT11+CS12-DB11,IF(A12&lt;'Données projet'!$A$140,$CQ$205^A12,IF(A12='Données projet'!$A$140,'Données projet'!$B$140,CT11+CS12-DB11)))</f>
        <v>6.8943811137639424</v>
      </c>
      <c r="CU12" s="18">
        <f>CT12*VLOOKUP('Données projet'!$B$13,Paramètres!$A$1:$I$89,3,0)*VLOOKUP('Données projet'!$B$13,Paramètres!$A$1:$I$89,5,0)</f>
        <v>6.2380360317336141</v>
      </c>
      <c r="CV12" s="14">
        <f t="shared" si="41"/>
        <v>2.3230383034439352</v>
      </c>
      <c r="CW12" s="22">
        <f t="shared" si="13"/>
        <v>14.910537800434229</v>
      </c>
      <c r="CX12" s="62">
        <f t="shared" si="14"/>
        <v>163.54796843765274</v>
      </c>
      <c r="CY12" s="62">
        <f ca="1">AVERAGE(OFFSET($CX$3,0,0,'Données projet'!$E$13+1,1))-AVERAGE(OFFSET($H$3,0,0,'Données projet'!$E$13+1,1))</f>
        <v>499.92116338695428</v>
      </c>
      <c r="CZ12" s="62">
        <f t="shared" si="42"/>
        <v>316.79403154855652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135.66666666666666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199.92287992044396</v>
      </c>
      <c r="S13" s="62">
        <f ca="1">AVERAGE(OFFSET($R$3,0,0,'Données projet'!$E$9+1,1))-AVERAGE(OFFSET($H$3,0,0,'Données projet'!$E$9+1,1))</f>
        <v>211.70619219850786</v>
      </c>
      <c r="T13" s="62">
        <f t="shared" si="34"/>
        <v>426.883837098247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79</v>
      </c>
      <c r="AG13" s="13">
        <f>VLOOKUP(A13,'Données projet'!$A$61:$I$81,9,0)</f>
        <v>11</v>
      </c>
      <c r="AH13" s="13">
        <f t="array" ref="AH13">INDEX(AG:AG,MIN(IF(ISNUMBER(AG13:AG209),ROW(AG13:AG209),"")))</f>
        <v>11</v>
      </c>
      <c r="AI13" s="14">
        <f>IF('Données projet'!$A$62&gt;35,AI12+AH13-AQ12,IF(A13&lt;'Données projet'!$A$62,$AF$205^A13,IF(A13='Données projet'!$A$62,'Données projet'!$B$62,AI12+AH13-AQ12)))</f>
        <v>79</v>
      </c>
      <c r="AJ13" s="14">
        <f>AI13*VLOOKUP('Données projet'!$B$10,Paramètres!$A$1:$I$89,3,0)*VLOOKUP('Données projet'!$B$10,Paramètres!$A$1:$I$89,5,0)</f>
        <v>71.479200000000006</v>
      </c>
      <c r="AK13" s="14">
        <f t="shared" si="35"/>
        <v>20.040346808618612</v>
      </c>
      <c r="AL13" s="22">
        <f t="shared" si="4"/>
        <v>159.39654402501074</v>
      </c>
      <c r="AM13" s="62">
        <f t="shared" si="5"/>
        <v>311.32108802005678</v>
      </c>
      <c r="AN13" s="62">
        <f ca="1">AVERAGE(OFFSET($AM$3,0,0,'Données projet'!$E$10+1,1))-AVERAGE(OFFSET($H$3,0,0,'Données projet'!$E$10+1,1))</f>
        <v>327.07074355218322</v>
      </c>
      <c r="AO13" s="62">
        <f t="shared" si="36"/>
        <v>462.01668587029087</v>
      </c>
      <c r="AP13" s="16">
        <f>IF(ISNA(VLOOKUP(A13,'Données projet'!$A$61:$I$81,3,0)),0,VLOOKUP(A13,'Données projet'!$A$61:$I$81,3,0))</f>
        <v>2</v>
      </c>
      <c r="AQ13" s="16">
        <f>IF(ISNA(VLOOKUP(A13,'Données projet'!$A$61:$I$81,4,0)),0,VLOOKUP(A13,'Données projet'!$A$61:$I$81,4,0))</f>
        <v>21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6.6</v>
      </c>
      <c r="BD13" s="13">
        <f>IF('Données projet'!$A$88&gt;35,BD12+BC13-BL12,IF(A13&lt;'Données projet'!$A$88,$BA$205^A13,IF(A13='Données projet'!$A$88,'Données projet'!$B$88,BD12+BC13-BL12)))</f>
        <v>11.489125293076063</v>
      </c>
      <c r="BE13" s="14">
        <f>BD13*VLOOKUP('Données projet'!$B$11,Paramètres!$A$1:$I$89,3,0)*VLOOKUP('Données projet'!$B$11,Paramètres!$A$1:$I$89,5,0)</f>
        <v>10.036899856031249</v>
      </c>
      <c r="BF13" s="14">
        <f t="shared" si="37"/>
        <v>3.5364332356333024</v>
      </c>
      <c r="BG13" s="22">
        <f t="shared" si="7"/>
        <v>23.640221801315761</v>
      </c>
      <c r="BH13" s="62">
        <f t="shared" si="8"/>
        <v>175.56476579636177</v>
      </c>
      <c r="BI13" s="62">
        <f ca="1">AVERAGE(OFFSET($BH$3,0,0,'Données projet'!$E$11+1,1))-AVERAGE(OFFSET($H$3,0,0,'Données projet'!$E$11+1,1))</f>
        <v>378.51861272969165</v>
      </c>
      <c r="BJ13" s="62">
        <f t="shared" si="38"/>
        <v>387.42368617035459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5.7692307692307692</v>
      </c>
      <c r="BY13" s="13">
        <f>IF('Données projet'!$A$114&gt;35,BY12+BX13-CG12,IF(A13&lt;'Données projet'!$A$114,$BV$205^A13,IF(A13='Données projet'!$A$114,'Données projet'!$B$114,BY12+BX13-CG12)))</f>
        <v>27.69203156625229</v>
      </c>
      <c r="BZ13" s="14">
        <f>BY13*VLOOKUP('Données projet'!$B$12,Paramètres!$A$1:$I$89,3,0)*VLOOKUP('Données projet'!$B$12,Paramètres!$A$1:$I$89,5,0)</f>
        <v>16.559834876618869</v>
      </c>
      <c r="CA13" s="14">
        <f t="shared" si="39"/>
        <v>5.5043995188977117</v>
      </c>
      <c r="CB13" s="22">
        <f t="shared" si="10"/>
        <v>38.428541572191371</v>
      </c>
      <c r="CC13" s="62">
        <f t="shared" si="11"/>
        <v>190.35308556723737</v>
      </c>
      <c r="CD13" s="62">
        <f ca="1">AVERAGE(OFFSET($CC$3,0,0,'Données projet'!$E$12+1,1))-AVERAGE(OFFSET($H$3,0,0,'Données projet'!$E$12+1,1))</f>
        <v>225.71928466161592</v>
      </c>
      <c r="CE13" s="62">
        <f t="shared" si="40"/>
        <v>385.98818770742025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3.65</v>
      </c>
      <c r="CT13" s="13">
        <f>IF('Données projet'!$A$140&gt;35,CT12+CS13-DB12,IF(A13&lt;'Données projet'!$A$140,$CQ$205^A13,IF(A13='Données projet'!$A$140,'Données projet'!$B$140,CT12+CS13-DB12)))</f>
        <v>8.5440037453175322</v>
      </c>
      <c r="CU13" s="18">
        <f>CT13*VLOOKUP('Données projet'!$B$13,Paramètres!$A$1:$I$89,3,0)*VLOOKUP('Données projet'!$B$13,Paramètres!$A$1:$I$89,5,0)</f>
        <v>7.7306145887633031</v>
      </c>
      <c r="CV13" s="14">
        <f t="shared" si="41"/>
        <v>2.8078763226288115</v>
      </c>
      <c r="CW13" s="22">
        <f t="shared" si="13"/>
        <v>18.354538337341264</v>
      </c>
      <c r="CX13" s="62">
        <f t="shared" si="14"/>
        <v>170.27908233238728</v>
      </c>
      <c r="CY13" s="62">
        <f ca="1">AVERAGE(OFFSET($CX$3,0,0,'Données projet'!$E$13+1,1))-AVERAGE(OFFSET($H$3,0,0,'Données projet'!$E$13+1,1))</f>
        <v>499.92116338695428</v>
      </c>
      <c r="CZ13" s="62">
        <f t="shared" si="42"/>
        <v>316.79403154855652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135.66666666666666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222.95318813349218</v>
      </c>
      <c r="S14" s="62">
        <f ca="1">AVERAGE(OFFSET($R$3,0,0,'Données projet'!$E$9+1,1))-AVERAGE(OFFSET($H$3,0,0,'Données projet'!$E$9+1,1))</f>
        <v>211.70619219850786</v>
      </c>
      <c r="T14" s="62">
        <f t="shared" si="34"/>
        <v>426.883837098247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11</v>
      </c>
      <c r="AI14" s="14">
        <f>IF('Données projet'!$A$62&gt;35,AI13+AH14-AQ13,IF(A14&lt;'Données projet'!$A$62,$AF$205^A14,IF(A14='Données projet'!$A$62,'Données projet'!$B$62,AI13+AH14-AQ13)))</f>
        <v>69</v>
      </c>
      <c r="AJ14" s="14">
        <f>AI14*VLOOKUP('Données projet'!$B$10,Paramètres!$A$1:$I$89,3,0)*VLOOKUP('Données projet'!$B$10,Paramètres!$A$1:$I$89,5,0)</f>
        <v>62.431199999999997</v>
      </c>
      <c r="AK14" s="14">
        <f t="shared" si="35"/>
        <v>17.781524466058684</v>
      </c>
      <c r="AL14" s="22">
        <f t="shared" si="4"/>
        <v>139.70382844505221</v>
      </c>
      <c r="AM14" s="62">
        <f t="shared" si="5"/>
        <v>294.8796645531279</v>
      </c>
      <c r="AN14" s="62">
        <f ca="1">AVERAGE(OFFSET($AM$3,0,0,'Données projet'!$E$10+1,1))-AVERAGE(OFFSET($H$3,0,0,'Données projet'!$E$10+1,1))</f>
        <v>327.07074355218322</v>
      </c>
      <c r="AO14" s="62">
        <f t="shared" si="36"/>
        <v>462.01668587029087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6.6</v>
      </c>
      <c r="BD14" s="13">
        <f>IF('Données projet'!$A$88&gt;35,BD13+BC14-BL13,IF(A14&lt;'Données projet'!$A$88,$BA$205^A14,IF(A14='Données projet'!$A$88,'Données projet'!$B$88,BD13+BC14-BL13)))</f>
        <v>14.666134454850974</v>
      </c>
      <c r="BE14" s="14">
        <f>BD14*VLOOKUP('Données projet'!$B$11,Paramètres!$A$1:$I$89,3,0)*VLOOKUP('Données projet'!$B$11,Paramètres!$A$1:$I$89,5,0)</f>
        <v>12.812335059757812</v>
      </c>
      <c r="BF14" s="14">
        <f t="shared" si="37"/>
        <v>4.3878565375042955</v>
      </c>
      <c r="BG14" s="22">
        <f t="shared" si="7"/>
        <v>29.957000365231504</v>
      </c>
      <c r="BH14" s="62">
        <f t="shared" si="8"/>
        <v>185.13283647330718</v>
      </c>
      <c r="BI14" s="62">
        <f ca="1">AVERAGE(OFFSET($BH$3,0,0,'Données projet'!$E$11+1,1))-AVERAGE(OFFSET($H$3,0,0,'Données projet'!$E$11+1,1))</f>
        <v>378.51861272969165</v>
      </c>
      <c r="BJ14" s="62">
        <f t="shared" si="38"/>
        <v>387.42368617035459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5.7692307692307692</v>
      </c>
      <c r="BY14" s="13">
        <f>IF('Données projet'!$A$114&gt;35,BY13+BX14-CG13,IF(A14&lt;'Données projet'!$A$114,$BV$205^A14,IF(A14='Données projet'!$A$114,'Données projet'!$B$114,BY13+BX14-CG13)))</f>
        <v>38.600266206646971</v>
      </c>
      <c r="BZ14" s="14">
        <f>BY14*VLOOKUP('Données projet'!$B$12,Paramètres!$A$1:$I$89,3,0)*VLOOKUP('Données projet'!$B$12,Paramètres!$A$1:$I$89,5,0)</f>
        <v>23.08295919157489</v>
      </c>
      <c r="CA14" s="14">
        <f t="shared" si="39"/>
        <v>7.3817004912465372</v>
      </c>
      <c r="CB14" s="22">
        <f t="shared" si="10"/>
        <v>53.059282280913983</v>
      </c>
      <c r="CC14" s="62">
        <f t="shared" si="11"/>
        <v>208.23511838898966</v>
      </c>
      <c r="CD14" s="62">
        <f ca="1">AVERAGE(OFFSET($CC$3,0,0,'Données projet'!$E$12+1,1))-AVERAGE(OFFSET($H$3,0,0,'Données projet'!$E$12+1,1))</f>
        <v>225.71928466161592</v>
      </c>
      <c r="CE14" s="62">
        <f t="shared" si="40"/>
        <v>385.98818770742025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3.65</v>
      </c>
      <c r="CT14" s="13">
        <f>IF('Données projet'!$A$140&gt;35,CT13+CS14-DB13,IF(A14&lt;'Données projet'!$A$140,$CQ$205^A14,IF(A14='Données projet'!$A$140,'Données projet'!$B$140,CT13+CS14-DB13)))</f>
        <v>10.588332555950936</v>
      </c>
      <c r="CU14" s="18">
        <f>CT14*VLOOKUP('Données projet'!$B$13,Paramètres!$A$1:$I$89,3,0)*VLOOKUP('Données projet'!$B$13,Paramètres!$A$1:$I$89,5,0)</f>
        <v>9.5803232966244067</v>
      </c>
      <c r="CV14" s="14">
        <f t="shared" si="41"/>
        <v>3.3939041949894282</v>
      </c>
      <c r="CW14" s="22">
        <f t="shared" si="13"/>
        <v>22.596779547894098</v>
      </c>
      <c r="CX14" s="62">
        <f t="shared" si="14"/>
        <v>177.77261565596979</v>
      </c>
      <c r="CY14" s="62">
        <f ca="1">AVERAGE(OFFSET($CX$3,0,0,'Données projet'!$E$13+1,1))-AVERAGE(OFFSET($H$3,0,0,'Données projet'!$E$13+1,1))</f>
        <v>499.92116338695428</v>
      </c>
      <c r="CZ14" s="62">
        <f t="shared" si="42"/>
        <v>316.79403154855652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135.66666666666666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254.12833050035093</v>
      </c>
      <c r="S15" s="62">
        <f ca="1">AVERAGE(OFFSET($R$3,0,0,'Données projet'!$E$9+1,1))-AVERAGE(OFFSET($H$3,0,0,'Données projet'!$E$9+1,1))</f>
        <v>211.70619219850786</v>
      </c>
      <c r="T15" s="62">
        <f t="shared" si="34"/>
        <v>426.883837098247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11</v>
      </c>
      <c r="AI15" s="14">
        <f>IF('Données projet'!$A$62&gt;35,AI14+AH15-AQ14,IF(A15&lt;'Données projet'!$A$62,$AF$205^A15,IF(A15='Données projet'!$A$62,'Données projet'!$B$62,AI14+AH15-AQ14)))</f>
        <v>80</v>
      </c>
      <c r="AJ15" s="14">
        <f>AI15*VLOOKUP('Données projet'!$B$10,Paramètres!$A$1:$I$89,3,0)*VLOOKUP('Données projet'!$B$10,Paramètres!$A$1:$I$89,5,0)</f>
        <v>72.384</v>
      </c>
      <c r="AK15" s="14">
        <f t="shared" si="35"/>
        <v>20.264329923804397</v>
      </c>
      <c r="AL15" s="22">
        <f t="shared" si="4"/>
        <v>161.362507950626</v>
      </c>
      <c r="AM15" s="62">
        <f t="shared" si="5"/>
        <v>319.75443634544661</v>
      </c>
      <c r="AN15" s="62">
        <f ca="1">AVERAGE(OFFSET($AM$3,0,0,'Données projet'!$E$10+1,1))-AVERAGE(OFFSET($H$3,0,0,'Données projet'!$E$10+1,1))</f>
        <v>327.07074355218322</v>
      </c>
      <c r="AO15" s="62">
        <f t="shared" si="36"/>
        <v>462.01668587029087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6.6</v>
      </c>
      <c r="BD15" s="13">
        <f>IF('Données projet'!$A$88&gt;35,BD14+BC15-BL14,IF(A15&lt;'Données projet'!$A$88,$BA$205^A15,IF(A15='Données projet'!$A$88,'Données projet'!$B$88,BD14+BC15-BL14)))</f>
        <v>18.721660210059202</v>
      </c>
      <c r="BE15" s="14">
        <f>BD15*VLOOKUP('Données projet'!$B$11,Paramètres!$A$1:$I$89,3,0)*VLOOKUP('Données projet'!$B$11,Paramètres!$A$1:$I$89,5,0)</f>
        <v>16.35524235950772</v>
      </c>
      <c r="BF15" s="14">
        <f t="shared" si="37"/>
        <v>5.4442664998513175</v>
      </c>
      <c r="BG15" s="22">
        <f t="shared" si="7"/>
        <v>37.967477930050322</v>
      </c>
      <c r="BH15" s="62">
        <f t="shared" si="8"/>
        <v>196.35940632487092</v>
      </c>
      <c r="BI15" s="62">
        <f ca="1">AVERAGE(OFFSET($BH$3,0,0,'Données projet'!$E$11+1,1))-AVERAGE(OFFSET($H$3,0,0,'Données projet'!$E$11+1,1))</f>
        <v>378.51861272969165</v>
      </c>
      <c r="BJ15" s="62">
        <f t="shared" si="38"/>
        <v>387.42368617035459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5.7692307692307692</v>
      </c>
      <c r="BY15" s="13">
        <f>IF('Données projet'!$A$114&gt;35,BY14+BX15-CG14,IF(A15&lt;'Données projet'!$A$114,$BV$205^A15,IF(A15='Données projet'!$A$114,'Données projet'!$B$114,BY14+BX15-CG14)))</f>
        <v>53.805389743951515</v>
      </c>
      <c r="BZ15" s="14">
        <f>BY15*VLOOKUP('Données projet'!$B$12,Paramètres!$A$1:$I$89,3,0)*VLOOKUP('Données projet'!$B$12,Paramètres!$A$1:$I$89,5,0)</f>
        <v>32.175623066883006</v>
      </c>
      <c r="CA15" s="14">
        <f t="shared" si="39"/>
        <v>9.8992636627112418</v>
      </c>
      <c r="CB15" s="22">
        <f t="shared" si="10"/>
        <v>73.28042772070998</v>
      </c>
      <c r="CC15" s="62">
        <f t="shared" si="11"/>
        <v>231.67235611553059</v>
      </c>
      <c r="CD15" s="62">
        <f ca="1">AVERAGE(OFFSET($CC$3,0,0,'Données projet'!$E$12+1,1))-AVERAGE(OFFSET($H$3,0,0,'Données projet'!$E$12+1,1))</f>
        <v>225.71928466161592</v>
      </c>
      <c r="CE15" s="62">
        <f t="shared" si="40"/>
        <v>385.98818770742025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3.65</v>
      </c>
      <c r="CT15" s="13">
        <f>IF('Données projet'!$A$140&gt;35,CT14+CS15-DB14,IF(A15&lt;'Données projet'!$A$140,$CQ$205^A15,IF(A15='Données projet'!$A$140,'Données projet'!$B$140,CT14+CS15-DB14)))</f>
        <v>13.121809125710287</v>
      </c>
      <c r="CU15" s="18">
        <f>CT15*VLOOKUP('Données projet'!$B$13,Paramètres!$A$1:$I$89,3,0)*VLOOKUP('Données projet'!$B$13,Paramètres!$A$1:$I$89,5,0)</f>
        <v>11.872612896942668</v>
      </c>
      <c r="CV15" s="14">
        <f t="shared" si="41"/>
        <v>4.1022411108131784</v>
      </c>
      <c r="CW15" s="22">
        <f t="shared" si="13"/>
        <v>27.822870730174767</v>
      </c>
      <c r="CX15" s="62">
        <f t="shared" si="14"/>
        <v>186.21479912499538</v>
      </c>
      <c r="CY15" s="62">
        <f ca="1">AVERAGE(OFFSET($CX$3,0,0,'Données projet'!$E$13+1,1))-AVERAGE(OFFSET($H$3,0,0,'Données projet'!$E$13+1,1))</f>
        <v>499.92116338695428</v>
      </c>
      <c r="CZ15" s="62">
        <f t="shared" si="42"/>
        <v>316.79403154855652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135.66666666666666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296.84320769176509</v>
      </c>
      <c r="S16" s="62">
        <f ca="1">AVERAGE(OFFSET($R$3,0,0,'Données projet'!$E$9+1,1))-AVERAGE(OFFSET($H$3,0,0,'Données projet'!$E$9+1,1))</f>
        <v>211.70619219850786</v>
      </c>
      <c r="T16" s="62">
        <f t="shared" si="34"/>
        <v>426.883837098247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11</v>
      </c>
      <c r="AI16" s="14">
        <f>IF('Données projet'!$A$62&gt;35,AI15+AH16-AQ15,IF(A16&lt;'Données projet'!$A$62,$AF$205^A16,IF(A16='Données projet'!$A$62,'Données projet'!$B$62,AI15+AH16-AQ15)))</f>
        <v>91</v>
      </c>
      <c r="AJ16" s="14">
        <f>AI16*VLOOKUP('Données projet'!$B$10,Paramètres!$A$1:$I$89,3,0)*VLOOKUP('Données projet'!$B$10,Paramètres!$A$1:$I$89,5,0)</f>
        <v>82.336799999999997</v>
      </c>
      <c r="AK16" s="14">
        <f t="shared" si="35"/>
        <v>22.707582950885364</v>
      </c>
      <c r="AL16" s="22">
        <f t="shared" si="4"/>
        <v>182.95230030612535</v>
      </c>
      <c r="AM16" s="62">
        <f t="shared" si="5"/>
        <v>344.52573179969704</v>
      </c>
      <c r="AN16" s="62">
        <f ca="1">AVERAGE(OFFSET($AM$3,0,0,'Données projet'!$E$10+1,1))-AVERAGE(OFFSET($H$3,0,0,'Données projet'!$E$10+1,1))</f>
        <v>327.07074355218322</v>
      </c>
      <c r="AO16" s="62">
        <f t="shared" si="36"/>
        <v>462.01668587029087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6.6</v>
      </c>
      <c r="BD16" s="13">
        <f>IF('Données projet'!$A$88&gt;35,BD15+BC16-BL15,IF(A16&lt;'Données projet'!$A$88,$BA$205^A16,IF(A16='Données projet'!$A$88,'Données projet'!$B$88,BD15+BC16-BL15)))</f>
        <v>23.89863273788427</v>
      </c>
      <c r="BE16" s="14">
        <f>BD16*VLOOKUP('Données projet'!$B$11,Paramètres!$A$1:$I$89,3,0)*VLOOKUP('Données projet'!$B$11,Paramètres!$A$1:$I$89,5,0)</f>
        <v>20.8778455598157</v>
      </c>
      <c r="BF16" s="14">
        <f t="shared" si="37"/>
        <v>6.7550152262411558</v>
      </c>
      <c r="BG16" s="22">
        <f t="shared" si="7"/>
        <v>48.127232535715684</v>
      </c>
      <c r="BH16" s="62">
        <f t="shared" si="8"/>
        <v>209.70066402928737</v>
      </c>
      <c r="BI16" s="62">
        <f ca="1">AVERAGE(OFFSET($BH$3,0,0,'Données projet'!$E$11+1,1))-AVERAGE(OFFSET($H$3,0,0,'Données projet'!$E$11+1,1))</f>
        <v>378.51861272969165</v>
      </c>
      <c r="BJ16" s="62">
        <f t="shared" si="38"/>
        <v>387.42368617035459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>
        <f>VLOOKUP(A16,'Données projet'!$A$113:$I$133,2,0)</f>
        <v>75</v>
      </c>
      <c r="BW16" s="13">
        <f>VLOOKUP(A16,'Données projet'!$A$113:$I$133,9,0)</f>
        <v>5.7692307692307692</v>
      </c>
      <c r="BX16" s="13">
        <f t="array" ref="BX16">INDEX(BW:BW,MIN(IF(ISNUMBER(BW16:BW212),ROW(BW16:BW212),"")))</f>
        <v>5.7692307692307692</v>
      </c>
      <c r="BY16" s="13">
        <f>IF('Données projet'!$A$114&gt;35,BY15+BX16-CG15,IF(A16&lt;'Données projet'!$A$114,$BV$205^A16,IF(A16='Données projet'!$A$114,'Données projet'!$B$114,BY15+BX16-CG15)))</f>
        <v>75</v>
      </c>
      <c r="BZ16" s="14">
        <f>BY16*VLOOKUP('Données projet'!$B$12,Paramètres!$A$1:$I$89,3,0)*VLOOKUP('Données projet'!$B$12,Paramètres!$A$1:$I$89,5,0)</f>
        <v>44.85</v>
      </c>
      <c r="CA16" s="14">
        <f t="shared" si="39"/>
        <v>13.275453424327006</v>
      </c>
      <c r="CB16" s="22">
        <f t="shared" si="10"/>
        <v>101.2351647140362</v>
      </c>
      <c r="CC16" s="62">
        <f t="shared" si="11"/>
        <v>262.80859620760788</v>
      </c>
      <c r="CD16" s="62">
        <f ca="1">AVERAGE(OFFSET($CC$3,0,0,'Données projet'!$E$12+1,1))-AVERAGE(OFFSET($H$3,0,0,'Données projet'!$E$12+1,1))</f>
        <v>225.71928466161592</v>
      </c>
      <c r="CE16" s="62">
        <f t="shared" si="40"/>
        <v>385.98818770742025</v>
      </c>
      <c r="CF16" s="16">
        <f>IF(ISNA(VLOOKUP(A16,'Données projet'!$A$113:$I$133,3,0)),0,VLOOKUP(A16,'Données projet'!$A$113:$I$133,3,0))</f>
        <v>1</v>
      </c>
      <c r="CG16" s="16">
        <f>IF(ISNA(VLOOKUP(A16,'Données projet'!$A$113:$I$133,4,0)),0,VLOOKUP(A16,'Données projet'!$A$113:$I$133,4,0))</f>
        <v>15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1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10.1561237088124</v>
      </c>
      <c r="CN16" s="24">
        <f t="shared" si="12"/>
        <v>10.1561237088124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3.65</v>
      </c>
      <c r="CT16" s="13">
        <f>IF('Données projet'!$A$140&gt;35,CT15+CS16-DB15,IF(A16&lt;'Données projet'!$A$140,$CQ$205^A16,IF(A16='Données projet'!$A$140,'Données projet'!$B$140,CT15+CS16-DB15)))</f>
        <v>16.261472127148366</v>
      </c>
      <c r="CU16" s="18">
        <f>CT16*VLOOKUP('Données projet'!$B$13,Paramètres!$A$1:$I$89,3,0)*VLOOKUP('Données projet'!$B$13,Paramètres!$A$1:$I$89,5,0)</f>
        <v>14.713379980643843</v>
      </c>
      <c r="CV16" s="14">
        <f t="shared" si="41"/>
        <v>4.9584140165447881</v>
      </c>
      <c r="CW16" s="22">
        <f t="shared" si="13"/>
        <v>34.261707878436859</v>
      </c>
      <c r="CX16" s="62">
        <f t="shared" si="14"/>
        <v>195.83513937200854</v>
      </c>
      <c r="CY16" s="62">
        <f ca="1">AVERAGE(OFFSET($CX$3,0,0,'Données projet'!$E$13+1,1))-AVERAGE(OFFSET($H$3,0,0,'Données projet'!$E$13+1,1))</f>
        <v>499.92116338695428</v>
      </c>
      <c r="CZ16" s="62">
        <f t="shared" si="42"/>
        <v>316.79403154855652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135.66666666666666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287.7131994329614</v>
      </c>
      <c r="S17" s="62">
        <f ca="1">AVERAGE(OFFSET($R$3,0,0,'Données projet'!$E$9+1,1))-AVERAGE(OFFSET($H$3,0,0,'Données projet'!$E$9+1,1))</f>
        <v>211.70619219850786</v>
      </c>
      <c r="T17" s="62">
        <f t="shared" si="34"/>
        <v>426.883837098247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11</v>
      </c>
      <c r="AI17" s="14">
        <f>IF('Données projet'!$A$62&gt;35,AI16+AH17-AQ16,IF(A17&lt;'Données projet'!$A$62,$AF$205^A17,IF(A17='Données projet'!$A$62,'Données projet'!$B$62,AI16+AH17-AQ16)))</f>
        <v>102</v>
      </c>
      <c r="AJ17" s="14">
        <f>AI17*VLOOKUP('Données projet'!$B$10,Paramètres!$A$1:$I$89,3,0)*VLOOKUP('Données projet'!$B$10,Paramètres!$A$1:$I$89,5,0)</f>
        <v>92.289599999999993</v>
      </c>
      <c r="AK17" s="14">
        <f t="shared" si="35"/>
        <v>25.116611431659546</v>
      </c>
      <c r="AL17" s="22">
        <f t="shared" si="4"/>
        <v>204.48248491014036</v>
      </c>
      <c r="AM17" s="62">
        <f t="shared" si="5"/>
        <v>369.20343035955113</v>
      </c>
      <c r="AN17" s="62">
        <f ca="1">AVERAGE(OFFSET($AM$3,0,0,'Données projet'!$E$10+1,1))-AVERAGE(OFFSET($H$3,0,0,'Données projet'!$E$10+1,1))</f>
        <v>327.07074355218322</v>
      </c>
      <c r="AO17" s="62">
        <f t="shared" si="36"/>
        <v>462.01668587029087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6.6</v>
      </c>
      <c r="BD17" s="13">
        <f>IF('Données projet'!$A$88&gt;35,BD16+BC17-BL16,IF(A17&lt;'Données projet'!$A$88,$BA$205^A17,IF(A17='Données projet'!$A$88,'Données projet'!$B$88,BD16+BC17-BL16)))</f>
        <v>30.50715803683886</v>
      </c>
      <c r="BE17" s="14">
        <f>BD17*VLOOKUP('Données projet'!$B$11,Paramètres!$A$1:$I$89,3,0)*VLOOKUP('Données projet'!$B$11,Paramètres!$A$1:$I$89,5,0)</f>
        <v>26.651053260982433</v>
      </c>
      <c r="BF17" s="14">
        <f t="shared" si="37"/>
        <v>8.3813367159737684</v>
      </c>
      <c r="BG17" s="22">
        <f t="shared" si="7"/>
        <v>61.014745876532061</v>
      </c>
      <c r="BH17" s="62">
        <f t="shared" si="8"/>
        <v>225.73569132594287</v>
      </c>
      <c r="BI17" s="62">
        <f ca="1">AVERAGE(OFFSET($BH$3,0,0,'Données projet'!$E$11+1,1))-AVERAGE(OFFSET($H$3,0,0,'Données projet'!$E$11+1,1))</f>
        <v>378.51861272969165</v>
      </c>
      <c r="BJ17" s="62">
        <f t="shared" si="38"/>
        <v>387.42368617035459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17.166666666666668</v>
      </c>
      <c r="BY17" s="13">
        <f>IF('Données projet'!$A$114&gt;35,BY16+BX17-CG16,IF(A17&lt;'Données projet'!$A$114,$BV$205^A17,IF(A17='Données projet'!$A$114,'Données projet'!$B$114,BY16+BX17-CG16)))</f>
        <v>77.166666666666671</v>
      </c>
      <c r="BZ17" s="14">
        <f>BY17*VLOOKUP('Données projet'!$B$12,Paramètres!$A$1:$I$89,3,0)*VLOOKUP('Données projet'!$B$12,Paramètres!$A$1:$I$89,5,0)</f>
        <v>46.145666666666671</v>
      </c>
      <c r="CA17" s="14">
        <f t="shared" si="39"/>
        <v>13.613761874667908</v>
      </c>
      <c r="CB17" s="22">
        <f t="shared" si="10"/>
        <v>104.08100470949104</v>
      </c>
      <c r="CC17" s="62">
        <f t="shared" si="11"/>
        <v>268.80195015890183</v>
      </c>
      <c r="CD17" s="62">
        <f ca="1">AVERAGE(OFFSET($CC$3,0,0,'Données projet'!$E$12+1,1))-AVERAGE(OFFSET($H$3,0,0,'Données projet'!$E$12+1,1))</f>
        <v>225.71928466161592</v>
      </c>
      <c r="CE17" s="62">
        <f t="shared" si="40"/>
        <v>385.98818770742025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7.1814639450707176</v>
      </c>
      <c r="CN17" s="24">
        <f t="shared" si="12"/>
        <v>7.1814639450707176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3.65</v>
      </c>
      <c r="CT17" s="13">
        <f>IF('Données projet'!$A$140&gt;35,CT16+CS17-DB16,IF(A17&lt;'Données projet'!$A$140,$CQ$205^A17,IF(A17='Données projet'!$A$140,'Données projet'!$B$140,CT16+CS17-DB16)))</f>
        <v>20.152364144963837</v>
      </c>
      <c r="CU17" s="18">
        <f>CT17*VLOOKUP('Données projet'!$B$13,Paramètres!$A$1:$I$89,3,0)*VLOOKUP('Données projet'!$B$13,Paramètres!$A$1:$I$89,5,0)</f>
        <v>18.233859078363277</v>
      </c>
      <c r="CV17" s="14">
        <f t="shared" si="41"/>
        <v>5.9932775513027368</v>
      </c>
      <c r="CW17" s="22">
        <f t="shared" si="13"/>
        <v>42.195596296668306</v>
      </c>
      <c r="CX17" s="62">
        <f t="shared" si="14"/>
        <v>206.9165417460791</v>
      </c>
      <c r="CY17" s="62">
        <f ca="1">AVERAGE(OFFSET($CX$3,0,0,'Données projet'!$E$13+1,1))-AVERAGE(OFFSET($H$3,0,0,'Données projet'!$E$13+1,1))</f>
        <v>499.92116338695428</v>
      </c>
      <c r="CZ17" s="62">
        <f t="shared" si="42"/>
        <v>316.79403154855652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135.66666666666666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315.09512602267358</v>
      </c>
      <c r="S18" s="62">
        <f ca="1">AVERAGE(OFFSET($R$3,0,0,'Données projet'!$E$9+1,1))-AVERAGE(OFFSET($H$3,0,0,'Données projet'!$E$9+1,1))</f>
        <v>211.70619219850786</v>
      </c>
      <c r="T18" s="62">
        <f t="shared" si="34"/>
        <v>426.883837098247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113</v>
      </c>
      <c r="AG18" s="13">
        <f>VLOOKUP(A18,'Données projet'!$A$61:$I$81,9,0)</f>
        <v>11</v>
      </c>
      <c r="AH18" s="13">
        <f t="array" ref="AH18">INDEX(AG:AG,MIN(IF(ISNUMBER(AG18:AG214),ROW(AG18:AG214),"")))</f>
        <v>11</v>
      </c>
      <c r="AI18" s="14">
        <f>IF('Données projet'!$A$62&gt;35,AI17+AH18-AQ17,IF(A18&lt;'Données projet'!$A$62,$AF$205^A18,IF(A18='Données projet'!$A$62,'Données projet'!$B$62,AI17+AH18-AQ17)))</f>
        <v>113</v>
      </c>
      <c r="AJ18" s="14">
        <f>AI18*VLOOKUP('Données projet'!$B$10,Paramètres!$A$1:$I$89,3,0)*VLOOKUP('Données projet'!$B$10,Paramètres!$A$1:$I$89,5,0)</f>
        <v>102.24239999999999</v>
      </c>
      <c r="AK18" s="14">
        <f t="shared" si="35"/>
        <v>27.495526976991481</v>
      </c>
      <c r="AL18" s="22">
        <f t="shared" si="4"/>
        <v>225.96022281826015</v>
      </c>
      <c r="AM18" s="62">
        <f t="shared" si="5"/>
        <v>393.79528271623929</v>
      </c>
      <c r="AN18" s="62">
        <f ca="1">AVERAGE(OFFSET($AM$3,0,0,'Données projet'!$E$10+1,1))-AVERAGE(OFFSET($H$3,0,0,'Données projet'!$E$10+1,1))</f>
        <v>327.07074355218322</v>
      </c>
      <c r="AO18" s="62">
        <f t="shared" si="36"/>
        <v>462.01668587029087</v>
      </c>
      <c r="AP18" s="16">
        <f>IF(ISNA(VLOOKUP(A18,'Données projet'!$A$61:$I$81,3,0)),0,VLOOKUP(A18,'Données projet'!$A$61:$I$81,3,0))</f>
        <v>3</v>
      </c>
      <c r="AQ18" s="16">
        <f>IF(ISNA(VLOOKUP(A18,'Données projet'!$A$61:$I$81,4,0)),0,VLOOKUP(A18,'Données projet'!$A$61:$I$81,4,0))</f>
        <v>17</v>
      </c>
      <c r="AR18" s="17">
        <f>IF(ISNA(VLOOKUP(A18,'Données projet'!$A$61:$I$81,5,0)),0%,VLOOKUP(A18,'Données projet'!$A$61:$I$81,5,0)*VLOOKUP('Données projet'!$B$10,Paramètres!$A$1:$I$89,7,0))</f>
        <v>0.06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1.0202341913894415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1.0202341913894415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6.6</v>
      </c>
      <c r="BD18" s="13">
        <f>IF('Données projet'!$A$88&gt;35,BD17+BC18-BL17,IF(A18&lt;'Données projet'!$A$88,$BA$205^A18,IF(A18='Données projet'!$A$88,'Données projet'!$B$88,BD17+BC18-BL17)))</f>
        <v>38.943093594192561</v>
      </c>
      <c r="BE18" s="14">
        <f>BD18*VLOOKUP('Données projet'!$B$11,Paramètres!$A$1:$I$89,3,0)*VLOOKUP('Données projet'!$B$11,Paramètres!$A$1:$I$89,5,0)</f>
        <v>34.02068656388662</v>
      </c>
      <c r="BF18" s="14">
        <f t="shared" si="37"/>
        <v>10.399207521197393</v>
      </c>
      <c r="BG18" s="22">
        <f t="shared" si="7"/>
        <v>77.364648864854644</v>
      </c>
      <c r="BH18" s="62">
        <f t="shared" si="8"/>
        <v>245.19970876283381</v>
      </c>
      <c r="BI18" s="62">
        <f ca="1">AVERAGE(OFFSET($BH$3,0,0,'Données projet'!$E$11+1,1))-AVERAGE(OFFSET($H$3,0,0,'Données projet'!$E$11+1,1))</f>
        <v>378.51861272969165</v>
      </c>
      <c r="BJ18" s="62">
        <f t="shared" si="38"/>
        <v>387.42368617035459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17.166666666666668</v>
      </c>
      <c r="BY18" s="13">
        <f>IF('Données projet'!$A$114&gt;35,BY17+BX18-CG17,IF(A18&lt;'Données projet'!$A$114,$BV$205^A18,IF(A18='Données projet'!$A$114,'Données projet'!$B$114,BY17+BX18-CG17)))</f>
        <v>94.333333333333343</v>
      </c>
      <c r="BZ18" s="14">
        <f>BY18*VLOOKUP('Données projet'!$B$12,Paramètres!$A$1:$I$89,3,0)*VLOOKUP('Données projet'!$B$12,Paramètres!$A$1:$I$89,5,0)</f>
        <v>56.411333333333339</v>
      </c>
      <c r="CA18" s="14">
        <f t="shared" si="39"/>
        <v>16.257710461388346</v>
      </c>
      <c r="CB18" s="22">
        <f t="shared" si="10"/>
        <v>126.56525127580693</v>
      </c>
      <c r="CC18" s="62">
        <f t="shared" si="11"/>
        <v>294.40031117378612</v>
      </c>
      <c r="CD18" s="62">
        <f ca="1">AVERAGE(OFFSET($CC$3,0,0,'Données projet'!$E$12+1,1))-AVERAGE(OFFSET($H$3,0,0,'Données projet'!$E$12+1,1))</f>
        <v>225.71928466161592</v>
      </c>
      <c r="CE18" s="62">
        <f t="shared" si="40"/>
        <v>385.98818770742025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5.0780618544062008</v>
      </c>
      <c r="CN18" s="24">
        <f t="shared" si="12"/>
        <v>5.0780618544062008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3.65</v>
      </c>
      <c r="CT18" s="13">
        <f>IF('Données projet'!$A$140&gt;35,CT17+CS18-DB17,IF(A18&lt;'Données projet'!$A$140,$CQ$205^A18,IF(A18='Données projet'!$A$140,'Données projet'!$B$140,CT17+CS18-DB17)))</f>
        <v>24.974232188561476</v>
      </c>
      <c r="CU18" s="18">
        <f>CT18*VLOOKUP('Données projet'!$B$13,Paramètres!$A$1:$I$89,3,0)*VLOOKUP('Données projet'!$B$13,Paramètres!$A$1:$I$89,5,0)</f>
        <v>22.596685284210423</v>
      </c>
      <c r="CV18" s="14">
        <f t="shared" si="41"/>
        <v>7.2441259820371586</v>
      </c>
      <c r="CW18" s="22">
        <f t="shared" si="13"/>
        <v>51.972746288714539</v>
      </c>
      <c r="CX18" s="62">
        <f t="shared" si="14"/>
        <v>219.80780618669371</v>
      </c>
      <c r="CY18" s="62">
        <f ca="1">AVERAGE(OFFSET($CX$3,0,0,'Données projet'!$E$13+1,1))-AVERAGE(OFFSET($H$3,0,0,'Données projet'!$E$13+1,1))</f>
        <v>499.92116338695428</v>
      </c>
      <c r="CZ18" s="62">
        <f t="shared" si="42"/>
        <v>316.79403154855652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135.66666666666666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342.34851034317109</v>
      </c>
      <c r="S19" s="62">
        <f ca="1">AVERAGE(OFFSET($R$3,0,0,'Données projet'!$E$9+1,1))-AVERAGE(OFFSET($H$3,0,0,'Données projet'!$E$9+1,1))</f>
        <v>211.70619219850786</v>
      </c>
      <c r="T19" s="62">
        <f t="shared" si="34"/>
        <v>426.883837098247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9.8000000000000007</v>
      </c>
      <c r="AI19" s="14">
        <f>IF('Données projet'!$A$62&gt;35,AI18+AH19-AQ18,IF(A19&lt;'Données projet'!$A$62,$AF$205^A19,IF(A19='Données projet'!$A$62,'Données projet'!$B$62,AI18+AH19-AQ18)))</f>
        <v>105.8</v>
      </c>
      <c r="AJ19" s="14">
        <f>AI19*VLOOKUP('Données projet'!$B$10,Paramètres!$A$1:$I$89,3,0)*VLOOKUP('Données projet'!$B$10,Paramètres!$A$1:$I$89,5,0)</f>
        <v>95.72784</v>
      </c>
      <c r="AK19" s="14">
        <f t="shared" si="35"/>
        <v>25.941642560384413</v>
      </c>
      <c r="AL19" s="22">
        <f t="shared" si="4"/>
        <v>211.90768212600287</v>
      </c>
      <c r="AM19" s="62">
        <f t="shared" si="5"/>
        <v>382.82403637206068</v>
      </c>
      <c r="AN19" s="62">
        <f ca="1">AVERAGE(OFFSET($AM$3,0,0,'Données projet'!$E$10+1,1))-AVERAGE(OFFSET($H$3,0,0,'Données projet'!$E$10+1,1))</f>
        <v>327.07074355218322</v>
      </c>
      <c r="AO19" s="62">
        <f t="shared" si="36"/>
        <v>462.01668587029087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1.0002280211777062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1.0002280211777062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6.6</v>
      </c>
      <c r="BD19" s="13">
        <f>IF('Données projet'!$A$88&gt;35,BD18+BC19-BL18,IF(A19&lt;'Données projet'!$A$88,$BA$205^A19,IF(A19='Données projet'!$A$88,'Données projet'!$B$88,BD18+BC19-BL18)))</f>
        <v>49.711760658095955</v>
      </c>
      <c r="BE19" s="14">
        <f>BD19*VLOOKUP('Données projet'!$B$11,Paramètres!$A$1:$I$89,3,0)*VLOOKUP('Données projet'!$B$11,Paramètres!$A$1:$I$89,5,0)</f>
        <v>43.428194110912635</v>
      </c>
      <c r="BF19" s="14">
        <f t="shared" si="37"/>
        <v>12.902896129065022</v>
      </c>
      <c r="BG19" s="22">
        <f t="shared" si="7"/>
        <v>98.109982167961064</v>
      </c>
      <c r="BH19" s="62">
        <f t="shared" si="8"/>
        <v>269.02633641401889</v>
      </c>
      <c r="BI19" s="62">
        <f ca="1">AVERAGE(OFFSET($BH$3,0,0,'Données projet'!$E$11+1,1))-AVERAGE(OFFSET($H$3,0,0,'Données projet'!$E$11+1,1))</f>
        <v>378.51861272969165</v>
      </c>
      <c r="BJ19" s="62">
        <f t="shared" si="38"/>
        <v>387.42368617035459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17.166666666666668</v>
      </c>
      <c r="BY19" s="13">
        <f>IF('Données projet'!$A$114&gt;35,BY18+BX19-CG18,IF(A19&lt;'Données projet'!$A$114,$BV$205^A19,IF(A19='Données projet'!$A$114,'Données projet'!$B$114,BY18+BX19-CG18)))</f>
        <v>111.50000000000001</v>
      </c>
      <c r="BZ19" s="14">
        <f>BY19*VLOOKUP('Données projet'!$B$12,Paramètres!$A$1:$I$89,3,0)*VLOOKUP('Données projet'!$B$12,Paramètres!$A$1:$I$89,5,0)</f>
        <v>66.677000000000007</v>
      </c>
      <c r="CA19" s="14">
        <f t="shared" si="39"/>
        <v>18.845918291779732</v>
      </c>
      <c r="CB19" s="22">
        <f t="shared" si="10"/>
        <v>148.95241602484973</v>
      </c>
      <c r="CC19" s="62">
        <f t="shared" si="11"/>
        <v>319.86877027090753</v>
      </c>
      <c r="CD19" s="62">
        <f ca="1">AVERAGE(OFFSET($CC$3,0,0,'Données projet'!$E$12+1,1))-AVERAGE(OFFSET($H$3,0,0,'Données projet'!$E$12+1,1))</f>
        <v>225.71928466161592</v>
      </c>
      <c r="CE19" s="62">
        <f t="shared" si="40"/>
        <v>385.98818770742025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3.5907319725353593</v>
      </c>
      <c r="CN19" s="24">
        <f t="shared" si="12"/>
        <v>3.5907319725353593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3.65</v>
      </c>
      <c r="CT19" s="13">
        <f>IF('Données projet'!$A$140&gt;35,CT18+CS19-DB18,IF(A19&lt;'Données projet'!$A$140,$CQ$205^A19,IF(A19='Données projet'!$A$140,'Données projet'!$B$140,CT18+CS19-DB18)))</f>
        <v>30.949831440200953</v>
      </c>
      <c r="CU19" s="18">
        <f>CT19*VLOOKUP('Données projet'!$B$13,Paramètres!$A$1:$I$89,3,0)*VLOOKUP('Données projet'!$B$13,Paramètres!$A$1:$I$89,5,0)</f>
        <v>28.003407487093821</v>
      </c>
      <c r="CV19" s="14">
        <f t="shared" si="41"/>
        <v>8.7560372090925433</v>
      </c>
      <c r="CW19" s="22">
        <f t="shared" si="13"/>
        <v>64.022699512524582</v>
      </c>
      <c r="CX19" s="62">
        <f t="shared" si="14"/>
        <v>234.93905375858239</v>
      </c>
      <c r="CY19" s="62">
        <f ca="1">AVERAGE(OFFSET($CX$3,0,0,'Données projet'!$E$13+1,1))-AVERAGE(OFFSET($H$3,0,0,'Données projet'!$E$13+1,1))</f>
        <v>499.92116338695428</v>
      </c>
      <c r="CZ19" s="62">
        <f t="shared" si="42"/>
        <v>316.79403154855652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135.66666666666666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369.48934116986425</v>
      </c>
      <c r="S20" s="62">
        <f ca="1">AVERAGE(OFFSET($R$3,0,0,'Données projet'!$E$9+1,1))-AVERAGE(OFFSET($H$3,0,0,'Données projet'!$E$9+1,1))</f>
        <v>211.70619219850786</v>
      </c>
      <c r="T20" s="62">
        <f t="shared" si="34"/>
        <v>426.883837098247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9.8000000000000007</v>
      </c>
      <c r="AI20" s="14">
        <f>IF('Données projet'!$A$62&gt;35,AI19+AH20-AQ19,IF(A20&lt;'Données projet'!$A$62,$AF$205^A20,IF(A20='Données projet'!$A$62,'Données projet'!$B$62,AI19+AH20-AQ19)))</f>
        <v>115.6</v>
      </c>
      <c r="AJ20" s="14">
        <f>AI20*VLOOKUP('Données projet'!$B$10,Paramètres!$A$1:$I$89,3,0)*VLOOKUP('Données projet'!$B$10,Paramètres!$A$1:$I$89,5,0)</f>
        <v>104.59487999999999</v>
      </c>
      <c r="AK20" s="14">
        <f t="shared" si="35"/>
        <v>28.053785838854211</v>
      </c>
      <c r="AL20" s="22">
        <f t="shared" si="4"/>
        <v>231.02975966933766</v>
      </c>
      <c r="AM20" s="62">
        <f t="shared" si="5"/>
        <v>404.9951575183531</v>
      </c>
      <c r="AN20" s="62">
        <f ca="1">AVERAGE(OFFSET($AM$3,0,0,'Données projet'!$E$10+1,1))-AVERAGE(OFFSET($H$3,0,0,'Données projet'!$E$10+1,1))</f>
        <v>327.07074355218322</v>
      </c>
      <c r="AO20" s="62">
        <f t="shared" si="36"/>
        <v>462.01668587029087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0.98061415976126398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0.98061415976126398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6.6</v>
      </c>
      <c r="BD20" s="13">
        <f>IF('Données projet'!$A$88&gt;35,BD19+BC20-BL19,IF(A20&lt;'Données projet'!$A$88,$BA$205^A20,IF(A20='Données projet'!$A$88,'Données projet'!$B$88,BD19+BC20-BL19)))</f>
        <v>63.458213501978861</v>
      </c>
      <c r="BE20" s="14">
        <f>BD20*VLOOKUP('Données projet'!$B$11,Paramètres!$A$1:$I$89,3,0)*VLOOKUP('Données projet'!$B$11,Paramètres!$A$1:$I$89,5,0)</f>
        <v>55.437095315328747</v>
      </c>
      <c r="BF20" s="14">
        <f t="shared" si="37"/>
        <v>16.009366884744278</v>
      </c>
      <c r="BG20" s="22">
        <f t="shared" si="7"/>
        <v>124.4359216651272</v>
      </c>
      <c r="BH20" s="62">
        <f t="shared" si="8"/>
        <v>298.40131951414264</v>
      </c>
      <c r="BI20" s="62">
        <f ca="1">AVERAGE(OFFSET($BH$3,0,0,'Données projet'!$E$11+1,1))-AVERAGE(OFFSET($H$3,0,0,'Données projet'!$E$11+1,1))</f>
        <v>378.51861272969165</v>
      </c>
      <c r="BJ20" s="62">
        <f t="shared" si="38"/>
        <v>387.42368617035459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17.166666666666668</v>
      </c>
      <c r="BY20" s="13">
        <f>IF('Données projet'!$A$114&gt;35,BY19+BX20-CG19,IF(A20&lt;'Données projet'!$A$114,$BV$205^A20,IF(A20='Données projet'!$A$114,'Données projet'!$B$114,BY19+BX20-CG19)))</f>
        <v>128.66666666666669</v>
      </c>
      <c r="BZ20" s="14">
        <f>BY20*VLOOKUP('Données projet'!$B$12,Paramètres!$A$1:$I$89,3,0)*VLOOKUP('Données projet'!$B$12,Paramètres!$A$1:$I$89,5,0)</f>
        <v>76.942666666666682</v>
      </c>
      <c r="CA20" s="14">
        <f t="shared" si="39"/>
        <v>21.387963426287346</v>
      </c>
      <c r="CB20" s="22">
        <f t="shared" si="10"/>
        <v>171.25918074522826</v>
      </c>
      <c r="CC20" s="62">
        <f t="shared" si="11"/>
        <v>345.22457859424367</v>
      </c>
      <c r="CD20" s="62">
        <f ca="1">AVERAGE(OFFSET($CC$3,0,0,'Données projet'!$E$12+1,1))-AVERAGE(OFFSET($H$3,0,0,'Données projet'!$E$12+1,1))</f>
        <v>225.71928466161592</v>
      </c>
      <c r="CE20" s="62">
        <f t="shared" si="40"/>
        <v>385.98818770742025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2.5390309272031004</v>
      </c>
      <c r="CN20" s="24">
        <f t="shared" si="12"/>
        <v>2.5390309272031004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3.65</v>
      </c>
      <c r="CT20" s="13">
        <f>IF('Données projet'!$A$140&gt;35,CT19+CS20-DB19,IF(A20&lt;'Données projet'!$A$140,$CQ$205^A20,IF(A20='Données projet'!$A$140,'Données projet'!$B$140,CT19+CS20-DB19)))</f>
        <v>38.355215845858055</v>
      </c>
      <c r="CU20" s="18">
        <f>CT20*VLOOKUP('Données projet'!$B$13,Paramètres!$A$1:$I$89,3,0)*VLOOKUP('Données projet'!$B$13,Paramètres!$A$1:$I$89,5,0)</f>
        <v>34.703799297332367</v>
      </c>
      <c r="CV20" s="14">
        <f t="shared" si="41"/>
        <v>10.583497277259243</v>
      </c>
      <c r="CW20" s="22">
        <f t="shared" si="13"/>
        <v>78.875374867413711</v>
      </c>
      <c r="CX20" s="62">
        <f t="shared" si="14"/>
        <v>252.84077271642914</v>
      </c>
      <c r="CY20" s="62">
        <f ca="1">AVERAGE(OFFSET($CX$3,0,0,'Données projet'!$E$13+1,1))-AVERAGE(OFFSET($H$3,0,0,'Données projet'!$E$13+1,1))</f>
        <v>499.92116338695428</v>
      </c>
      <c r="CZ20" s="62">
        <f t="shared" si="42"/>
        <v>316.79403154855652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135.66666666666666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396.52947215501308</v>
      </c>
      <c r="S21" s="62">
        <f ca="1">AVERAGE(OFFSET($R$3,0,0,'Données projet'!$E$9+1,1))-AVERAGE(OFFSET($H$3,0,0,'Données projet'!$E$9+1,1))</f>
        <v>211.70619219850786</v>
      </c>
      <c r="T21" s="62">
        <f t="shared" si="34"/>
        <v>426.883837098247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9.8000000000000007</v>
      </c>
      <c r="AI21" s="14">
        <f>IF('Données projet'!$A$62&gt;35,AI20+AH21-AQ20,IF(A21&lt;'Données projet'!$A$62,$AF$205^A21,IF(A21='Données projet'!$A$62,'Données projet'!$B$62,AI20+AH21-AQ20)))</f>
        <v>125.39999999999999</v>
      </c>
      <c r="AJ21" s="14">
        <f>AI21*VLOOKUP('Données projet'!$B$10,Paramètres!$A$1:$I$89,3,0)*VLOOKUP('Données projet'!$B$10,Paramètres!$A$1:$I$89,5,0)</f>
        <v>113.46191999999998</v>
      </c>
      <c r="AK21" s="14">
        <f t="shared" si="35"/>
        <v>30.145163126535493</v>
      </c>
      <c r="AL21" s="22">
        <f t="shared" si="4"/>
        <v>250.11566977871595</v>
      </c>
      <c r="AM21" s="62">
        <f t="shared" si="5"/>
        <v>427.09841996389406</v>
      </c>
      <c r="AN21" s="62">
        <f ca="1">AVERAGE(OFFSET($AM$3,0,0,'Données projet'!$E$10+1,1))-AVERAGE(OFFSET($H$3,0,0,'Données projet'!$E$10+1,1))</f>
        <v>327.07074355218322</v>
      </c>
      <c r="AO21" s="62">
        <f t="shared" si="36"/>
        <v>462.01668587029087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0.96138491420392402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0.96138491420392402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6.6</v>
      </c>
      <c r="BD21" s="13">
        <f>IF('Données projet'!$A$88&gt;35,BD20+BC21-BL20,IF(A21&lt;'Données projet'!$A$88,$BA$205^A21,IF(A21='Données projet'!$A$88,'Données projet'!$B$88,BD20+BC21-BL20)))</f>
        <v>81.005878841406769</v>
      </c>
      <c r="BE21" s="14">
        <f>BD21*VLOOKUP('Données projet'!$B$11,Paramètres!$A$1:$I$89,3,0)*VLOOKUP('Données projet'!$B$11,Paramètres!$A$1:$I$89,5,0)</f>
        <v>70.766735755852963</v>
      </c>
      <c r="BF21" s="14">
        <f t="shared" si="37"/>
        <v>19.863744192515547</v>
      </c>
      <c r="BG21" s="22">
        <f t="shared" si="7"/>
        <v>157.84808591007513</v>
      </c>
      <c r="BH21" s="62">
        <f t="shared" si="8"/>
        <v>334.83083609525323</v>
      </c>
      <c r="BI21" s="62">
        <f ca="1">AVERAGE(OFFSET($BH$3,0,0,'Données projet'!$E$11+1,1))-AVERAGE(OFFSET($H$3,0,0,'Données projet'!$E$11+1,1))</f>
        <v>378.51861272969165</v>
      </c>
      <c r="BJ21" s="62">
        <f t="shared" si="38"/>
        <v>387.42368617035459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17.166666666666668</v>
      </c>
      <c r="BY21" s="13">
        <f>IF('Données projet'!$A$114&gt;35,BY20+BX21-CG20,IF(A21&lt;'Données projet'!$A$114,$BV$205^A21,IF(A21='Données projet'!$A$114,'Données projet'!$B$114,BY20+BX21-CG20)))</f>
        <v>145.83333333333334</v>
      </c>
      <c r="BZ21" s="14">
        <f>BY21*VLOOKUP('Données projet'!$B$12,Paramètres!$A$1:$I$89,3,0)*VLOOKUP('Données projet'!$B$12,Paramètres!$A$1:$I$89,5,0)</f>
        <v>87.208333333333343</v>
      </c>
      <c r="CA21" s="14">
        <f t="shared" si="39"/>
        <v>23.890712489742075</v>
      </c>
      <c r="CB21" s="22">
        <f t="shared" si="10"/>
        <v>193.49750480852299</v>
      </c>
      <c r="CC21" s="62">
        <f t="shared" si="11"/>
        <v>370.48025499370112</v>
      </c>
      <c r="CD21" s="62">
        <f ca="1">AVERAGE(OFFSET($CC$3,0,0,'Données projet'!$E$12+1,1))-AVERAGE(OFFSET($H$3,0,0,'Données projet'!$E$12+1,1))</f>
        <v>225.71928466161592</v>
      </c>
      <c r="CE21" s="62">
        <f t="shared" si="40"/>
        <v>385.98818770742025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1.7953659862676796</v>
      </c>
      <c r="CN21" s="24">
        <f t="shared" si="12"/>
        <v>1.7953659862676796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3.65</v>
      </c>
      <c r="CT21" s="13">
        <f>IF('Données projet'!$A$140&gt;35,CT20+CS21-DB20,IF(A21&lt;'Données projet'!$A$140,$CQ$205^A21,IF(A21='Données projet'!$A$140,'Données projet'!$B$140,CT20+CS21-DB20)))</f>
        <v>47.532490941824946</v>
      </c>
      <c r="CU21" s="18">
        <f>CT21*VLOOKUP('Données projet'!$B$13,Paramètres!$A$1:$I$89,3,0)*VLOOKUP('Données projet'!$B$13,Paramètres!$A$1:$I$89,5,0)</f>
        <v>43.007397804163212</v>
      </c>
      <c r="CV21" s="14">
        <f t="shared" si="41"/>
        <v>12.792363936215189</v>
      </c>
      <c r="CW21" s="22">
        <f t="shared" si="13"/>
        <v>97.184585031159045</v>
      </c>
      <c r="CX21" s="62">
        <f t="shared" si="14"/>
        <v>274.16733521633716</v>
      </c>
      <c r="CY21" s="62">
        <f ca="1">AVERAGE(OFFSET($CX$3,0,0,'Données projet'!$E$13+1,1))-AVERAGE(OFFSET($H$3,0,0,'Données projet'!$E$13+1,1))</f>
        <v>499.92116338695428</v>
      </c>
      <c r="CZ21" s="62">
        <f t="shared" si="42"/>
        <v>316.79403154855652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135.66666666666666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370.83566994478031</v>
      </c>
      <c r="S22" s="62">
        <f ca="1">AVERAGE(OFFSET($R$3,0,0,'Données projet'!$E$9+1,1))-AVERAGE(OFFSET($H$3,0,0,'Données projet'!$E$9+1,1))</f>
        <v>211.70619219850786</v>
      </c>
      <c r="T22" s="62">
        <f t="shared" si="34"/>
        <v>426.883837098247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9.8000000000000007</v>
      </c>
      <c r="AI22" s="14">
        <f>IF('Données projet'!$A$62&gt;35,AI21+AH22-AQ21,IF(A22&lt;'Données projet'!$A$62,$AF$205^A22,IF(A22='Données projet'!$A$62,'Données projet'!$B$62,AI21+AH22-AQ21)))</f>
        <v>135.19999999999999</v>
      </c>
      <c r="AJ22" s="14">
        <f>AI22*VLOOKUP('Données projet'!$B$10,Paramètres!$A$1:$I$89,3,0)*VLOOKUP('Données projet'!$B$10,Paramètres!$A$1:$I$89,5,0)</f>
        <v>122.32895999999998</v>
      </c>
      <c r="AK22" s="14">
        <f t="shared" si="35"/>
        <v>32.217581794883031</v>
      </c>
      <c r="AL22" s="22">
        <f t="shared" si="4"/>
        <v>269.16856029275453</v>
      </c>
      <c r="AM22" s="62">
        <f t="shared" si="5"/>
        <v>449.13752131992811</v>
      </c>
      <c r="AN22" s="62">
        <f ca="1">AVERAGE(OFFSET($AM$3,0,0,'Données projet'!$E$10+1,1))-AVERAGE(OFFSET($H$3,0,0,'Données projet'!$E$10+1,1))</f>
        <v>327.07074355218322</v>
      </c>
      <c r="AO22" s="62">
        <f t="shared" si="36"/>
        <v>462.01668587029087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0.94253274242328189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0.94253274242328189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6.6</v>
      </c>
      <c r="BD22" s="13">
        <f>IF('Données projet'!$A$88&gt;35,BD21+BC22-BL21,IF(A22&lt;'Données projet'!$A$88,$BA$205^A22,IF(A22='Données projet'!$A$88,'Données projet'!$B$88,BD21+BC22-BL21)))</f>
        <v>103.40587994435182</v>
      </c>
      <c r="BE22" s="14">
        <f>BD22*VLOOKUP('Données projet'!$B$11,Paramètres!$A$1:$I$89,3,0)*VLOOKUP('Données projet'!$B$11,Paramètres!$A$1:$I$89,5,0)</f>
        <v>90.335376719385764</v>
      </c>
      <c r="BF22" s="14">
        <f t="shared" si="37"/>
        <v>24.646092265003244</v>
      </c>
      <c r="BG22" s="22">
        <f t="shared" si="7"/>
        <v>200.25939181447754</v>
      </c>
      <c r="BH22" s="62">
        <f t="shared" si="8"/>
        <v>380.22835284165114</v>
      </c>
      <c r="BI22" s="62">
        <f ca="1">AVERAGE(OFFSET($BH$3,0,0,'Données projet'!$E$11+1,1))-AVERAGE(OFFSET($H$3,0,0,'Données projet'!$E$11+1,1))</f>
        <v>378.51861272969165</v>
      </c>
      <c r="BJ22" s="62">
        <f t="shared" si="38"/>
        <v>387.42368617035459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>
        <f>VLOOKUP(A22,'Données projet'!$A$113:$I$133,2,0)</f>
        <v>163</v>
      </c>
      <c r="BW22" s="13">
        <f>VLOOKUP(A22,'Données projet'!$A$113:$I$133,9,0)</f>
        <v>17.166666666666668</v>
      </c>
      <c r="BX22" s="13">
        <f t="array" ref="BX22">INDEX(BW:BW,MIN(IF(ISNUMBER(BW22:BW218),ROW(BW22:BW218),"")))</f>
        <v>17.166666666666668</v>
      </c>
      <c r="BY22" s="13">
        <f>IF('Données projet'!$A$114&gt;35,BY21+BX22-CG21,IF(A22&lt;'Données projet'!$A$114,$BV$205^A22,IF(A22='Données projet'!$A$114,'Données projet'!$B$114,BY21+BX22-CG21)))</f>
        <v>163</v>
      </c>
      <c r="BZ22" s="14">
        <f>BY22*VLOOKUP('Données projet'!$B$12,Paramètres!$A$1:$I$89,3,0)*VLOOKUP('Données projet'!$B$12,Paramètres!$A$1:$I$89,5,0)</f>
        <v>97.474000000000004</v>
      </c>
      <c r="CA22" s="14">
        <f t="shared" si="39"/>
        <v>26.359319748929014</v>
      </c>
      <c r="CB22" s="22">
        <f t="shared" si="10"/>
        <v>215.67636522938469</v>
      </c>
      <c r="CC22" s="62">
        <f t="shared" si="11"/>
        <v>395.64532625655829</v>
      </c>
      <c r="CD22" s="62">
        <f ca="1">AVERAGE(OFFSET($CC$3,0,0,'Données projet'!$E$12+1,1))-AVERAGE(OFFSET($H$3,0,0,'Données projet'!$E$12+1,1))</f>
        <v>225.71928466161592</v>
      </c>
      <c r="CE22" s="62">
        <f t="shared" si="40"/>
        <v>385.98818770742025</v>
      </c>
      <c r="CF22" s="16">
        <f>IF(ISNA(VLOOKUP(A22,'Données projet'!$A$113:$I$133,3,0)),0,VLOOKUP(A22,'Données projet'!$A$113:$I$133,3,0))</f>
        <v>2</v>
      </c>
      <c r="CG22" s="16">
        <f>IF(ISNA(VLOOKUP(A22,'Données projet'!$A$113:$I$133,4,0)),0,VLOOKUP(A22,'Données projet'!$A$113:$I$133,4,0))</f>
        <v>40</v>
      </c>
      <c r="CH22" s="17">
        <f>IF(ISNA(VLOOKUP(A22,'Données projet'!$A$113:$I$133,5,0)),0%,VLOOKUP(A22,'Données projet'!$A$113:$I$133,5,0)*VLOOKUP('Données projet'!$B$12,Paramètres!$A$1:$I$89,7,0))</f>
        <v>0.13500000000000001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0.7</v>
      </c>
      <c r="CK22" s="23">
        <f>EXP(-LN(2)/35)*CK21+(1-EXP(-LN(2)/35))/(LN(2)/35)*CG22*CH22*VLOOKUP('Données projet'!$B$12,Paramètres!$A$1:$I$89,3,0)*0.475*44/12</f>
        <v>4.2837419395053642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20.227613053384697</v>
      </c>
      <c r="CN22" s="24">
        <f t="shared" si="12"/>
        <v>24.511354992890062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3.65</v>
      </c>
      <c r="CT22" s="13">
        <f>IF('Données projet'!$A$140&gt;35,CT21+CS22-DB21,IF(A22&lt;'Données projet'!$A$140,$CQ$205^A22,IF(A22='Données projet'!$A$140,'Données projet'!$B$140,CT21+CS22-DB21)))</f>
        <v>58.90561805764559</v>
      </c>
      <c r="CU22" s="18">
        <f>CT22*VLOOKUP('Données projet'!$B$13,Paramètres!$A$1:$I$89,3,0)*VLOOKUP('Données projet'!$B$13,Paramètres!$A$1:$I$89,5,0)</f>
        <v>53.297803218557732</v>
      </c>
      <c r="CV22" s="14">
        <f t="shared" si="41"/>
        <v>15.462240012873817</v>
      </c>
      <c r="CW22" s="22">
        <f t="shared" si="13"/>
        <v>119.75707529474329</v>
      </c>
      <c r="CX22" s="62">
        <f t="shared" si="14"/>
        <v>299.72603632191687</v>
      </c>
      <c r="CY22" s="62">
        <f ca="1">AVERAGE(OFFSET($CX$3,0,0,'Données projet'!$E$13+1,1))-AVERAGE(OFFSET($H$3,0,0,'Données projet'!$E$13+1,1))</f>
        <v>499.92116338695428</v>
      </c>
      <c r="CZ22" s="62">
        <f t="shared" si="42"/>
        <v>316.79403154855652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135.66666666666666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396.79422396004782</v>
      </c>
      <c r="S23" s="62">
        <f ca="1">AVERAGE(OFFSET($R$3,0,0,'Données projet'!$E$9+1,1))-AVERAGE(OFFSET($H$3,0,0,'Données projet'!$E$9+1,1))</f>
        <v>211.70619219850786</v>
      </c>
      <c r="T23" s="62">
        <f t="shared" si="34"/>
        <v>426.883837098247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145</v>
      </c>
      <c r="AG23" s="13">
        <f>VLOOKUP(A23,'Données projet'!$A$61:$I$81,9,0)</f>
        <v>9.8000000000000007</v>
      </c>
      <c r="AH23" s="13">
        <f t="array" ref="AH23">INDEX(AG:AG,MIN(IF(ISNUMBER(AG23:AG219),ROW(AG23:AG219),"")))</f>
        <v>9.8000000000000007</v>
      </c>
      <c r="AI23" s="14">
        <f>IF('Données projet'!$A$62&gt;35,AI22+AH23-AQ22,IF(A23&lt;'Données projet'!$A$62,$AF$205^A23,IF(A23='Données projet'!$A$62,'Données projet'!$B$62,AI22+AH23-AQ22)))</f>
        <v>145</v>
      </c>
      <c r="AJ23" s="14">
        <f>AI23*VLOOKUP('Données projet'!$B$10,Paramètres!$A$1:$I$89,3,0)*VLOOKUP('Données projet'!$B$10,Paramètres!$A$1:$I$89,5,0)</f>
        <v>131.196</v>
      </c>
      <c r="AK23" s="14">
        <f t="shared" si="35"/>
        <v>34.272572346624997</v>
      </c>
      <c r="AL23" s="22">
        <f t="shared" si="4"/>
        <v>288.19109683703851</v>
      </c>
      <c r="AM23" s="62">
        <f t="shared" si="5"/>
        <v>471.11566744734222</v>
      </c>
      <c r="AN23" s="62">
        <f ca="1">AVERAGE(OFFSET($AM$3,0,0,'Données projet'!$E$10+1,1))-AVERAGE(OFFSET($H$3,0,0,'Données projet'!$E$10+1,1))</f>
        <v>327.07074355218322</v>
      </c>
      <c r="AO23" s="62">
        <f t="shared" si="36"/>
        <v>462.01668587029087</v>
      </c>
      <c r="AP23" s="16">
        <f>IF(ISNA(VLOOKUP(A23,'Données projet'!$A$61:$I$81,3,0)),0,VLOOKUP(A23,'Données projet'!$A$61:$I$81,3,0))</f>
        <v>4</v>
      </c>
      <c r="AQ23" s="16">
        <f>IF(ISNA(VLOOKUP(A23,'Données projet'!$A$61:$I$81,4,0)),0,VLOOKUP(A23,'Données projet'!$A$61:$I$81,4,0))</f>
        <v>14</v>
      </c>
      <c r="AR23" s="17">
        <f>IF(ISNA(VLOOKUP(A23,'Données projet'!$A$61:$I$81,5,0)),0%,VLOOKUP(A23,'Données projet'!$A$61:$I$81,5,0)*VLOOKUP('Données projet'!$B$10,Paramètres!$A$1:$I$89,7,0))</f>
        <v>0.24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4.2848217042213168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4.2848217042213168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132</v>
      </c>
      <c r="BB23" s="13">
        <f>VLOOKUP(A23,'Données projet'!$A$87:$I$107,9,0)</f>
        <v>6.6</v>
      </c>
      <c r="BC23" s="13">
        <f t="array" ref="BC23">INDEX(BB:BB,MIN(IF(ISNUMBER(BB23:BB219),ROW(BB23:BB219),"")))</f>
        <v>6.6</v>
      </c>
      <c r="BD23" s="13">
        <f>IF('Données projet'!$A$88&gt;35,BD22+BC23-BL22,IF(A23&lt;'Données projet'!$A$88,$BA$205^A23,IF(A23='Données projet'!$A$88,'Données projet'!$B$88,BD22+BC23-BL22)))</f>
        <v>132</v>
      </c>
      <c r="BE23" s="14">
        <f>BD23*VLOOKUP('Données projet'!$B$11,Paramètres!$A$1:$I$89,3,0)*VLOOKUP('Données projet'!$B$11,Paramètres!$A$1:$I$89,5,0)</f>
        <v>115.3152</v>
      </c>
      <c r="BF23" s="14">
        <f t="shared" si="37"/>
        <v>30.579827148797317</v>
      </c>
      <c r="BG23" s="22">
        <f t="shared" si="7"/>
        <v>254.10050561748861</v>
      </c>
      <c r="BH23" s="62">
        <f t="shared" si="8"/>
        <v>437.02507622779228</v>
      </c>
      <c r="BI23" s="62">
        <f ca="1">AVERAGE(OFFSET($BH$3,0,0,'Données projet'!$E$11+1,1))-AVERAGE(OFFSET($H$3,0,0,'Données projet'!$E$11+1,1))</f>
        <v>378.51861272969165</v>
      </c>
      <c r="BJ23" s="62">
        <f t="shared" si="38"/>
        <v>387.42368617035459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50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16.5</v>
      </c>
      <c r="BY23" s="13">
        <f>IF('Données projet'!$A$114&gt;35,BY22+BX23-CG22,IF(A23&lt;'Données projet'!$A$114,$BV$205^A23,IF(A23='Données projet'!$A$114,'Données projet'!$B$114,BY22+BX23-CG22)))</f>
        <v>139.5</v>
      </c>
      <c r="BZ23" s="14">
        <f>BY23*VLOOKUP('Données projet'!$B$12,Paramètres!$A$1:$I$89,3,0)*VLOOKUP('Données projet'!$B$12,Paramètres!$A$1:$I$89,5,0)</f>
        <v>83.421000000000006</v>
      </c>
      <c r="CA23" s="14">
        <f t="shared" si="39"/>
        <v>22.97158706718762</v>
      </c>
      <c r="CB23" s="22">
        <f t="shared" si="10"/>
        <v>185.30042247535178</v>
      </c>
      <c r="CC23" s="62">
        <f t="shared" si="11"/>
        <v>368.22499308565546</v>
      </c>
      <c r="CD23" s="62">
        <f ca="1">AVERAGE(OFFSET($CC$3,0,0,'Données projet'!$E$12+1,1))-AVERAGE(OFFSET($H$3,0,0,'Données projet'!$E$12+1,1))</f>
        <v>225.71928466161592</v>
      </c>
      <c r="CE23" s="62">
        <f t="shared" si="40"/>
        <v>385.98818770742025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4.1997403728962519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14.303082357265847</v>
      </c>
      <c r="CN23" s="24">
        <f t="shared" si="12"/>
        <v>18.502822730162098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73</v>
      </c>
      <c r="CR23" s="13">
        <f>VLOOKUP(A23,'Données projet'!$A$139:$I$159,9,0)</f>
        <v>3.65</v>
      </c>
      <c r="CS23" s="13">
        <f t="array" ref="CS23">INDEX(CR:CR,MIN(IF(ISNUMBER(CR23:CR219),ROW(CR23:CR219),"")))</f>
        <v>3.65</v>
      </c>
      <c r="CT23" s="13">
        <f>IF('Données projet'!$A$140&gt;35,CT22+CS23-DB22,IF(A23&lt;'Données projet'!$A$140,$CQ$205^A23,IF(A23='Données projet'!$A$140,'Données projet'!$B$140,CT22+CS23-DB22)))</f>
        <v>73</v>
      </c>
      <c r="CU23" s="18">
        <f>CT23*VLOOKUP('Données projet'!$B$13,Paramètres!$A$1:$I$89,3,0)*VLOOKUP('Données projet'!$B$13,Paramètres!$A$1:$I$89,5,0)</f>
        <v>66.050399999999996</v>
      </c>
      <c r="CV23" s="14">
        <f t="shared" si="41"/>
        <v>18.689342126897891</v>
      </c>
      <c r="CW23" s="22">
        <f t="shared" si="13"/>
        <v>147.58838420434714</v>
      </c>
      <c r="CX23" s="62">
        <f t="shared" si="14"/>
        <v>330.51295481465081</v>
      </c>
      <c r="CY23" s="62">
        <f ca="1">AVERAGE(OFFSET($CX$3,0,0,'Données projet'!$E$13+1,1))-AVERAGE(OFFSET($H$3,0,0,'Données projet'!$E$13+1,1))</f>
        <v>499.92116338695428</v>
      </c>
      <c r="CZ23" s="62">
        <f t="shared" si="42"/>
        <v>316.79403154855652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6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135.66666666666666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422.66571783960171</v>
      </c>
      <c r="S24" s="62">
        <f ca="1">AVERAGE(OFFSET($R$3,0,0,'Données projet'!$E$9+1,1))-AVERAGE(OFFSET($H$3,0,0,'Données projet'!$E$9+1,1))</f>
        <v>211.70619219850786</v>
      </c>
      <c r="T24" s="62">
        <f t="shared" si="34"/>
        <v>426.883837098247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8.4</v>
      </c>
      <c r="AI24" s="14">
        <f>IF('Données projet'!$A$62&gt;35,AI23+AH24-AQ23,IF(A24&lt;'Données projet'!$A$62,$AF$205^A24,IF(A24='Données projet'!$A$62,'Données projet'!$B$62,AI23+AH24-AQ23)))</f>
        <v>139.4</v>
      </c>
      <c r="AJ24" s="14">
        <f>AI24*VLOOKUP('Données projet'!$B$10,Paramètres!$A$1:$I$89,3,0)*VLOOKUP('Données projet'!$B$10,Paramètres!$A$1:$I$89,5,0)</f>
        <v>126.12912000000001</v>
      </c>
      <c r="AK24" s="14">
        <f t="shared" si="35"/>
        <v>33.100345121748241</v>
      </c>
      <c r="AL24" s="22">
        <f t="shared" si="4"/>
        <v>277.32465175371152</v>
      </c>
      <c r="AM24" s="62">
        <f t="shared" si="5"/>
        <v>463.17476155170721</v>
      </c>
      <c r="AN24" s="62">
        <f ca="1">AVERAGE(OFFSET($AM$3,0,0,'Données projet'!$E$10+1,1))-AVERAGE(OFFSET($H$3,0,0,'Données projet'!$E$10+1,1))</f>
        <v>327.07074355218322</v>
      </c>
      <c r="AO24" s="62">
        <f t="shared" si="36"/>
        <v>462.01668587029087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4.2007989640847168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4.2007989640847168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12.2</v>
      </c>
      <c r="BD24" s="13">
        <f>IF('Données projet'!$A$88&gt;35,BD23+BC24-BL23,IF(A24&lt;'Données projet'!$A$88,$BA$205^A24,IF(A24='Données projet'!$A$88,'Données projet'!$B$88,BD23+BC24-BL23)))</f>
        <v>94.199999999999989</v>
      </c>
      <c r="BE24" s="14">
        <f>BD24*VLOOKUP('Données projet'!$B$11,Paramètres!$A$1:$I$89,3,0)*VLOOKUP('Données projet'!$B$11,Paramètres!$A$1:$I$89,5,0)</f>
        <v>82.293120000000002</v>
      </c>
      <c r="BF24" s="14">
        <f t="shared" si="37"/>
        <v>22.696938367376966</v>
      </c>
      <c r="BG24" s="22">
        <f t="shared" si="7"/>
        <v>182.85768498984825</v>
      </c>
      <c r="BH24" s="62">
        <f t="shared" si="8"/>
        <v>368.70779478784397</v>
      </c>
      <c r="BI24" s="62">
        <f ca="1">AVERAGE(OFFSET($BH$3,0,0,'Données projet'!$E$11+1,1))-AVERAGE(OFFSET($H$3,0,0,'Données projet'!$E$11+1,1))</f>
        <v>378.51861272969165</v>
      </c>
      <c r="BJ24" s="62">
        <f t="shared" si="38"/>
        <v>387.42368617035459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16.5</v>
      </c>
      <c r="BY24" s="13">
        <f>IF('Données projet'!$A$114&gt;35,BY23+BX24-CG23,IF(A24&lt;'Données projet'!$A$114,$BV$205^A24,IF(A24='Données projet'!$A$114,'Données projet'!$B$114,BY23+BX24-CG23)))</f>
        <v>156</v>
      </c>
      <c r="BZ24" s="14">
        <f>BY24*VLOOKUP('Données projet'!$B$12,Paramètres!$A$1:$I$89,3,0)*VLOOKUP('Données projet'!$B$12,Paramètres!$A$1:$I$89,5,0)</f>
        <v>93.288000000000011</v>
      </c>
      <c r="CA24" s="14">
        <f t="shared" si="39"/>
        <v>25.356547829040977</v>
      </c>
      <c r="CB24" s="22">
        <f t="shared" si="10"/>
        <v>206.63925413557971</v>
      </c>
      <c r="CC24" s="62">
        <f t="shared" si="11"/>
        <v>392.48936393357542</v>
      </c>
      <c r="CD24" s="62">
        <f ca="1">AVERAGE(OFFSET($CC$3,0,0,'Données projet'!$E$12+1,1))-AVERAGE(OFFSET($H$3,0,0,'Données projet'!$E$12+1,1))</f>
        <v>225.71928466161592</v>
      </c>
      <c r="CE24" s="62">
        <f t="shared" si="40"/>
        <v>385.98818770742025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4.1173860257724479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10.11380652669235</v>
      </c>
      <c r="CN24" s="24">
        <f t="shared" si="12"/>
        <v>14.231192552464798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7.2</v>
      </c>
      <c r="CT24" s="13">
        <f>IF('Données projet'!$A$140&gt;35,CT23+CS24-DB23,IF(A24&lt;'Données projet'!$A$140,$CQ$205^A24,IF(A24='Données projet'!$A$140,'Données projet'!$B$140,CT23+CS24-DB23)))</f>
        <v>74.2</v>
      </c>
      <c r="CU24" s="18">
        <f>CT24*VLOOKUP('Données projet'!$B$13,Paramètres!$A$1:$I$89,3,0)*VLOOKUP('Données projet'!$B$13,Paramètres!$A$1:$I$89,5,0)</f>
        <v>67.136160000000004</v>
      </c>
      <c r="CV24" s="14">
        <f t="shared" si="41"/>
        <v>18.960545405756019</v>
      </c>
      <c r="CW24" s="22">
        <f t="shared" si="13"/>
        <v>149.95176191502506</v>
      </c>
      <c r="CX24" s="62">
        <f t="shared" si="14"/>
        <v>335.80187171302077</v>
      </c>
      <c r="CY24" s="62">
        <f ca="1">AVERAGE(OFFSET($CX$3,0,0,'Données projet'!$E$13+1,1))-AVERAGE(OFFSET($H$3,0,0,'Données projet'!$E$13+1,1))</f>
        <v>499.92116338695428</v>
      </c>
      <c r="CZ24" s="62">
        <f t="shared" si="42"/>
        <v>316.79403154855652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135.66666666666666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448.45697136053934</v>
      </c>
      <c r="S25" s="62">
        <f ca="1">AVERAGE(OFFSET($R$3,0,0,'Données projet'!$E$9+1,1))-AVERAGE(OFFSET($H$3,0,0,'Données projet'!$E$9+1,1))</f>
        <v>211.70619219850786</v>
      </c>
      <c r="T25" s="62">
        <f t="shared" si="34"/>
        <v>426.883837098247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8.4</v>
      </c>
      <c r="AI25" s="14">
        <f>IF('Données projet'!$A$62&gt;35,AI24+AH25-AQ24,IF(A25&lt;'Données projet'!$A$62,$AF$205^A25,IF(A25='Données projet'!$A$62,'Données projet'!$B$62,AI24+AH25-AQ24)))</f>
        <v>147.80000000000001</v>
      </c>
      <c r="AJ25" s="14">
        <f>AI25*VLOOKUP('Données projet'!$B$10,Paramètres!$A$1:$I$89,3,0)*VLOOKUP('Données projet'!$B$10,Paramètres!$A$1:$I$89,5,0)</f>
        <v>133.72944000000001</v>
      </c>
      <c r="AK25" s="14">
        <f t="shared" si="35"/>
        <v>34.856699711744326</v>
      </c>
      <c r="AL25" s="22">
        <f t="shared" si="4"/>
        <v>293.62085999795471</v>
      </c>
      <c r="AM25" s="62">
        <f t="shared" si="5"/>
        <v>482.36696024233771</v>
      </c>
      <c r="AN25" s="62">
        <f ca="1">AVERAGE(OFFSET($AM$3,0,0,'Données projet'!$E$10+1,1))-AVERAGE(OFFSET($H$3,0,0,'Données projet'!$E$10+1,1))</f>
        <v>327.07074355218322</v>
      </c>
      <c r="AO25" s="62">
        <f t="shared" si="36"/>
        <v>462.01668587029087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4.1184238586333839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4.1184238586333839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12.2</v>
      </c>
      <c r="BD25" s="13">
        <f>IF('Données projet'!$A$88&gt;35,BD24+BC25-BL24,IF(A25&lt;'Données projet'!$A$88,$BA$205^A25,IF(A25='Données projet'!$A$88,'Données projet'!$B$88,BD24+BC25-BL24)))</f>
        <v>106.39999999999999</v>
      </c>
      <c r="BE25" s="14">
        <f>BD25*VLOOKUP('Données projet'!$B$11,Paramètres!$A$1:$I$89,3,0)*VLOOKUP('Données projet'!$B$11,Paramètres!$A$1:$I$89,5,0)</f>
        <v>92.951040000000006</v>
      </c>
      <c r="BF25" s="14">
        <f t="shared" si="37"/>
        <v>25.275602869272223</v>
      </c>
      <c r="BG25" s="22">
        <f t="shared" si="7"/>
        <v>205.9114029973158</v>
      </c>
      <c r="BH25" s="62">
        <f t="shared" si="8"/>
        <v>394.65750324169881</v>
      </c>
      <c r="BI25" s="62">
        <f ca="1">AVERAGE(OFFSET($BH$3,0,0,'Données projet'!$E$11+1,1))-AVERAGE(OFFSET($H$3,0,0,'Données projet'!$E$11+1,1))</f>
        <v>378.51861272969165</v>
      </c>
      <c r="BJ25" s="62">
        <f t="shared" si="38"/>
        <v>387.42368617035459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16.5</v>
      </c>
      <c r="BY25" s="13">
        <f>IF('Données projet'!$A$114&gt;35,BY24+BX25-CG24,IF(A25&lt;'Données projet'!$A$114,$BV$205^A25,IF(A25='Données projet'!$A$114,'Données projet'!$B$114,BY24+BX25-CG24)))</f>
        <v>172.5</v>
      </c>
      <c r="BZ25" s="14">
        <f>BY25*VLOOKUP('Données projet'!$B$12,Paramètres!$A$1:$I$89,3,0)*VLOOKUP('Données projet'!$B$12,Paramètres!$A$1:$I$89,5,0)</f>
        <v>103.15500000000002</v>
      </c>
      <c r="CA25" s="14">
        <f t="shared" si="39"/>
        <v>27.71226857071613</v>
      </c>
      <c r="CB25" s="22">
        <f t="shared" si="10"/>
        <v>227.92715942733059</v>
      </c>
      <c r="CC25" s="62">
        <f t="shared" si="11"/>
        <v>416.67325967171359</v>
      </c>
      <c r="CD25" s="62">
        <f ca="1">AVERAGE(OFFSET($CC$3,0,0,'Données projet'!$E$12+1,1))-AVERAGE(OFFSET($H$3,0,0,'Données projet'!$E$12+1,1))</f>
        <v>225.71928466161592</v>
      </c>
      <c r="CE25" s="62">
        <f t="shared" si="40"/>
        <v>385.98818770742025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4.03664659716455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7.1515411786329244</v>
      </c>
      <c r="CN25" s="24">
        <f t="shared" si="12"/>
        <v>11.188187775797473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7.2</v>
      </c>
      <c r="CT25" s="13">
        <f>IF('Données projet'!$A$140&gt;35,CT24+CS25-DB24,IF(A25&lt;'Données projet'!$A$140,$CQ$205^A25,IF(A25='Données projet'!$A$140,'Données projet'!$B$140,CT24+CS25-DB24)))</f>
        <v>81.400000000000006</v>
      </c>
      <c r="CU25" s="18">
        <f>CT25*VLOOKUP('Données projet'!$B$13,Paramètres!$A$1:$I$89,3,0)*VLOOKUP('Données projet'!$B$13,Paramètres!$A$1:$I$89,5,0)</f>
        <v>73.650720000000007</v>
      </c>
      <c r="CV25" s="14">
        <f t="shared" si="41"/>
        <v>20.577360172493922</v>
      </c>
      <c r="CW25" s="22">
        <f t="shared" si="13"/>
        <v>164.11390630042692</v>
      </c>
      <c r="CX25" s="62">
        <f t="shared" si="14"/>
        <v>352.86000654480995</v>
      </c>
      <c r="CY25" s="62">
        <f ca="1">AVERAGE(OFFSET($CX$3,0,0,'Données projet'!$E$13+1,1))-AVERAGE(OFFSET($H$3,0,0,'Données projet'!$E$13+1,1))</f>
        <v>499.92116338695428</v>
      </c>
      <c r="CZ25" s="62">
        <f t="shared" si="42"/>
        <v>316.79403154855652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135.66666666666666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474.17359308901416</v>
      </c>
      <c r="S26" s="62">
        <f ca="1">AVERAGE(OFFSET($R$3,0,0,'Données projet'!$E$9+1,1))-AVERAGE(OFFSET($H$3,0,0,'Données projet'!$E$9+1,1))</f>
        <v>211.70619219850786</v>
      </c>
      <c r="T26" s="62">
        <f t="shared" si="34"/>
        <v>426.883837098247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8.4</v>
      </c>
      <c r="AI26" s="14">
        <f>IF('Données projet'!$A$62&gt;35,AI25+AH26-AQ25,IF(A26&lt;'Données projet'!$A$62,$AF$205^A26,IF(A26='Données projet'!$A$62,'Données projet'!$B$62,AI25+AH26-AQ25)))</f>
        <v>156.20000000000002</v>
      </c>
      <c r="AJ26" s="14">
        <f>AI26*VLOOKUP('Données projet'!$B$10,Paramètres!$A$1:$I$89,3,0)*VLOOKUP('Données projet'!$B$10,Paramètres!$A$1:$I$89,5,0)</f>
        <v>141.32976000000002</v>
      </c>
      <c r="AK26" s="14">
        <f t="shared" si="35"/>
        <v>36.601467030988793</v>
      </c>
      <c r="AL26" s="22">
        <f t="shared" si="4"/>
        <v>309.89688707897216</v>
      </c>
      <c r="AM26" s="62">
        <f t="shared" si="5"/>
        <v>501.50994163303835</v>
      </c>
      <c r="AN26" s="62">
        <f ca="1">AVERAGE(OFFSET($AM$3,0,0,'Données projet'!$E$10+1,1))-AVERAGE(OFFSET($H$3,0,0,'Données projet'!$E$10+1,1))</f>
        <v>327.07074355218322</v>
      </c>
      <c r="AO26" s="62">
        <f t="shared" si="36"/>
        <v>462.01668587029087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4.0376640787560989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4.0376640787560989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12.2</v>
      </c>
      <c r="BD26" s="13">
        <f>IF('Données projet'!$A$88&gt;35,BD25+BC26-BL25,IF(A26&lt;'Données projet'!$A$88,$BA$205^A26,IF(A26='Données projet'!$A$88,'Données projet'!$B$88,BD25+BC26-BL25)))</f>
        <v>118.6</v>
      </c>
      <c r="BE26" s="14">
        <f>BD26*VLOOKUP('Données projet'!$B$11,Paramètres!$A$1:$I$89,3,0)*VLOOKUP('Données projet'!$B$11,Paramètres!$A$1:$I$89,5,0)</f>
        <v>103.60896</v>
      </c>
      <c r="BF26" s="14">
        <f t="shared" si="37"/>
        <v>27.820000397643376</v>
      </c>
      <c r="BG26" s="22">
        <f t="shared" si="7"/>
        <v>228.90543935922889</v>
      </c>
      <c r="BH26" s="62">
        <f t="shared" si="8"/>
        <v>420.51849391329512</v>
      </c>
      <c r="BI26" s="62">
        <f ca="1">AVERAGE(OFFSET($BH$3,0,0,'Données projet'!$E$11+1,1))-AVERAGE(OFFSET($H$3,0,0,'Données projet'!$E$11+1,1))</f>
        <v>378.51861272969165</v>
      </c>
      <c r="BJ26" s="62">
        <f t="shared" si="38"/>
        <v>387.42368617035459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16.5</v>
      </c>
      <c r="BY26" s="13">
        <f>IF('Données projet'!$A$114&gt;35,BY25+BX26-CG25,IF(A26&lt;'Données projet'!$A$114,$BV$205^A26,IF(A26='Données projet'!$A$114,'Données projet'!$B$114,BY25+BX26-CG25)))</f>
        <v>189</v>
      </c>
      <c r="BZ26" s="14">
        <f>BY26*VLOOKUP('Données projet'!$B$12,Paramètres!$A$1:$I$89,3,0)*VLOOKUP('Données projet'!$B$12,Paramètres!$A$1:$I$89,5,0)</f>
        <v>113.02200000000001</v>
      </c>
      <c r="CA26" s="14">
        <f t="shared" si="39"/>
        <v>30.041864379091852</v>
      </c>
      <c r="CB26" s="22">
        <f t="shared" si="10"/>
        <v>249.16956379358496</v>
      </c>
      <c r="CC26" s="62">
        <f t="shared" si="11"/>
        <v>440.78261834765118</v>
      </c>
      <c r="CD26" s="62">
        <f ca="1">AVERAGE(OFFSET($CC$3,0,0,'Données projet'!$E$12+1,1))-AVERAGE(OFFSET($H$3,0,0,'Données projet'!$E$12+1,1))</f>
        <v>225.71928466161592</v>
      </c>
      <c r="CE26" s="62">
        <f t="shared" si="40"/>
        <v>385.98818770742025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3.9574904195054641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5.0569032633461761</v>
      </c>
      <c r="CN26" s="24">
        <f t="shared" si="12"/>
        <v>9.0143936828516402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7.2</v>
      </c>
      <c r="CT26" s="13">
        <f>IF('Données projet'!$A$140&gt;35,CT25+CS26-DB25,IF(A26&lt;'Données projet'!$A$140,$CQ$205^A26,IF(A26='Données projet'!$A$140,'Données projet'!$B$140,CT25+CS26-DB25)))</f>
        <v>88.600000000000009</v>
      </c>
      <c r="CU26" s="18">
        <f>CT26*VLOOKUP('Données projet'!$B$13,Paramètres!$A$1:$I$89,3,0)*VLOOKUP('Données projet'!$B$13,Paramètres!$A$1:$I$89,5,0)</f>
        <v>80.165279999999996</v>
      </c>
      <c r="CV26" s="14">
        <f t="shared" si="41"/>
        <v>22.177591092468788</v>
      </c>
      <c r="CW26" s="22">
        <f t="shared" si="13"/>
        <v>178.24716715271646</v>
      </c>
      <c r="CX26" s="62">
        <f t="shared" si="14"/>
        <v>369.86022170678268</v>
      </c>
      <c r="CY26" s="62">
        <f ca="1">AVERAGE(OFFSET($CX$3,0,0,'Données projet'!$E$13+1,1))-AVERAGE(OFFSET($H$3,0,0,'Données projet'!$E$13+1,1))</f>
        <v>499.92116338695428</v>
      </c>
      <c r="CZ26" s="62">
        <f t="shared" si="42"/>
        <v>316.79403154855652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135.66666666666666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429.64823315533664</v>
      </c>
      <c r="S27" s="62">
        <f ca="1">AVERAGE(OFFSET($R$3,0,0,'Données projet'!$E$9+1,1))-AVERAGE(OFFSET($H$3,0,0,'Données projet'!$E$9+1,1))</f>
        <v>211.70619219850786</v>
      </c>
      <c r="T27" s="62">
        <f t="shared" si="34"/>
        <v>426.883837098247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8.4</v>
      </c>
      <c r="AI27" s="14">
        <f>IF('Données projet'!$A$62&gt;35,AI26+AH27-AQ26,IF(A27&lt;'Données projet'!$A$62,$AF$205^A27,IF(A27='Données projet'!$A$62,'Données projet'!$B$62,AI26+AH27-AQ26)))</f>
        <v>164.60000000000002</v>
      </c>
      <c r="AJ27" s="14">
        <f>AI27*VLOOKUP('Données projet'!$B$10,Paramètres!$A$1:$I$89,3,0)*VLOOKUP('Données projet'!$B$10,Paramètres!$A$1:$I$89,5,0)</f>
        <v>148.93008</v>
      </c>
      <c r="AK27" s="14">
        <f t="shared" si="35"/>
        <v>38.335341256889777</v>
      </c>
      <c r="AL27" s="22">
        <f t="shared" si="4"/>
        <v>326.1539420224164</v>
      </c>
      <c r="AM27" s="62">
        <f t="shared" si="5"/>
        <v>520.60541846151852</v>
      </c>
      <c r="AN27" s="62">
        <f ca="1">AVERAGE(OFFSET($AM$3,0,0,'Données projet'!$E$10+1,1))-AVERAGE(OFFSET($H$3,0,0,'Données projet'!$E$10+1,1))</f>
        <v>327.07074355218322</v>
      </c>
      <c r="AO27" s="62">
        <f t="shared" si="36"/>
        <v>462.01668587029087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3.9584879489036053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3.9584879489036053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12.2</v>
      </c>
      <c r="BD27" s="13">
        <f>IF('Données projet'!$A$88&gt;35,BD26+BC27-BL26,IF(A27&lt;'Données projet'!$A$88,$BA$205^A27,IF(A27='Données projet'!$A$88,'Données projet'!$B$88,BD26+BC27-BL26)))</f>
        <v>130.79999999999998</v>
      </c>
      <c r="BE27" s="14">
        <f>BD27*VLOOKUP('Données projet'!$B$11,Paramètres!$A$1:$I$89,3,0)*VLOOKUP('Données projet'!$B$11,Paramètres!$A$1:$I$89,5,0)</f>
        <v>114.26687999999999</v>
      </c>
      <c r="BF27" s="14">
        <f t="shared" si="37"/>
        <v>30.334057329879929</v>
      </c>
      <c r="BG27" s="22">
        <f t="shared" si="7"/>
        <v>251.84663251620748</v>
      </c>
      <c r="BH27" s="62">
        <f t="shared" si="8"/>
        <v>446.29810895530954</v>
      </c>
      <c r="BI27" s="62">
        <f ca="1">AVERAGE(OFFSET($BH$3,0,0,'Données projet'!$E$11+1,1))-AVERAGE(OFFSET($H$3,0,0,'Données projet'!$E$11+1,1))</f>
        <v>378.51861272969165</v>
      </c>
      <c r="BJ27" s="62">
        <f t="shared" si="38"/>
        <v>387.42368617035459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16.5</v>
      </c>
      <c r="BY27" s="13">
        <f>IF('Données projet'!$A$114&gt;35,BY26+BX27-CG26,IF(A27&lt;'Données projet'!$A$114,$BV$205^A27,IF(A27='Données projet'!$A$114,'Données projet'!$B$114,BY26+BX27-CG26)))</f>
        <v>205.5</v>
      </c>
      <c r="BZ27" s="14">
        <f>BY27*VLOOKUP('Données projet'!$B$12,Paramètres!$A$1:$I$89,3,0)*VLOOKUP('Données projet'!$B$12,Paramètres!$A$1:$I$89,5,0)</f>
        <v>122.88900000000001</v>
      </c>
      <c r="CA27" s="14">
        <f t="shared" si="39"/>
        <v>32.347875332170432</v>
      </c>
      <c r="CB27" s="22">
        <f t="shared" si="10"/>
        <v>270.37089120353011</v>
      </c>
      <c r="CC27" s="62">
        <f t="shared" si="11"/>
        <v>464.82236764263223</v>
      </c>
      <c r="CD27" s="62">
        <f ca="1">AVERAGE(OFFSET($CC$3,0,0,'Données projet'!$E$12+1,1))-AVERAGE(OFFSET($H$3,0,0,'Données projet'!$E$12+1,1))</f>
        <v>225.71928466161592</v>
      </c>
      <c r="CE27" s="62">
        <f t="shared" si="40"/>
        <v>385.98818770742025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3.8798864462097717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3.5757705893164631</v>
      </c>
      <c r="CN27" s="24">
        <f t="shared" si="12"/>
        <v>7.4556570355262348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7.2</v>
      </c>
      <c r="CT27" s="13">
        <f>IF('Données projet'!$A$140&gt;35,CT26+CS27-DB26,IF(A27&lt;'Données projet'!$A$140,$CQ$205^A27,IF(A27='Données projet'!$A$140,'Données projet'!$B$140,CT26+CS27-DB26)))</f>
        <v>95.800000000000011</v>
      </c>
      <c r="CU27" s="18">
        <f>CT27*VLOOKUP('Données projet'!$B$13,Paramètres!$A$1:$I$89,3,0)*VLOOKUP('Données projet'!$B$13,Paramètres!$A$1:$I$89,5,0)</f>
        <v>86.679839999999999</v>
      </c>
      <c r="CV27" s="14">
        <f t="shared" si="41"/>
        <v>23.762739053789723</v>
      </c>
      <c r="CW27" s="22">
        <f t="shared" si="13"/>
        <v>192.35415851868379</v>
      </c>
      <c r="CX27" s="62">
        <f t="shared" si="14"/>
        <v>386.80563495778586</v>
      </c>
      <c r="CY27" s="62">
        <f ca="1">AVERAGE(OFFSET($CX$3,0,0,'Données projet'!$E$13+1,1))-AVERAGE(OFFSET($H$3,0,0,'Données projet'!$E$13+1,1))</f>
        <v>499.92116338695428</v>
      </c>
      <c r="CZ27" s="62">
        <f t="shared" si="42"/>
        <v>316.79403154855652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135.66666666666666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451.94205212819901</v>
      </c>
      <c r="S28" s="62">
        <f ca="1">AVERAGE(OFFSET($R$3,0,0,'Données projet'!$E$9+1,1))-AVERAGE(OFFSET($H$3,0,0,'Données projet'!$E$9+1,1))</f>
        <v>211.70619219850786</v>
      </c>
      <c r="T28" s="62">
        <f t="shared" si="34"/>
        <v>426.883837098247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173</v>
      </c>
      <c r="AG28" s="13">
        <f>VLOOKUP(A28,'Données projet'!$A$61:$I$81,9,0)</f>
        <v>8.4</v>
      </c>
      <c r="AH28" s="13">
        <f t="array" ref="AH28">INDEX(AG:AG,MIN(IF(ISNUMBER(AG28:AG224),ROW(AG28:AG224),"")))</f>
        <v>8.4</v>
      </c>
      <c r="AI28" s="14">
        <f>IF('Données projet'!$A$62&gt;35,AI27+AH28-AQ27,IF(A28&lt;'Données projet'!$A$62,$AF$205^A28,IF(A28='Données projet'!$A$62,'Données projet'!$B$62,AI27+AH28-AQ27)))</f>
        <v>173.00000000000003</v>
      </c>
      <c r="AJ28" s="14">
        <f>AI28*VLOOKUP('Données projet'!$B$10,Paramètres!$A$1:$I$89,3,0)*VLOOKUP('Données projet'!$B$10,Paramètres!$A$1:$I$89,5,0)</f>
        <v>156.53040000000001</v>
      </c>
      <c r="AK28" s="14">
        <f t="shared" si="35"/>
        <v>40.058941713182037</v>
      </c>
      <c r="AL28" s="22">
        <f t="shared" si="4"/>
        <v>342.39310348379212</v>
      </c>
      <c r="AM28" s="62">
        <f t="shared" si="5"/>
        <v>539.65496435706143</v>
      </c>
      <c r="AN28" s="62">
        <f ca="1">AVERAGE(OFFSET($AM$3,0,0,'Données projet'!$E$10+1,1))-AVERAGE(OFFSET($H$3,0,0,'Données projet'!$E$10+1,1))</f>
        <v>327.07074355218322</v>
      </c>
      <c r="AO28" s="62">
        <f t="shared" si="36"/>
        <v>462.01668587029087</v>
      </c>
      <c r="AP28" s="16">
        <f>IF(ISNA(VLOOKUP(A28,'Données projet'!$A$61:$I$81,3,0)),0,VLOOKUP(A28,'Données projet'!$A$61:$I$81,3,0))</f>
        <v>5</v>
      </c>
      <c r="AQ28" s="16">
        <f>IF(ISNA(VLOOKUP(A28,'Données projet'!$A$61:$I$81,4,0)),0,VLOOKUP(A28,'Données projet'!$A$61:$I$81,4,0))</f>
        <v>11</v>
      </c>
      <c r="AR28" s="17">
        <f>IF(ISNA(VLOOKUP(A28,'Données projet'!$A$61:$I$81,5,0)),0%,VLOOKUP(A28,'Données projet'!$A$61:$I$81,5,0)*VLOOKUP('Données projet'!$B$10,Paramètres!$A$1:$I$89,7,0))</f>
        <v>0.24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6.5214705570845792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6.5214705570845792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143</v>
      </c>
      <c r="BB28" s="13">
        <f>VLOOKUP(A28,'Données projet'!$A$87:$I$107,9,0)</f>
        <v>12.2</v>
      </c>
      <c r="BC28" s="13">
        <f t="array" ref="BC28">INDEX(BB:BB,MIN(IF(ISNUMBER(BB28:BB224),ROW(BB28:BB224),"")))</f>
        <v>12.2</v>
      </c>
      <c r="BD28" s="13">
        <f>IF('Données projet'!$A$88&gt;35,BD27+BC28-BL27,IF(A28&lt;'Données projet'!$A$88,$BA$205^A28,IF(A28='Données projet'!$A$88,'Données projet'!$B$88,BD27+BC28-BL27)))</f>
        <v>142.99999999999997</v>
      </c>
      <c r="BE28" s="14">
        <f>BD28*VLOOKUP('Données projet'!$B$11,Paramètres!$A$1:$I$89,3,0)*VLOOKUP('Données projet'!$B$11,Paramètres!$A$1:$I$89,5,0)</f>
        <v>124.9248</v>
      </c>
      <c r="BF28" s="14">
        <f t="shared" si="37"/>
        <v>32.820925500842712</v>
      </c>
      <c r="BG28" s="22">
        <f t="shared" si="7"/>
        <v>274.74047191396772</v>
      </c>
      <c r="BH28" s="62">
        <f t="shared" si="8"/>
        <v>472.00233278723704</v>
      </c>
      <c r="BI28" s="62">
        <f ca="1">AVERAGE(OFFSET($BH$3,0,0,'Données projet'!$E$11+1,1))-AVERAGE(OFFSET($H$3,0,0,'Données projet'!$E$11+1,1))</f>
        <v>378.51861272969165</v>
      </c>
      <c r="BJ28" s="62">
        <f t="shared" si="38"/>
        <v>387.42368617035459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37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0.215</v>
      </c>
      <c r="BO28" s="17">
        <f>IF(ISNA(VLOOKUP(A28,'Données projet'!$A$87:$I$107,7,0)),0%,VLOOKUP(A28,'Données projet'!$A$87:$I$107,7,0))</f>
        <v>0.5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7.6522043916754932</v>
      </c>
      <c r="BR28" s="23">
        <f>EXP(-LN(2)/2)*BR27+(1-EXP(-LN(2)/2))/(LN(2)/2)*BL28*BO28*VLOOKUP('Données projet'!$B$11,Paramètres!$A$1:$I$89,3,0)*0.475*44/12</f>
        <v>15.248904583086444</v>
      </c>
      <c r="BS28" s="24">
        <f t="shared" si="9"/>
        <v>22.901108974761939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222</v>
      </c>
      <c r="BW28" s="13">
        <f>VLOOKUP(A28,'Données projet'!$A$113:$I$133,9,0)</f>
        <v>16.5</v>
      </c>
      <c r="BX28" s="13">
        <f t="array" ref="BX28">INDEX(BW:BW,MIN(IF(ISNUMBER(BW28:BW224),ROW(BW28:BW224),"")))</f>
        <v>16.5</v>
      </c>
      <c r="BY28" s="13">
        <f>IF('Données projet'!$A$114&gt;35,BY27+BX28-CG27,IF(A28&lt;'Données projet'!$A$114,$BV$205^A28,IF(A28='Données projet'!$A$114,'Données projet'!$B$114,BY27+BX28-CG27)))</f>
        <v>222</v>
      </c>
      <c r="BZ28" s="14">
        <f>BY28*VLOOKUP('Données projet'!$B$12,Paramètres!$A$1:$I$89,3,0)*VLOOKUP('Données projet'!$B$12,Paramètres!$A$1:$I$89,5,0)</f>
        <v>132.756</v>
      </c>
      <c r="CA28" s="14">
        <f t="shared" si="39"/>
        <v>34.632410397339967</v>
      </c>
      <c r="CB28" s="22">
        <f t="shared" si="10"/>
        <v>291.53481477536712</v>
      </c>
      <c r="CC28" s="62">
        <f t="shared" si="11"/>
        <v>488.79667564863644</v>
      </c>
      <c r="CD28" s="62">
        <f ca="1">AVERAGE(OFFSET($CC$3,0,0,'Données projet'!$E$12+1,1))-AVERAGE(OFFSET($H$3,0,0,'Données projet'!$E$12+1,1))</f>
        <v>225.71928466161592</v>
      </c>
      <c r="CE28" s="62">
        <f t="shared" si="40"/>
        <v>385.98818770742025</v>
      </c>
      <c r="CF28" s="16">
        <f>IF(ISNA(VLOOKUP(A28,'Données projet'!$A$113:$I$133,3,0)),0,VLOOKUP(A28,'Données projet'!$A$113:$I$133,3,0))</f>
        <v>3</v>
      </c>
      <c r="CG28" s="16">
        <f>IF(ISNA(VLOOKUP(A28,'Données projet'!$A$113:$I$133,4,0)),0,VLOOKUP(A28,'Données projet'!$A$113:$I$133,4,0))</f>
        <v>54</v>
      </c>
      <c r="CH28" s="17">
        <f>IF(ISNA(VLOOKUP(A28,'Données projet'!$A$113:$I$133,5,0)),0%,VLOOKUP(A28,'Données projet'!$A$113:$I$133,5,0)*VLOOKUP('Données projet'!$B$12,Paramètres!$A$1:$I$89,7,0))</f>
        <v>0.18000000000000002</v>
      </c>
      <c r="CI28" s="17">
        <f>IF(ISNA(VLOOKUP(A28,'Données projet'!$A$113:$I$133,6,0)),0%,VLOOKUP(A28,'Données projet'!$A$113:$I$133,6,0)*VLOOKUP('Données projet'!$B$12,Paramètres!$A$1:$I$89,7,0))</f>
        <v>9.0000000000000011E-2</v>
      </c>
      <c r="CJ28" s="17">
        <f>IF(ISNA(VLOOKUP(A28,'Données projet'!$A$113:$I$133,7,0)),0%,VLOOKUP(A28,'Données projet'!$A$113:$I$133,7,0))</f>
        <v>0.4</v>
      </c>
      <c r="CK28" s="23">
        <f>EXP(-LN(2)/35)*CK27+(1-EXP(-LN(2)/35))/(LN(2)/35)*CG28*CH28*VLOOKUP('Données projet'!$B$12,Paramètres!$A$1:$I$89,3,0)*0.475*44/12</f>
        <v>11.514539730606312</v>
      </c>
      <c r="CL28" s="23">
        <f>EXP(-LN(2)/25)*CL27+(1-EXP(-LN(2)/25))/(LN(2)/25)*Calculateur!CG28*Calculateur!CI28*VLOOKUP('Données projet'!$B$12,Paramètres!$A$1:$I$89,3,0)*0.475*44/12</f>
        <v>3.8401876937302988</v>
      </c>
      <c r="CM28" s="23">
        <f>EXP(-LN(2)/2)*CM27+(1-EXP(-LN(2)/2))/(LN(2)/2)*CG28*CJ28*VLOOKUP('Données projet'!$B$12,Paramètres!$A$1:$I$89,3,0)*0.475*44/12</f>
        <v>17.153269772362943</v>
      </c>
      <c r="CN28" s="24">
        <f t="shared" si="12"/>
        <v>32.507997196699556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103</v>
      </c>
      <c r="CR28" s="13">
        <f>VLOOKUP(A28,'Données projet'!$A$139:$I$159,9,0)</f>
        <v>7.2</v>
      </c>
      <c r="CS28" s="13">
        <f t="array" ref="CS28">INDEX(CR:CR,MIN(IF(ISNUMBER(CR28:CR224),ROW(CR28:CR224),"")))</f>
        <v>7.2</v>
      </c>
      <c r="CT28" s="13">
        <f>IF('Données projet'!$A$140&gt;35,CT27+CS28-DB27,IF(A28&lt;'Données projet'!$A$140,$CQ$205^A28,IF(A28='Données projet'!$A$140,'Données projet'!$B$140,CT27+CS28-DB27)))</f>
        <v>103.00000000000001</v>
      </c>
      <c r="CU28" s="18">
        <f>CT28*VLOOKUP('Données projet'!$B$13,Paramètres!$A$1:$I$89,3,0)*VLOOKUP('Données projet'!$B$13,Paramètres!$A$1:$I$89,5,0)</f>
        <v>93.194400000000002</v>
      </c>
      <c r="CV28" s="14">
        <f t="shared" si="41"/>
        <v>25.33406653691528</v>
      </c>
      <c r="CW28" s="22">
        <f t="shared" si="13"/>
        <v>206.43707921846078</v>
      </c>
      <c r="CX28" s="62">
        <f t="shared" si="14"/>
        <v>403.69894009173004</v>
      </c>
      <c r="CY28" s="62">
        <f ca="1">AVERAGE(OFFSET($CX$3,0,0,'Données projet'!$E$13+1,1))-AVERAGE(OFFSET($H$3,0,0,'Données projet'!$E$13+1,1))</f>
        <v>499.92116338695428</v>
      </c>
      <c r="CZ28" s="62">
        <f t="shared" si="42"/>
        <v>316.79403154855652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28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0.129</v>
      </c>
      <c r="DE28" s="17">
        <f>IF(ISNA(VLOOKUP(A28,'Données projet'!$A$139:$I$159,7,0)),0%,VLOOKUP(A28,'Données projet'!$A$139:$I$159,7,0))</f>
        <v>0.7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3.5986042274365828</v>
      </c>
      <c r="DH28" s="23">
        <f>EXP(-LN(2)/2)*DH27+(1-EXP(-LN(2)/2))/(LN(2)/2)*DB28*DE28*VLOOKUP('Données projet'!$B$13,Paramètres!$A$1:$I$89,3,0)*0.475*44/12</f>
        <v>16.73258178576512</v>
      </c>
      <c r="DI28" s="24">
        <f t="shared" si="15"/>
        <v>20.331186013201702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135.66666666666666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474.174587646997</v>
      </c>
      <c r="S29" s="62">
        <f ca="1">AVERAGE(OFFSET($R$3,0,0,'Données projet'!$E$9+1,1))-AVERAGE(OFFSET($H$3,0,0,'Données projet'!$E$9+1,1))</f>
        <v>211.70619219850786</v>
      </c>
      <c r="T29" s="62">
        <f t="shared" si="34"/>
        <v>426.883837098247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6.8</v>
      </c>
      <c r="AI29" s="14">
        <f>IF('Données projet'!$A$62&gt;35,AI28+AH29-AQ28,IF(A29&lt;'Données projet'!$A$62,$AF$205^A29,IF(A29='Données projet'!$A$62,'Données projet'!$B$62,AI28+AH29-AQ28)))</f>
        <v>168.80000000000004</v>
      </c>
      <c r="AJ29" s="14">
        <f>AI29*VLOOKUP('Données projet'!$B$10,Paramètres!$A$1:$I$89,3,0)*VLOOKUP('Données projet'!$B$10,Paramètres!$A$1:$I$89,5,0)</f>
        <v>152.73024000000001</v>
      </c>
      <c r="AK29" s="14">
        <f t="shared" si="35"/>
        <v>39.198389597047516</v>
      </c>
      <c r="AL29" s="22">
        <f t="shared" si="4"/>
        <v>334.27569654819109</v>
      </c>
      <c r="AM29" s="62">
        <f t="shared" si="5"/>
        <v>534.32039079184915</v>
      </c>
      <c r="AN29" s="62">
        <f ca="1">AVERAGE(OFFSET($AM$3,0,0,'Données projet'!$E$10+1,1))-AVERAGE(OFFSET($H$3,0,0,'Données projet'!$E$10+1,1))</f>
        <v>327.07074355218322</v>
      </c>
      <c r="AO29" s="62">
        <f t="shared" si="36"/>
        <v>462.01668587029087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6.3935884971644246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6.3935884971644246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11.4</v>
      </c>
      <c r="BD29" s="13">
        <f>IF('Données projet'!$A$88&gt;35,BD28+BC29-BL28,IF(A29&lt;'Données projet'!$A$88,$BA$205^A29,IF(A29='Données projet'!$A$88,'Données projet'!$B$88,BD28+BC29-BL28)))</f>
        <v>117.39999999999998</v>
      </c>
      <c r="BE29" s="14">
        <f>BD29*VLOOKUP('Données projet'!$B$11,Paramètres!$A$1:$I$89,3,0)*VLOOKUP('Données projet'!$B$11,Paramètres!$A$1:$I$89,5,0)</f>
        <v>102.56064000000001</v>
      </c>
      <c r="BF29" s="14">
        <f t="shared" si="37"/>
        <v>27.571134131783779</v>
      </c>
      <c r="BG29" s="22">
        <f t="shared" si="7"/>
        <v>226.64617327952342</v>
      </c>
      <c r="BH29" s="62">
        <f t="shared" si="8"/>
        <v>426.6908675231814</v>
      </c>
      <c r="BI29" s="62">
        <f ca="1">AVERAGE(OFFSET($BH$3,0,0,'Données projet'!$E$11+1,1))-AVERAGE(OFFSET($H$3,0,0,'Données projet'!$E$11+1,1))</f>
        <v>378.51861272969165</v>
      </c>
      <c r="BJ29" s="62">
        <f t="shared" si="38"/>
        <v>387.42368617035459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7.442954460173187</v>
      </c>
      <c r="BR29" s="23">
        <f>EXP(-LN(2)/2)*BR28+(1-EXP(-LN(2)/2))/(LN(2)/2)*BL29*BO29*VLOOKUP('Données projet'!$B$11,Paramètres!$A$1:$I$89,3,0)*0.475*44/12</f>
        <v>10.782603836367048</v>
      </c>
      <c r="BS29" s="24">
        <f t="shared" si="9"/>
        <v>18.225558296540235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13.8</v>
      </c>
      <c r="BY29" s="13">
        <f>IF('Données projet'!$A$114&gt;35,BY28+BX29-CG28,IF(A29&lt;'Données projet'!$A$114,$BV$205^A29,IF(A29='Données projet'!$A$114,'Données projet'!$B$114,BY28+BX29-CG28)))</f>
        <v>181.8</v>
      </c>
      <c r="BZ29" s="14">
        <f>BY29*VLOOKUP('Données projet'!$B$12,Paramètres!$A$1:$I$89,3,0)*VLOOKUP('Données projet'!$B$12,Paramètres!$A$1:$I$89,5,0)</f>
        <v>108.71640000000002</v>
      </c>
      <c r="CA29" s="14">
        <f t="shared" si="39"/>
        <v>29.028352113364011</v>
      </c>
      <c r="CB29" s="22">
        <f t="shared" si="10"/>
        <v>239.90544326410898</v>
      </c>
      <c r="CC29" s="62">
        <f t="shared" si="11"/>
        <v>439.95013750776695</v>
      </c>
      <c r="CD29" s="62">
        <f ca="1">AVERAGE(OFFSET($CC$3,0,0,'Données projet'!$E$12+1,1))-AVERAGE(OFFSET($H$3,0,0,'Données projet'!$E$12+1,1))</f>
        <v>225.71928466161592</v>
      </c>
      <c r="CE29" s="62">
        <f t="shared" si="40"/>
        <v>385.98818770742025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11.288746629664876</v>
      </c>
      <c r="CL29" s="23">
        <f>EXP(-LN(2)/25)*CL28+(1-EXP(-LN(2)/25))/(LN(2)/25)*Calculateur!CG29*Calculateur!CI29*VLOOKUP('Données projet'!$B$12,Paramètres!$A$1:$I$89,3,0)*0.475*44/12</f>
        <v>3.7351775592985499</v>
      </c>
      <c r="CM29" s="23">
        <f>EXP(-LN(2)/2)*CM28+(1-EXP(-LN(2)/2))/(LN(2)/2)*CG29*CJ29*VLOOKUP('Données projet'!$B$12,Paramètres!$A$1:$I$89,3,0)*0.475*44/12</f>
        <v>12.129193375560064</v>
      </c>
      <c r="CN29" s="24">
        <f t="shared" si="12"/>
        <v>27.153117564523491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9.1999999999999993</v>
      </c>
      <c r="CT29" s="13">
        <f>IF('Données projet'!$A$140&gt;35,CT28+CS29-DB28,IF(A29&lt;'Données projet'!$A$140,$CQ$205^A29,IF(A29='Données projet'!$A$140,'Données projet'!$B$140,CT28+CS29-DB28)))</f>
        <v>84.200000000000017</v>
      </c>
      <c r="CU29" s="18">
        <f>CT29*VLOOKUP('Données projet'!$B$13,Paramètres!$A$1:$I$89,3,0)*VLOOKUP('Données projet'!$B$13,Paramètres!$A$1:$I$89,5,0)</f>
        <v>76.184160000000006</v>
      </c>
      <c r="CV29" s="14">
        <f t="shared" si="41"/>
        <v>21.201554232857223</v>
      </c>
      <c r="CW29" s="22">
        <f t="shared" si="13"/>
        <v>169.613452288893</v>
      </c>
      <c r="CX29" s="62">
        <f t="shared" si="14"/>
        <v>369.65814653255097</v>
      </c>
      <c r="CY29" s="62">
        <f ca="1">AVERAGE(OFFSET($CX$3,0,0,'Données projet'!$E$13+1,1))-AVERAGE(OFFSET($H$3,0,0,'Données projet'!$E$13+1,1))</f>
        <v>499.92116338695428</v>
      </c>
      <c r="CZ29" s="62">
        <f t="shared" si="42"/>
        <v>316.79403154855652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3.5002002055949579</v>
      </c>
      <c r="DH29" s="23">
        <f>EXP(-LN(2)/2)*DH28+(1-EXP(-LN(2)/2))/(LN(2)/2)*DB29*DE29*VLOOKUP('Données projet'!$B$13,Paramètres!$A$1:$I$89,3,0)*0.475*44/12</f>
        <v>11.831722047473029</v>
      </c>
      <c r="DI29" s="24">
        <f t="shared" si="15"/>
        <v>15.331922253067987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135.66666666666666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496.34904711149841</v>
      </c>
      <c r="S30" s="62">
        <f ca="1">AVERAGE(OFFSET($R$3,0,0,'Données projet'!$E$9+1,1))-AVERAGE(OFFSET($H$3,0,0,'Données projet'!$E$9+1,1))</f>
        <v>211.70619219850786</v>
      </c>
      <c r="T30" s="62">
        <f t="shared" si="34"/>
        <v>426.883837098247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6.8</v>
      </c>
      <c r="AI30" s="14">
        <f>IF('Données projet'!$A$62&gt;35,AI29+AH30-AQ29,IF(A30&lt;'Données projet'!$A$62,$AF$205^A30,IF(A30='Données projet'!$A$62,'Données projet'!$B$62,AI29+AH30-AQ29)))</f>
        <v>175.60000000000005</v>
      </c>
      <c r="AJ30" s="14">
        <f>AI30*VLOOKUP('Données projet'!$B$10,Paramètres!$A$1:$I$89,3,0)*VLOOKUP('Données projet'!$B$10,Paramètres!$A$1:$I$89,5,0)</f>
        <v>158.88288000000006</v>
      </c>
      <c r="AK30" s="14">
        <f t="shared" si="35"/>
        <v>40.590443217000178</v>
      </c>
      <c r="AL30" s="22">
        <f t="shared" si="4"/>
        <v>347.41603793627536</v>
      </c>
      <c r="AM30" s="62">
        <f t="shared" si="5"/>
        <v>550.21649243590525</v>
      </c>
      <c r="AN30" s="62">
        <f ca="1">AVERAGE(OFFSET($AM$3,0,0,'Données projet'!$E$10+1,1))-AVERAGE(OFFSET($H$3,0,0,'Données projet'!$E$10+1,1))</f>
        <v>327.07074355218322</v>
      </c>
      <c r="AO30" s="62">
        <f t="shared" si="36"/>
        <v>462.01668587029087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6.2682141264389495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6.2682141264389495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11.4</v>
      </c>
      <c r="BD30" s="13">
        <f>IF('Données projet'!$A$88&gt;35,BD29+BC30-BL29,IF(A30&lt;'Données projet'!$A$88,$BA$205^A30,IF(A30='Données projet'!$A$88,'Données projet'!$B$88,BD29+BC30-BL29)))</f>
        <v>128.79999999999998</v>
      </c>
      <c r="BE30" s="14">
        <f>BD30*VLOOKUP('Données projet'!$B$11,Paramètres!$A$1:$I$89,3,0)*VLOOKUP('Données projet'!$B$11,Paramètres!$A$1:$I$89,5,0)</f>
        <v>112.51968000000001</v>
      </c>
      <c r="BF30" s="14">
        <f t="shared" si="37"/>
        <v>29.923856072189899</v>
      </c>
      <c r="BG30" s="22">
        <f t="shared" si="7"/>
        <v>248.08915865906408</v>
      </c>
      <c r="BH30" s="62">
        <f t="shared" si="8"/>
        <v>450.88961315869392</v>
      </c>
      <c r="BI30" s="62">
        <f ca="1">AVERAGE(OFFSET($BH$3,0,0,'Données projet'!$E$11+1,1))-AVERAGE(OFFSET($H$3,0,0,'Données projet'!$E$11+1,1))</f>
        <v>378.51861272969165</v>
      </c>
      <c r="BJ30" s="62">
        <f t="shared" si="38"/>
        <v>387.42368617035459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7.2394264790517875</v>
      </c>
      <c r="BR30" s="23">
        <f>EXP(-LN(2)/2)*BR29+(1-EXP(-LN(2)/2))/(LN(2)/2)*BL30*BO30*VLOOKUP('Données projet'!$B$11,Paramètres!$A$1:$I$89,3,0)*0.475*44/12</f>
        <v>7.6244522915432231</v>
      </c>
      <c r="BS30" s="24">
        <f t="shared" si="9"/>
        <v>14.863878770595012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13.8</v>
      </c>
      <c r="BY30" s="13">
        <f>IF('Données projet'!$A$114&gt;35,BY29+BX30-CG29,IF(A30&lt;'Données projet'!$A$114,$BV$205^A30,IF(A30='Données projet'!$A$114,'Données projet'!$B$114,BY29+BX30-CG29)))</f>
        <v>195.60000000000002</v>
      </c>
      <c r="BZ30" s="14">
        <f>BY30*VLOOKUP('Données projet'!$B$12,Paramètres!$A$1:$I$89,3,0)*VLOOKUP('Données projet'!$B$12,Paramètres!$A$1:$I$89,5,0)</f>
        <v>116.96880000000002</v>
      </c>
      <c r="CA30" s="14">
        <f t="shared" si="39"/>
        <v>30.966972418998537</v>
      </c>
      <c r="CB30" s="22">
        <f t="shared" si="10"/>
        <v>257.6548036297558</v>
      </c>
      <c r="CC30" s="62">
        <f t="shared" si="11"/>
        <v>460.4552581293857</v>
      </c>
      <c r="CD30" s="62">
        <f ca="1">AVERAGE(OFFSET($CC$3,0,0,'Données projet'!$E$12+1,1))-AVERAGE(OFFSET($H$3,0,0,'Données projet'!$E$12+1,1))</f>
        <v>225.71928466161592</v>
      </c>
      <c r="CE30" s="62">
        <f t="shared" si="40"/>
        <v>385.98818770742025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11.067381193712711</v>
      </c>
      <c r="CL30" s="23">
        <f>EXP(-LN(2)/25)*CL29+(1-EXP(-LN(2)/25))/(LN(2)/25)*Calculateur!CG30*Calculateur!CI30*VLOOKUP('Données projet'!$B$12,Paramètres!$A$1:$I$89,3,0)*0.475*44/12</f>
        <v>3.6330389325150803</v>
      </c>
      <c r="CM30" s="23">
        <f>EXP(-LN(2)/2)*CM29+(1-EXP(-LN(2)/2))/(LN(2)/2)*CG30*CJ30*VLOOKUP('Données projet'!$B$12,Paramètres!$A$1:$I$89,3,0)*0.475*44/12</f>
        <v>8.5766348861814716</v>
      </c>
      <c r="CN30" s="24">
        <f t="shared" si="12"/>
        <v>23.277055012409264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9.1999999999999993</v>
      </c>
      <c r="CT30" s="13">
        <f>IF('Données projet'!$A$140&gt;35,CT29+CS30-DB29,IF(A30&lt;'Données projet'!$A$140,$CQ$205^A30,IF(A30='Données projet'!$A$140,'Données projet'!$B$140,CT29+CS30-DB29)))</f>
        <v>93.40000000000002</v>
      </c>
      <c r="CU30" s="18">
        <f>CT30*VLOOKUP('Données projet'!$B$13,Paramètres!$A$1:$I$89,3,0)*VLOOKUP('Données projet'!$B$13,Paramètres!$A$1:$I$89,5,0)</f>
        <v>84.508320000000026</v>
      </c>
      <c r="CV30" s="14">
        <f t="shared" si="41"/>
        <v>23.235950088324714</v>
      </c>
      <c r="CW30" s="22">
        <f t="shared" si="13"/>
        <v>187.65460373716556</v>
      </c>
      <c r="CX30" s="62">
        <f t="shared" si="14"/>
        <v>390.45505823679542</v>
      </c>
      <c r="CY30" s="62">
        <f ca="1">AVERAGE(OFFSET($CX$3,0,0,'Données projet'!$E$13+1,1))-AVERAGE(OFFSET($H$3,0,0,'Données projet'!$E$13+1,1))</f>
        <v>499.92116338695428</v>
      </c>
      <c r="CZ30" s="62">
        <f t="shared" si="42"/>
        <v>316.79403154855652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3.4044870469054347</v>
      </c>
      <c r="DH30" s="23">
        <f>EXP(-LN(2)/2)*DH29+(1-EXP(-LN(2)/2))/(LN(2)/2)*DB30*DE30*VLOOKUP('Données projet'!$B$13,Paramètres!$A$1:$I$89,3,0)*0.475*44/12</f>
        <v>8.3662908928825619</v>
      </c>
      <c r="DI30" s="24">
        <f t="shared" si="15"/>
        <v>11.770777939787997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135.66666666666666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518.46823896547028</v>
      </c>
      <c r="S31" s="62">
        <f ca="1">AVERAGE(OFFSET($R$3,0,0,'Données projet'!$E$9+1,1))-AVERAGE(OFFSET($H$3,0,0,'Données projet'!$E$9+1,1))</f>
        <v>211.70619219850786</v>
      </c>
      <c r="T31" s="62">
        <f t="shared" si="34"/>
        <v>426.883837098247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6.8</v>
      </c>
      <c r="AI31" s="14">
        <f>IF('Données projet'!$A$62&gt;35,AI30+AH31-AQ30,IF(A31&lt;'Données projet'!$A$62,$AF$205^A31,IF(A31='Données projet'!$A$62,'Données projet'!$B$62,AI30+AH31-AQ30)))</f>
        <v>182.40000000000006</v>
      </c>
      <c r="AJ31" s="14">
        <f>AI31*VLOOKUP('Données projet'!$B$10,Paramètres!$A$1:$I$89,3,0)*VLOOKUP('Données projet'!$B$10,Paramètres!$A$1:$I$89,5,0)</f>
        <v>165.03552000000005</v>
      </c>
      <c r="AK31" s="14">
        <f t="shared" si="35"/>
        <v>41.976234598846517</v>
      </c>
      <c r="AL31" s="22">
        <f t="shared" si="4"/>
        <v>360.54547259299108</v>
      </c>
      <c r="AM31" s="62">
        <f t="shared" si="5"/>
        <v>566.07508389218469</v>
      </c>
      <c r="AN31" s="62">
        <f ca="1">AVERAGE(OFFSET($AM$3,0,0,'Données projet'!$E$10+1,1))-AVERAGE(OFFSET($H$3,0,0,'Données projet'!$E$10+1,1))</f>
        <v>327.07074355218322</v>
      </c>
      <c r="AO31" s="62">
        <f t="shared" si="36"/>
        <v>462.01668587029087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6.145298270652586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6.145298270652586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11.4</v>
      </c>
      <c r="BD31" s="13">
        <f>IF('Données projet'!$A$88&gt;35,BD30+BC31-BL30,IF(A31&lt;'Données projet'!$A$88,$BA$205^A31,IF(A31='Données projet'!$A$88,'Données projet'!$B$88,BD30+BC31-BL30)))</f>
        <v>140.19999999999999</v>
      </c>
      <c r="BE31" s="14">
        <f>BD31*VLOOKUP('Données projet'!$B$11,Paramètres!$A$1:$I$89,3,0)*VLOOKUP('Données projet'!$B$11,Paramètres!$A$1:$I$89,5,0)</f>
        <v>122.47872000000001</v>
      </c>
      <c r="BF31" s="14">
        <f t="shared" si="37"/>
        <v>32.252430308904003</v>
      </c>
      <c r="BG31" s="22">
        <f t="shared" si="7"/>
        <v>269.49008678800777</v>
      </c>
      <c r="BH31" s="62">
        <f t="shared" si="8"/>
        <v>475.01969808720139</v>
      </c>
      <c r="BI31" s="62">
        <f ca="1">AVERAGE(OFFSET($BH$3,0,0,'Données projet'!$E$11+1,1))-AVERAGE(OFFSET($H$3,0,0,'Données projet'!$E$11+1,1))</f>
        <v>378.51861272969165</v>
      </c>
      <c r="BJ31" s="62">
        <f t="shared" si="38"/>
        <v>387.42368617035459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7.0414639812772242</v>
      </c>
      <c r="BR31" s="23">
        <f>EXP(-LN(2)/2)*BR30+(1-EXP(-LN(2)/2))/(LN(2)/2)*BL31*BO31*VLOOKUP('Données projet'!$B$11,Paramètres!$A$1:$I$89,3,0)*0.475*44/12</f>
        <v>5.3913019181835251</v>
      </c>
      <c r="BS31" s="24">
        <f t="shared" si="9"/>
        <v>12.432765899460749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13.8</v>
      </c>
      <c r="BY31" s="13">
        <f>IF('Données projet'!$A$114&gt;35,BY30+BX31-CG30,IF(A31&lt;'Données projet'!$A$114,$BV$205^A31,IF(A31='Données projet'!$A$114,'Données projet'!$B$114,BY30+BX31-CG30)))</f>
        <v>209.40000000000003</v>
      </c>
      <c r="BZ31" s="14">
        <f>BY31*VLOOKUP('Données projet'!$B$12,Paramètres!$A$1:$I$89,3,0)*VLOOKUP('Données projet'!$B$12,Paramètres!$A$1:$I$89,5,0)</f>
        <v>125.22120000000004</v>
      </c>
      <c r="CA31" s="14">
        <f t="shared" si="39"/>
        <v>32.889723553463881</v>
      </c>
      <c r="CB31" s="22">
        <f t="shared" si="10"/>
        <v>275.37652518894964</v>
      </c>
      <c r="CC31" s="62">
        <f t="shared" si="11"/>
        <v>480.90613648814326</v>
      </c>
      <c r="CD31" s="62">
        <f ca="1">AVERAGE(OFFSET($CC$3,0,0,'Données projet'!$E$12+1,1))-AVERAGE(OFFSET($H$3,0,0,'Données projet'!$E$12+1,1))</f>
        <v>225.71928466161592</v>
      </c>
      <c r="CE31" s="62">
        <f t="shared" si="40"/>
        <v>385.98818770742025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10.850356598939982</v>
      </c>
      <c r="CL31" s="23">
        <f>EXP(-LN(2)/25)*CL30+(1-EXP(-LN(2)/25))/(LN(2)/25)*Calculateur!CG31*Calculateur!CI31*VLOOKUP('Données projet'!$B$12,Paramètres!$A$1:$I$89,3,0)*0.475*44/12</f>
        <v>3.5336932918522415</v>
      </c>
      <c r="CM31" s="23">
        <f>EXP(-LN(2)/2)*CM30+(1-EXP(-LN(2)/2))/(LN(2)/2)*CG31*CJ31*VLOOKUP('Données projet'!$B$12,Paramètres!$A$1:$I$89,3,0)*0.475*44/12</f>
        <v>6.0645966877800319</v>
      </c>
      <c r="CN31" s="24">
        <f t="shared" si="12"/>
        <v>20.448646578572255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9.1999999999999993</v>
      </c>
      <c r="CT31" s="13">
        <f>IF('Données projet'!$A$140&gt;35,CT30+CS31-DB30,IF(A31&lt;'Données projet'!$A$140,$CQ$205^A31,IF(A31='Données projet'!$A$140,'Données projet'!$B$140,CT30+CS31-DB30)))</f>
        <v>102.60000000000002</v>
      </c>
      <c r="CU31" s="18">
        <f>CT31*VLOOKUP('Données projet'!$B$13,Paramètres!$A$1:$I$89,3,0)*VLOOKUP('Données projet'!$B$13,Paramètres!$A$1:$I$89,5,0)</f>
        <v>92.832480000000018</v>
      </c>
      <c r="CV31" s="14">
        <f t="shared" si="41"/>
        <v>25.247114117480137</v>
      </c>
      <c r="CW31" s="22">
        <f t="shared" si="13"/>
        <v>205.65529308794461</v>
      </c>
      <c r="CX31" s="62">
        <f t="shared" si="14"/>
        <v>411.1849043871382</v>
      </c>
      <c r="CY31" s="62">
        <f ca="1">AVERAGE(OFFSET($CX$3,0,0,'Données projet'!$E$13+1,1))-AVERAGE(OFFSET($H$3,0,0,'Données projet'!$E$13+1,1))</f>
        <v>499.92116338695428</v>
      </c>
      <c r="CZ31" s="62">
        <f t="shared" si="42"/>
        <v>316.79403154855652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3.3113911695736129</v>
      </c>
      <c r="DH31" s="23">
        <f>EXP(-LN(2)/2)*DH30+(1-EXP(-LN(2)/2))/(LN(2)/2)*DB31*DE31*VLOOKUP('Données projet'!$B$13,Paramètres!$A$1:$I$89,3,0)*0.475*44/12</f>
        <v>5.9158610237365155</v>
      </c>
      <c r="DI31" s="24">
        <f t="shared" si="15"/>
        <v>9.2272521933101288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135.66666666666666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540.53465000926337</v>
      </c>
      <c r="S32" s="62">
        <f ca="1">AVERAGE(OFFSET($R$3,0,0,'Données projet'!$E$9+1,1))-AVERAGE(OFFSET($H$3,0,0,'Données projet'!$E$9+1,1))</f>
        <v>211.70619219850786</v>
      </c>
      <c r="T32" s="62">
        <f t="shared" si="34"/>
        <v>426.883837098247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6.8</v>
      </c>
      <c r="AI32" s="14">
        <f>IF('Données projet'!$A$62&gt;35,AI31+AH32-AQ31,IF(A32&lt;'Données projet'!$A$62,$AF$205^A32,IF(A32='Données projet'!$A$62,'Données projet'!$B$62,AI31+AH32-AQ31)))</f>
        <v>189.20000000000007</v>
      </c>
      <c r="AJ32" s="14">
        <f>AI32*VLOOKUP('Données projet'!$B$10,Paramètres!$A$1:$I$89,3,0)*VLOOKUP('Données projet'!$B$10,Paramètres!$A$1:$I$89,5,0)</f>
        <v>171.18816000000007</v>
      </c>
      <c r="AK32" s="14">
        <f t="shared" si="35"/>
        <v>43.356023936000852</v>
      </c>
      <c r="AL32" s="22">
        <f t="shared" si="4"/>
        <v>373.66445368853493</v>
      </c>
      <c r="AM32" s="62">
        <f t="shared" si="5"/>
        <v>581.89707984137635</v>
      </c>
      <c r="AN32" s="62">
        <f ca="1">AVERAGE(OFFSET($AM$3,0,0,'Données projet'!$E$10+1,1))-AVERAGE(OFFSET($H$3,0,0,'Données projet'!$E$10+1,1))</f>
        <v>327.07074355218322</v>
      </c>
      <c r="AO32" s="62">
        <f t="shared" si="36"/>
        <v>462.01668587029087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6.024792719826924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6.024792719826924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11.4</v>
      </c>
      <c r="BD32" s="13">
        <f>IF('Données projet'!$A$88&gt;35,BD31+BC32-BL31,IF(A32&lt;'Données projet'!$A$88,$BA$205^A32,IF(A32='Données projet'!$A$88,'Données projet'!$B$88,BD31+BC32-BL31)))</f>
        <v>151.6</v>
      </c>
      <c r="BE32" s="14">
        <f>BD32*VLOOKUP('Données projet'!$B$11,Paramètres!$A$1:$I$89,3,0)*VLOOKUP('Données projet'!$B$11,Paramètres!$A$1:$I$89,5,0)</f>
        <v>132.43776</v>
      </c>
      <c r="BF32" s="14">
        <f t="shared" si="37"/>
        <v>34.559043580858436</v>
      </c>
      <c r="BG32" s="22">
        <f t="shared" si="7"/>
        <v>290.85276623666175</v>
      </c>
      <c r="BH32" s="62">
        <f t="shared" si="8"/>
        <v>499.08539238950323</v>
      </c>
      <c r="BI32" s="62">
        <f ca="1">AVERAGE(OFFSET($BH$3,0,0,'Données projet'!$E$11+1,1))-AVERAGE(OFFSET($H$3,0,0,'Données projet'!$E$11+1,1))</f>
        <v>378.51861272969165</v>
      </c>
      <c r="BJ32" s="62">
        <f t="shared" si="38"/>
        <v>387.42368617035459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6.8489147784147013</v>
      </c>
      <c r="BR32" s="23">
        <f>EXP(-LN(2)/2)*BR31+(1-EXP(-LN(2)/2))/(LN(2)/2)*BL32*BO32*VLOOKUP('Données projet'!$B$11,Paramètres!$A$1:$I$89,3,0)*0.475*44/12</f>
        <v>3.812226145771612</v>
      </c>
      <c r="BS32" s="24">
        <f t="shared" si="9"/>
        <v>10.661140924186313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13.8</v>
      </c>
      <c r="BY32" s="13">
        <f>IF('Données projet'!$A$114&gt;35,BY31+BX32-CG31,IF(A32&lt;'Données projet'!$A$114,$BV$205^A32,IF(A32='Données projet'!$A$114,'Données projet'!$B$114,BY31+BX32-CG31)))</f>
        <v>223.20000000000005</v>
      </c>
      <c r="BZ32" s="14">
        <f>BY32*VLOOKUP('Données projet'!$B$12,Paramètres!$A$1:$I$89,3,0)*VLOOKUP('Données projet'!$B$12,Paramètres!$A$1:$I$89,5,0)</f>
        <v>133.47360000000003</v>
      </c>
      <c r="CA32" s="14">
        <f t="shared" si="39"/>
        <v>34.79777034418013</v>
      </c>
      <c r="CB32" s="22">
        <f t="shared" si="10"/>
        <v>293.0726366827804</v>
      </c>
      <c r="CC32" s="62">
        <f t="shared" si="11"/>
        <v>501.30526283562187</v>
      </c>
      <c r="CD32" s="62">
        <f ca="1">AVERAGE(OFFSET($CC$3,0,0,'Données projet'!$E$12+1,1))-AVERAGE(OFFSET($H$3,0,0,'Données projet'!$E$12+1,1))</f>
        <v>225.71928466161592</v>
      </c>
      <c r="CE32" s="62">
        <f t="shared" si="40"/>
        <v>385.98818770742025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10.637587724098815</v>
      </c>
      <c r="CL32" s="23">
        <f>EXP(-LN(2)/25)*CL31+(1-EXP(-LN(2)/25))/(LN(2)/25)*Calculateur!CG32*Calculateur!CI32*VLOOKUP('Données projet'!$B$12,Paramètres!$A$1:$I$89,3,0)*0.475*44/12</f>
        <v>3.437064262957688</v>
      </c>
      <c r="CM32" s="23">
        <f>EXP(-LN(2)/2)*CM31+(1-EXP(-LN(2)/2))/(LN(2)/2)*CG32*CJ32*VLOOKUP('Données projet'!$B$12,Paramètres!$A$1:$I$89,3,0)*0.475*44/12</f>
        <v>4.2883174430907358</v>
      </c>
      <c r="CN32" s="24">
        <f t="shared" si="12"/>
        <v>18.362969430147238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9.1999999999999993</v>
      </c>
      <c r="CT32" s="13">
        <f>IF('Données projet'!$A$140&gt;35,CT31+CS32-DB31,IF(A32&lt;'Données projet'!$A$140,$CQ$205^A32,IF(A32='Données projet'!$A$140,'Données projet'!$B$140,CT31+CS32-DB31)))</f>
        <v>111.80000000000003</v>
      </c>
      <c r="CU32" s="18">
        <f>CT32*VLOOKUP('Données projet'!$B$13,Paramètres!$A$1:$I$89,3,0)*VLOOKUP('Données projet'!$B$13,Paramètres!$A$1:$I$89,5,0)</f>
        <v>101.15664000000001</v>
      </c>
      <c r="CV32" s="14">
        <f t="shared" si="41"/>
        <v>27.237366379381644</v>
      </c>
      <c r="CW32" s="22">
        <f t="shared" si="13"/>
        <v>223.61956111075639</v>
      </c>
      <c r="CX32" s="62">
        <f t="shared" si="14"/>
        <v>431.85218726359784</v>
      </c>
      <c r="CY32" s="62">
        <f ca="1">AVERAGE(OFFSET($CX$3,0,0,'Données projet'!$E$13+1,1))-AVERAGE(OFFSET($H$3,0,0,'Données projet'!$E$13+1,1))</f>
        <v>499.92116338695428</v>
      </c>
      <c r="CZ32" s="62">
        <f t="shared" si="42"/>
        <v>316.79403154855652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3.220841003903129</v>
      </c>
      <c r="DH32" s="23">
        <f>EXP(-LN(2)/2)*DH31+(1-EXP(-LN(2)/2))/(LN(2)/2)*DB32*DE32*VLOOKUP('Données projet'!$B$13,Paramètres!$A$1:$I$89,3,0)*0.475*44/12</f>
        <v>4.1831454464412818</v>
      </c>
      <c r="DI32" s="24">
        <f t="shared" si="15"/>
        <v>7.4039864503444104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135.66666666666666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562.55050376491363</v>
      </c>
      <c r="S33" s="62">
        <f ca="1">AVERAGE(OFFSET($R$3,0,0,'Données projet'!$E$9+1,1))-AVERAGE(OFFSET($H$3,0,0,'Données projet'!$E$9+1,1))</f>
        <v>211.70619219850786</v>
      </c>
      <c r="T33" s="62">
        <f t="shared" si="34"/>
        <v>426.883837098247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196</v>
      </c>
      <c r="AG33" s="13">
        <f>VLOOKUP(A33,'Données projet'!$A$61:$I$81,9,0)</f>
        <v>6.8</v>
      </c>
      <c r="AH33" s="13">
        <f t="array" ref="AH33">INDEX(AG:AG,MIN(IF(ISNUMBER(AG33:AG229),ROW(AG33:AG229),"")))</f>
        <v>6.8</v>
      </c>
      <c r="AI33" s="14">
        <f>IF('Données projet'!$A$62&gt;35,AI32+AH33-AQ32,IF(A33&lt;'Données projet'!$A$62,$AF$205^A33,IF(A33='Données projet'!$A$62,'Données projet'!$B$62,AI32+AH33-AQ32)))</f>
        <v>196.00000000000009</v>
      </c>
      <c r="AJ33" s="14">
        <f>AI33*VLOOKUP('Données projet'!$B$10,Paramètres!$A$1:$I$89,3,0)*VLOOKUP('Données projet'!$B$10,Paramètres!$A$1:$I$89,5,0)</f>
        <v>177.34080000000006</v>
      </c>
      <c r="AK33" s="14">
        <f t="shared" si="35"/>
        <v>44.730051658603102</v>
      </c>
      <c r="AL33" s="22">
        <f t="shared" si="4"/>
        <v>386.77339997206712</v>
      </c>
      <c r="AM33" s="62">
        <f t="shared" si="5"/>
        <v>597.6833525369575</v>
      </c>
      <c r="AN33" s="62">
        <f ca="1">AVERAGE(OFFSET($AM$3,0,0,'Données projet'!$E$10+1,1))-AVERAGE(OFFSET($H$3,0,0,'Données projet'!$E$10+1,1))</f>
        <v>327.07074355218322</v>
      </c>
      <c r="AO33" s="62">
        <f t="shared" si="36"/>
        <v>462.01668587029087</v>
      </c>
      <c r="AP33" s="16">
        <f>IF(ISNA(VLOOKUP(A33,'Données projet'!$A$61:$I$81,3,0)),0,VLOOKUP(A33,'Données projet'!$A$61:$I$81,3,0))</f>
        <v>6</v>
      </c>
      <c r="AQ33" s="16">
        <f>IF(ISNA(VLOOKUP(A33,'Données projet'!$A$61:$I$81,4,0)),0,VLOOKUP(A33,'Données projet'!$A$61:$I$81,4,0))</f>
        <v>9</v>
      </c>
      <c r="AR33" s="17">
        <f>IF(ISNA(VLOOKUP(A33,'Données projet'!$A$61:$I$81,5,0)),0%,VLOOKUP(A33,'Données projet'!$A$61:$I$81,5,0)*VLOOKUP('Données projet'!$B$10,Paramètres!$A$1:$I$89,7,0))</f>
        <v>0.27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8.3372081358972583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8.3372081358972583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163</v>
      </c>
      <c r="BB33" s="13">
        <f>VLOOKUP(A33,'Données projet'!$A$87:$I$107,9,0)</f>
        <v>11.4</v>
      </c>
      <c r="BC33" s="13">
        <f t="array" ref="BC33">INDEX(BB:BB,MIN(IF(ISNUMBER(BB33:BB229),ROW(BB33:BB229),"")))</f>
        <v>11.4</v>
      </c>
      <c r="BD33" s="13">
        <f>IF('Données projet'!$A$88&gt;35,BD32+BC33-BL32,IF(A33&lt;'Données projet'!$A$88,$BA$205^A33,IF(A33='Données projet'!$A$88,'Données projet'!$B$88,BD32+BC33-BL32)))</f>
        <v>163</v>
      </c>
      <c r="BE33" s="14">
        <f>BD33*VLOOKUP('Données projet'!$B$11,Paramètres!$A$1:$I$89,3,0)*VLOOKUP('Données projet'!$B$11,Paramètres!$A$1:$I$89,5,0)</f>
        <v>142.39680000000004</v>
      </c>
      <c r="BF33" s="14">
        <f t="shared" si="37"/>
        <v>36.845535084476985</v>
      </c>
      <c r="BG33" s="22">
        <f t="shared" si="7"/>
        <v>312.18040027213078</v>
      </c>
      <c r="BH33" s="62">
        <f t="shared" si="8"/>
        <v>523.09035283702121</v>
      </c>
      <c r="BI33" s="62">
        <f ca="1">AVERAGE(OFFSET($BH$3,0,0,'Données projet'!$E$11+1,1))-AVERAGE(OFFSET($H$3,0,0,'Données projet'!$E$11+1,1))</f>
        <v>378.51861272969165</v>
      </c>
      <c r="BJ33" s="62">
        <f t="shared" si="38"/>
        <v>387.42368617035459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37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0.215</v>
      </c>
      <c r="BO33" s="17">
        <f>IF(ISNA(VLOOKUP(A33,'Données projet'!$A$87:$I$107,7,0)),0%,VLOOKUP(A33,'Données projet'!$A$87:$I$107,7,0))</f>
        <v>0.5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14.313835235305669</v>
      </c>
      <c r="BR33" s="23">
        <f>EXP(-LN(2)/2)*BR32+(1-EXP(-LN(2)/2))/(LN(2)/2)*BL33*BO33*VLOOKUP('Données projet'!$B$11,Paramètres!$A$1:$I$89,3,0)*0.475*44/12</f>
        <v>17.944555542178207</v>
      </c>
      <c r="BS33" s="24">
        <f t="shared" si="9"/>
        <v>32.258390777483875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237</v>
      </c>
      <c r="BW33" s="13">
        <f>VLOOKUP(A33,'Données projet'!$A$113:$I$133,9,0)</f>
        <v>13.8</v>
      </c>
      <c r="BX33" s="13">
        <f t="array" ref="BX33">INDEX(BW:BW,MIN(IF(ISNUMBER(BW33:BW229),ROW(BW33:BW229),"")))</f>
        <v>13.8</v>
      </c>
      <c r="BY33" s="13">
        <f>IF('Données projet'!$A$114&gt;35,BY32+BX33-CG32,IF(A33&lt;'Données projet'!$A$114,$BV$205^A33,IF(A33='Données projet'!$A$114,'Données projet'!$B$114,BY32+BX33-CG32)))</f>
        <v>237.00000000000006</v>
      </c>
      <c r="BZ33" s="14">
        <f>BY33*VLOOKUP('Données projet'!$B$12,Paramètres!$A$1:$I$89,3,0)*VLOOKUP('Données projet'!$B$12,Paramètres!$A$1:$I$89,5,0)</f>
        <v>141.72600000000003</v>
      </c>
      <c r="CA33" s="14">
        <f t="shared" si="39"/>
        <v>36.692125440686915</v>
      </c>
      <c r="CB33" s="22">
        <f t="shared" si="10"/>
        <v>310.74490180919639</v>
      </c>
      <c r="CC33" s="62">
        <f t="shared" si="11"/>
        <v>521.65485437408688</v>
      </c>
      <c r="CD33" s="62">
        <f ca="1">AVERAGE(OFFSET($CC$3,0,0,'Données projet'!$E$12+1,1))-AVERAGE(OFFSET($H$3,0,0,'Données projet'!$E$12+1,1))</f>
        <v>225.71928466161592</v>
      </c>
      <c r="CE33" s="62">
        <f t="shared" si="40"/>
        <v>385.98818770742025</v>
      </c>
      <c r="CF33" s="16">
        <f>IF(ISNA(VLOOKUP(A33,'Données projet'!$A$113:$I$133,3,0)),0,VLOOKUP(A33,'Données projet'!$A$113:$I$133,3,0))</f>
        <v>4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10.428991117117084</v>
      </c>
      <c r="CL33" s="23">
        <f>EXP(-LN(2)/25)*CL32+(1-EXP(-LN(2)/25))/(LN(2)/25)*Calculateur!CG33*Calculateur!CI33*VLOOKUP('Données projet'!$B$12,Paramètres!$A$1:$I$89,3,0)*0.475*44/12</f>
        <v>3.343077559939756</v>
      </c>
      <c r="CM33" s="23">
        <f>EXP(-LN(2)/2)*CM32+(1-EXP(-LN(2)/2))/(LN(2)/2)*CG33*CJ33*VLOOKUP('Données projet'!$B$12,Paramètres!$A$1:$I$89,3,0)*0.475*44/12</f>
        <v>3.032298343890016</v>
      </c>
      <c r="CN33" s="24">
        <f t="shared" si="12"/>
        <v>16.804367020946856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121</v>
      </c>
      <c r="CR33" s="13">
        <f>VLOOKUP(A33,'Données projet'!$A$139:$I$159,9,0)</f>
        <v>9.1999999999999993</v>
      </c>
      <c r="CS33" s="13">
        <f t="array" ref="CS33">INDEX(CR:CR,MIN(IF(ISNUMBER(CR33:CR229),ROW(CR33:CR229),"")))</f>
        <v>9.1999999999999993</v>
      </c>
      <c r="CT33" s="13">
        <f>IF('Données projet'!$A$140&gt;35,CT32+CS33-DB32,IF(A33&lt;'Données projet'!$A$140,$CQ$205^A33,IF(A33='Données projet'!$A$140,'Données projet'!$B$140,CT32+CS33-DB32)))</f>
        <v>121.00000000000003</v>
      </c>
      <c r="CU33" s="18">
        <f>CT33*VLOOKUP('Données projet'!$B$13,Paramètres!$A$1:$I$89,3,0)*VLOOKUP('Données projet'!$B$13,Paramètres!$A$1:$I$89,5,0)</f>
        <v>109.48080000000002</v>
      </c>
      <c r="CV33" s="14">
        <f t="shared" si="41"/>
        <v>29.208623339903898</v>
      </c>
      <c r="CW33" s="22">
        <f t="shared" si="13"/>
        <v>241.55074565033269</v>
      </c>
      <c r="CX33" s="62">
        <f t="shared" si="14"/>
        <v>452.46069821522315</v>
      </c>
      <c r="CY33" s="62">
        <f ca="1">AVERAGE(OFFSET($CX$3,0,0,'Données projet'!$E$13+1,1))-AVERAGE(OFFSET($H$3,0,0,'Données projet'!$E$13+1,1))</f>
        <v>499.92116338695428</v>
      </c>
      <c r="CZ33" s="62">
        <f t="shared" si="42"/>
        <v>316.79403154855652</v>
      </c>
      <c r="DA33" s="16">
        <f>IF(ISNA(VLOOKUP(A33,'Données projet'!$A$139:$I$159,3,0)),0,VLOOKUP(A33,'Données projet'!$A$139:$I$159,3,0))</f>
        <v>3</v>
      </c>
      <c r="DB33" s="16">
        <f>IF(ISNA(VLOOKUP(A33,'Données projet'!$A$139:$I$159,4,0)),0,VLOOKUP(A33,'Données projet'!$A$139:$I$159,4,0))</f>
        <v>28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3.1327669372747309</v>
      </c>
      <c r="DH33" s="23">
        <f>EXP(-LN(2)/2)*DH32+(1-EXP(-LN(2)/2))/(LN(2)/2)*DB33*DE33*VLOOKUP('Données projet'!$B$13,Paramètres!$A$1:$I$89,3,0)*0.475*44/12</f>
        <v>2.9579305118682582</v>
      </c>
      <c r="DI33" s="24">
        <f t="shared" si="15"/>
        <v>6.0906974491429891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135.66666666666666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581.83861211902683</v>
      </c>
      <c r="S34" s="62">
        <f ca="1">AVERAGE(OFFSET($R$3,0,0,'Données projet'!$E$9+1,1))-AVERAGE(OFFSET($H$3,0,0,'Données projet'!$E$9+1,1))</f>
        <v>211.70619219850786</v>
      </c>
      <c r="T34" s="62">
        <f t="shared" si="34"/>
        <v>426.883837098247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5.8</v>
      </c>
      <c r="AI34" s="14">
        <f>IF('Données projet'!$A$62&gt;35,AI33+AH34-AQ33,IF(A34&lt;'Données projet'!$A$62,$AF$205^A34,IF(A34='Données projet'!$A$62,'Données projet'!$B$62,AI33+AH34-AQ33)))</f>
        <v>192.8000000000001</v>
      </c>
      <c r="AJ34" s="14">
        <f>AI34*VLOOKUP('Données projet'!$B$10,Paramètres!$A$1:$I$89,3,0)*VLOOKUP('Données projet'!$B$10,Paramètres!$A$1:$I$89,5,0)</f>
        <v>174.4454400000001</v>
      </c>
      <c r="AK34" s="14">
        <f t="shared" si="35"/>
        <v>44.084153549607706</v>
      </c>
      <c r="AL34" s="22">
        <f t="shared" si="4"/>
        <v>380.60570876556693</v>
      </c>
      <c r="AM34" s="62">
        <f t="shared" si="5"/>
        <v>592.94552271571627</v>
      </c>
      <c r="AN34" s="62">
        <f ca="1">AVERAGE(OFFSET($AM$3,0,0,'Données projet'!$E$10+1,1))-AVERAGE(OFFSET($H$3,0,0,'Données projet'!$E$10+1,1))</f>
        <v>327.07074355218322</v>
      </c>
      <c r="AO34" s="62">
        <f t="shared" si="36"/>
        <v>462.01668587029087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8.1737205695471555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8.1737205695471555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10.6</v>
      </c>
      <c r="BD34" s="13">
        <f>IF('Données projet'!$A$88&gt;35,BD33+BC34-BL33,IF(A34&lt;'Données projet'!$A$88,$BA$205^A34,IF(A34='Données projet'!$A$88,'Données projet'!$B$88,BD33+BC34-BL33)))</f>
        <v>136.6</v>
      </c>
      <c r="BE34" s="14">
        <f>BD34*VLOOKUP('Données projet'!$B$11,Paramètres!$A$1:$I$89,3,0)*VLOOKUP('Données projet'!$B$11,Paramètres!$A$1:$I$89,5,0)</f>
        <v>119.33376000000001</v>
      </c>
      <c r="BF34" s="14">
        <f t="shared" si="37"/>
        <v>31.519559440518702</v>
      </c>
      <c r="BG34" s="22">
        <f t="shared" si="7"/>
        <v>262.7361980255701</v>
      </c>
      <c r="BH34" s="62">
        <f t="shared" si="8"/>
        <v>475.07601197571944</v>
      </c>
      <c r="BI34" s="62">
        <f ca="1">AVERAGE(OFFSET($BH$3,0,0,'Données projet'!$E$11+1,1))-AVERAGE(OFFSET($H$3,0,0,'Données projet'!$E$11+1,1))</f>
        <v>378.51861272969165</v>
      </c>
      <c r="BJ34" s="62">
        <f t="shared" si="38"/>
        <v>387.42368617035459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13.922422658064356</v>
      </c>
      <c r="BR34" s="23">
        <f>EXP(-LN(2)/2)*BR33+(1-EXP(-LN(2)/2))/(LN(2)/2)*BL34*BO34*VLOOKUP('Données projet'!$B$11,Paramètres!$A$1:$I$89,3,0)*0.475*44/12</f>
        <v>12.688716909252856</v>
      </c>
      <c r="BS34" s="24">
        <f t="shared" si="9"/>
        <v>26.61113956731721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12.625</v>
      </c>
      <c r="BY34" s="13">
        <f>IF('Données projet'!$A$114&gt;35,BY33+BX34-CG33,IF(A34&lt;'Données projet'!$A$114,$BV$205^A34,IF(A34='Données projet'!$A$114,'Données projet'!$B$114,BY33+BX34-CG33)))</f>
        <v>249.62500000000006</v>
      </c>
      <c r="BZ34" s="14">
        <f>BY34*VLOOKUP('Données projet'!$B$12,Paramètres!$A$1:$I$89,3,0)*VLOOKUP('Données projet'!$B$12,Paramètres!$A$1:$I$89,5,0)</f>
        <v>149.27575000000004</v>
      </c>
      <c r="CA34" s="14">
        <f t="shared" si="39"/>
        <v>38.413950875340568</v>
      </c>
      <c r="CB34" s="22">
        <f t="shared" si="10"/>
        <v>326.89289569121826</v>
      </c>
      <c r="CC34" s="62">
        <f t="shared" si="11"/>
        <v>539.23270964136759</v>
      </c>
      <c r="CD34" s="62">
        <f ca="1">AVERAGE(OFFSET($CC$3,0,0,'Données projet'!$E$12+1,1))-AVERAGE(OFFSET($H$3,0,0,'Données projet'!$E$12+1,1))</f>
        <v>225.71928466161592</v>
      </c>
      <c r="CE34" s="62">
        <f t="shared" si="40"/>
        <v>385.98818770742025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10.224484962366898</v>
      </c>
      <c r="CL34" s="23">
        <f>EXP(-LN(2)/25)*CL33+(1-EXP(-LN(2)/25))/(LN(2)/25)*Calculateur!CG34*Calculateur!CI34*VLOOKUP('Données projet'!$B$12,Paramètres!$A$1:$I$89,3,0)*0.475*44/12</f>
        <v>3.2516609282583953</v>
      </c>
      <c r="CM34" s="23">
        <f>EXP(-LN(2)/2)*CM33+(1-EXP(-LN(2)/2))/(LN(2)/2)*CG34*CJ34*VLOOKUP('Données projet'!$B$12,Paramètres!$A$1:$I$89,3,0)*0.475*44/12</f>
        <v>2.1441587215453679</v>
      </c>
      <c r="CN34" s="24">
        <f t="shared" si="12"/>
        <v>15.620304612170662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10.8</v>
      </c>
      <c r="CT34" s="13">
        <f>IF('Données projet'!$A$140&gt;35,CT33+CS34-DB33,IF(A34&lt;'Données projet'!$A$140,$CQ$205^A34,IF(A34='Données projet'!$A$140,'Données projet'!$B$140,CT33+CS34-DB33)))</f>
        <v>103.80000000000004</v>
      </c>
      <c r="CU34" s="18">
        <f>CT34*VLOOKUP('Données projet'!$B$13,Paramètres!$A$1:$I$89,3,0)*VLOOKUP('Données projet'!$B$13,Paramètres!$A$1:$I$89,5,0)</f>
        <v>93.91824000000004</v>
      </c>
      <c r="CV34" s="14">
        <f t="shared" si="41"/>
        <v>25.507853654186022</v>
      </c>
      <c r="CW34" s="22">
        <f t="shared" si="13"/>
        <v>208.00044644770739</v>
      </c>
      <c r="CX34" s="62">
        <f t="shared" si="14"/>
        <v>420.3402603978567</v>
      </c>
      <c r="CY34" s="62">
        <f ca="1">AVERAGE(OFFSET($CX$3,0,0,'Données projet'!$E$13+1,1))-AVERAGE(OFFSET($H$3,0,0,'Données projet'!$E$13+1,1))</f>
        <v>499.92116338695428</v>
      </c>
      <c r="CZ34" s="62">
        <f t="shared" si="42"/>
        <v>316.79403154855652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3.0471012606299004</v>
      </c>
      <c r="DH34" s="23">
        <f>EXP(-LN(2)/2)*DH33+(1-EXP(-LN(2)/2))/(LN(2)/2)*DB34*DE34*VLOOKUP('Données projet'!$B$13,Paramètres!$A$1:$I$89,3,0)*0.475*44/12</f>
        <v>2.0915727232206409</v>
      </c>
      <c r="DI34" s="24">
        <f t="shared" si="15"/>
        <v>5.1386739838505413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135.66666666666666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601.08309165383571</v>
      </c>
      <c r="S35" s="62">
        <f ca="1">AVERAGE(OFFSET($R$3,0,0,'Données projet'!$E$9+1,1))-AVERAGE(OFFSET($H$3,0,0,'Données projet'!$E$9+1,1))</f>
        <v>211.70619219850786</v>
      </c>
      <c r="T35" s="62">
        <f t="shared" si="34"/>
        <v>426.883837098247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5.8</v>
      </c>
      <c r="AI35" s="14">
        <f>IF('Données projet'!$A$62&gt;35,AI34+AH35-AQ34,IF(A35&lt;'Données projet'!$A$62,$AF$205^A35,IF(A35='Données projet'!$A$62,'Données projet'!$B$62,AI34+AH35-AQ34)))</f>
        <v>198.60000000000011</v>
      </c>
      <c r="AJ35" s="14">
        <f>AI35*VLOOKUP('Données projet'!$B$10,Paramètres!$A$1:$I$89,3,0)*VLOOKUP('Données projet'!$B$10,Paramètres!$A$1:$I$89,5,0)</f>
        <v>179.6932800000001</v>
      </c>
      <c r="AK35" s="14">
        <f t="shared" si="35"/>
        <v>45.253939845742352</v>
      </c>
      <c r="AL35" s="22">
        <f t="shared" si="4"/>
        <v>391.78307456466808</v>
      </c>
      <c r="AM35" s="62">
        <f t="shared" si="5"/>
        <v>605.5279450017332</v>
      </c>
      <c r="AN35" s="62">
        <f ca="1">AVERAGE(OFFSET($AM$3,0,0,'Données projet'!$E$10+1,1))-AVERAGE(OFFSET($H$3,0,0,'Données projet'!$E$10+1,1))</f>
        <v>327.07074355218322</v>
      </c>
      <c r="AO35" s="62">
        <f t="shared" si="36"/>
        <v>462.01668587029087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8.013438894655609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8.013438894655609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10.6</v>
      </c>
      <c r="BD35" s="13">
        <f>IF('Données projet'!$A$88&gt;35,BD34+BC35-BL34,IF(A35&lt;'Données projet'!$A$88,$BA$205^A35,IF(A35='Données projet'!$A$88,'Données projet'!$B$88,BD34+BC35-BL34)))</f>
        <v>147.19999999999999</v>
      </c>
      <c r="BE35" s="14">
        <f>BD35*VLOOKUP('Données projet'!$B$11,Paramètres!$A$1:$I$89,3,0)*VLOOKUP('Données projet'!$B$11,Paramètres!$A$1:$I$89,5,0)</f>
        <v>128.59392</v>
      </c>
      <c r="BF35" s="14">
        <f t="shared" si="37"/>
        <v>33.671250175837564</v>
      </c>
      <c r="BG35" s="22">
        <f t="shared" si="7"/>
        <v>282.61183805625041</v>
      </c>
      <c r="BH35" s="62">
        <f t="shared" si="8"/>
        <v>496.35670849331552</v>
      </c>
      <c r="BI35" s="62">
        <f ca="1">AVERAGE(OFFSET($BH$3,0,0,'Données projet'!$E$11+1,1))-AVERAGE(OFFSET($H$3,0,0,'Données projet'!$E$11+1,1))</f>
        <v>378.51861272969165</v>
      </c>
      <c r="BJ35" s="62">
        <f t="shared" si="38"/>
        <v>387.42368617035459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13.5417132783312</v>
      </c>
      <c r="BR35" s="23">
        <f>EXP(-LN(2)/2)*BR34+(1-EXP(-LN(2)/2))/(LN(2)/2)*BL35*BO35*VLOOKUP('Données projet'!$B$11,Paramètres!$A$1:$I$89,3,0)*0.475*44/12</f>
        <v>8.9722777710891055</v>
      </c>
      <c r="BS35" s="24">
        <f t="shared" si="9"/>
        <v>22.513991049420305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12.625</v>
      </c>
      <c r="BY35" s="13">
        <f>IF('Données projet'!$A$114&gt;35,BY34+BX35-CG34,IF(A35&lt;'Données projet'!$A$114,$BV$205^A35,IF(A35='Données projet'!$A$114,'Données projet'!$B$114,BY34+BX35-CG34)))</f>
        <v>262.25000000000006</v>
      </c>
      <c r="BZ35" s="14">
        <f>BY35*VLOOKUP('Données projet'!$B$12,Paramètres!$A$1:$I$89,3,0)*VLOOKUP('Données projet'!$B$12,Paramètres!$A$1:$I$89,5,0)</f>
        <v>156.82550000000006</v>
      </c>
      <c r="CA35" s="14">
        <f t="shared" si="39"/>
        <v>40.12566509846944</v>
      </c>
      <c r="CB35" s="22">
        <f t="shared" si="10"/>
        <v>343.02327921316777</v>
      </c>
      <c r="CC35" s="62">
        <f t="shared" si="11"/>
        <v>556.76814965023289</v>
      </c>
      <c r="CD35" s="62">
        <f ca="1">AVERAGE(OFFSET($CC$3,0,0,'Données projet'!$E$12+1,1))-AVERAGE(OFFSET($H$3,0,0,'Données projet'!$E$12+1,1))</f>
        <v>225.71928466161592</v>
      </c>
      <c r="CE35" s="62">
        <f t="shared" si="40"/>
        <v>385.98818770742025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10.023989048574924</v>
      </c>
      <c r="CL35" s="23">
        <f>EXP(-LN(2)/25)*CL34+(1-EXP(-LN(2)/25))/(LN(2)/25)*Calculateur!CG35*Calculateur!CI35*VLOOKUP('Données projet'!$B$12,Paramètres!$A$1:$I$89,3,0)*0.475*44/12</f>
        <v>3.1627440891777532</v>
      </c>
      <c r="CM35" s="23">
        <f>EXP(-LN(2)/2)*CM34+(1-EXP(-LN(2)/2))/(LN(2)/2)*CG35*CJ35*VLOOKUP('Données projet'!$B$12,Paramètres!$A$1:$I$89,3,0)*0.475*44/12</f>
        <v>1.516149171945008</v>
      </c>
      <c r="CN35" s="24">
        <f t="shared" si="12"/>
        <v>14.702882309697685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10.8</v>
      </c>
      <c r="CT35" s="13">
        <f>IF('Données projet'!$A$140&gt;35,CT34+CS35-DB34,IF(A35&lt;'Données projet'!$A$140,$CQ$205^A35,IF(A35='Données projet'!$A$140,'Données projet'!$B$140,CT34+CS35-DB34)))</f>
        <v>114.60000000000004</v>
      </c>
      <c r="CU35" s="18">
        <f>CT35*VLOOKUP('Données projet'!$B$13,Paramètres!$A$1:$I$89,3,0)*VLOOKUP('Données projet'!$B$13,Paramètres!$A$1:$I$89,5,0)</f>
        <v>103.69008000000004</v>
      </c>
      <c r="CV35" s="14">
        <f t="shared" si="41"/>
        <v>27.83924565319537</v>
      </c>
      <c r="CW35" s="22">
        <f t="shared" si="13"/>
        <v>229.08024217931529</v>
      </c>
      <c r="CX35" s="62">
        <f t="shared" si="14"/>
        <v>442.82511261638047</v>
      </c>
      <c r="CY35" s="62">
        <f ca="1">AVERAGE(OFFSET($CX$3,0,0,'Données projet'!$E$13+1,1))-AVERAGE(OFFSET($H$3,0,0,'Données projet'!$E$13+1,1))</f>
        <v>499.92116338695428</v>
      </c>
      <c r="CZ35" s="62">
        <f t="shared" si="42"/>
        <v>316.79403154855652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2.9637781164178847</v>
      </c>
      <c r="DH35" s="23">
        <f>EXP(-LN(2)/2)*DH34+(1-EXP(-LN(2)/2))/(LN(2)/2)*DB35*DE35*VLOOKUP('Données projet'!$B$13,Paramètres!$A$1:$I$89,3,0)*0.475*44/12</f>
        <v>1.4789652559341291</v>
      </c>
      <c r="DI35" s="24">
        <f t="shared" si="15"/>
        <v>4.4427433723520142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135.66666666666666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620.28536132222484</v>
      </c>
      <c r="S36" s="62">
        <f ca="1">AVERAGE(OFFSET($R$3,0,0,'Données projet'!$E$9+1,1))-AVERAGE(OFFSET($H$3,0,0,'Données projet'!$E$9+1,1))</f>
        <v>211.70619219850786</v>
      </c>
      <c r="T36" s="62">
        <f t="shared" si="34"/>
        <v>426.883837098247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5.8</v>
      </c>
      <c r="AI36" s="14">
        <f>IF('Données projet'!$A$62&gt;35,AI35+AH36-AQ35,IF(A36&lt;'Données projet'!$A$62,$AF$205^A36,IF(A36='Données projet'!$A$62,'Données projet'!$B$62,AI35+AH36-AQ35)))</f>
        <v>204.40000000000012</v>
      </c>
      <c r="AJ36" s="14">
        <f>AI36*VLOOKUP('Données projet'!$B$10,Paramètres!$A$1:$I$89,3,0)*VLOOKUP('Données projet'!$B$10,Paramètres!$A$1:$I$89,5,0)</f>
        <v>184.9411200000001</v>
      </c>
      <c r="AK36" s="14">
        <f t="shared" si="35"/>
        <v>46.419755730249477</v>
      </c>
      <c r="AL36" s="22">
        <f t="shared" si="4"/>
        <v>402.95352523018465</v>
      </c>
      <c r="AM36" s="62">
        <f t="shared" si="5"/>
        <v>618.07907756535337</v>
      </c>
      <c r="AN36" s="62">
        <f ca="1">AVERAGE(OFFSET($AM$3,0,0,'Données projet'!$E$10+1,1))-AVERAGE(OFFSET($H$3,0,0,'Données projet'!$E$10+1,1))</f>
        <v>327.07074355218322</v>
      </c>
      <c r="AO36" s="62">
        <f t="shared" si="36"/>
        <v>462.01668587029087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7.8563002456465165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7.8563002456465165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10.6</v>
      </c>
      <c r="BD36" s="13">
        <f>IF('Données projet'!$A$88&gt;35,BD35+BC36-BL35,IF(A36&lt;'Données projet'!$A$88,$BA$205^A36,IF(A36='Données projet'!$A$88,'Données projet'!$B$88,BD35+BC36-BL35)))</f>
        <v>157.79999999999998</v>
      </c>
      <c r="BE36" s="14">
        <f>BD36*VLOOKUP('Données projet'!$B$11,Paramètres!$A$1:$I$89,3,0)*VLOOKUP('Données projet'!$B$11,Paramètres!$A$1:$I$89,5,0)</f>
        <v>137.85408000000001</v>
      </c>
      <c r="BF36" s="14">
        <f t="shared" si="37"/>
        <v>35.804964283629964</v>
      </c>
      <c r="BG36" s="22">
        <f t="shared" si="7"/>
        <v>302.45616879398887</v>
      </c>
      <c r="BH36" s="62">
        <f t="shared" si="8"/>
        <v>517.58172112915759</v>
      </c>
      <c r="BI36" s="62">
        <f ca="1">AVERAGE(OFFSET($BH$3,0,0,'Données projet'!$E$11+1,1))-AVERAGE(OFFSET($H$3,0,0,'Données projet'!$E$11+1,1))</f>
        <v>378.51861272969165</v>
      </c>
      <c r="BJ36" s="62">
        <f t="shared" si="38"/>
        <v>387.42368617035459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13.171414416607481</v>
      </c>
      <c r="BR36" s="23">
        <f>EXP(-LN(2)/2)*BR35+(1-EXP(-LN(2)/2))/(LN(2)/2)*BL36*BO36*VLOOKUP('Données projet'!$B$11,Paramètres!$A$1:$I$89,3,0)*0.475*44/12</f>
        <v>6.3443584546264287</v>
      </c>
      <c r="BS36" s="24">
        <f t="shared" si="9"/>
        <v>19.51577287123391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12.625</v>
      </c>
      <c r="BY36" s="13">
        <f>IF('Données projet'!$A$114&gt;35,BY35+BX36-CG35,IF(A36&lt;'Données projet'!$A$114,$BV$205^A36,IF(A36='Données projet'!$A$114,'Données projet'!$B$114,BY35+BX36-CG35)))</f>
        <v>274.87500000000006</v>
      </c>
      <c r="BZ36" s="14">
        <f>BY36*VLOOKUP('Données projet'!$B$12,Paramètres!$A$1:$I$89,3,0)*VLOOKUP('Données projet'!$B$12,Paramètres!$A$1:$I$89,5,0)</f>
        <v>164.37525000000005</v>
      </c>
      <c r="CA36" s="14">
        <f t="shared" si="39"/>
        <v>41.827810443115574</v>
      </c>
      <c r="CB36" s="22">
        <f t="shared" si="10"/>
        <v>359.13699693842636</v>
      </c>
      <c r="CC36" s="62">
        <f t="shared" si="11"/>
        <v>574.26254927359503</v>
      </c>
      <c r="CD36" s="62">
        <f ca="1">AVERAGE(OFFSET($CC$3,0,0,'Données projet'!$E$12+1,1))-AVERAGE(OFFSET($H$3,0,0,'Données projet'!$E$12+1,1))</f>
        <v>225.71928466161592</v>
      </c>
      <c r="CE36" s="62">
        <f t="shared" si="40"/>
        <v>385.98818770742025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9.8274247373619783</v>
      </c>
      <c r="CL36" s="23">
        <f>EXP(-LN(2)/25)*CL35+(1-EXP(-LN(2)/25))/(LN(2)/25)*Calculateur!CG36*Calculateur!CI36*VLOOKUP('Données projet'!$B$12,Paramètres!$A$1:$I$89,3,0)*0.475*44/12</f>
        <v>3.0762586857377046</v>
      </c>
      <c r="CM36" s="23">
        <f>EXP(-LN(2)/2)*CM35+(1-EXP(-LN(2)/2))/(LN(2)/2)*CG36*CJ36*VLOOKUP('Données projet'!$B$12,Paramètres!$A$1:$I$89,3,0)*0.475*44/12</f>
        <v>1.072079360772684</v>
      </c>
      <c r="CN36" s="24">
        <f t="shared" si="12"/>
        <v>13.975762783872366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10.8</v>
      </c>
      <c r="CT36" s="13">
        <f>IF('Données projet'!$A$140&gt;35,CT35+CS36-DB35,IF(A36&lt;'Données projet'!$A$140,$CQ$205^A36,IF(A36='Données projet'!$A$140,'Données projet'!$B$140,CT35+CS36-DB35)))</f>
        <v>125.40000000000003</v>
      </c>
      <c r="CU36" s="18">
        <f>CT36*VLOOKUP('Données projet'!$B$13,Paramètres!$A$1:$I$89,3,0)*VLOOKUP('Données projet'!$B$13,Paramètres!$A$1:$I$89,5,0)</f>
        <v>113.46192000000002</v>
      </c>
      <c r="CV36" s="14">
        <f t="shared" si="41"/>
        <v>30.145163126535493</v>
      </c>
      <c r="CW36" s="22">
        <f t="shared" si="13"/>
        <v>250.11566977871598</v>
      </c>
      <c r="CX36" s="62">
        <f t="shared" si="14"/>
        <v>465.24122211388465</v>
      </c>
      <c r="CY36" s="62">
        <f ca="1">AVERAGE(OFFSET($CX$3,0,0,'Données projet'!$E$13+1,1))-AVERAGE(OFFSET($H$3,0,0,'Données projet'!$E$13+1,1))</f>
        <v>499.92116338695428</v>
      </c>
      <c r="CZ36" s="62">
        <f t="shared" si="42"/>
        <v>316.79403154855652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2.8827334479661202</v>
      </c>
      <c r="DH36" s="23">
        <f>EXP(-LN(2)/2)*DH35+(1-EXP(-LN(2)/2))/(LN(2)/2)*DB36*DE36*VLOOKUP('Données projet'!$B$13,Paramètres!$A$1:$I$89,3,0)*0.475*44/12</f>
        <v>1.0457863616103205</v>
      </c>
      <c r="DI36" s="24">
        <f t="shared" si="15"/>
        <v>3.9285198095764406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135.66666666666666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639.44673857065982</v>
      </c>
      <c r="S37" s="62">
        <f ca="1">AVERAGE(OFFSET($R$3,0,0,'Données projet'!$E$9+1,1))-AVERAGE(OFFSET($H$3,0,0,'Données projet'!$E$9+1,1))</f>
        <v>211.70619219850786</v>
      </c>
      <c r="T37" s="62">
        <f t="shared" si="34"/>
        <v>426.883837098247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5.8</v>
      </c>
      <c r="AI37" s="14">
        <f>IF('Données projet'!$A$62&gt;35,AI36+AH37-AQ36,IF(A37&lt;'Données projet'!$A$62,$AF$205^A37,IF(A37='Données projet'!$A$62,'Données projet'!$B$62,AI36+AH37-AQ36)))</f>
        <v>210.20000000000013</v>
      </c>
      <c r="AJ37" s="14">
        <f>AI37*VLOOKUP('Données projet'!$B$10,Paramètres!$A$1:$I$89,3,0)*VLOOKUP('Données projet'!$B$10,Paramètres!$A$1:$I$89,5,0)</f>
        <v>190.18896000000012</v>
      </c>
      <c r="AK37" s="14">
        <f t="shared" si="35"/>
        <v>47.581726807151739</v>
      </c>
      <c r="AL37" s="22">
        <f t="shared" si="4"/>
        <v>414.1172795224561</v>
      </c>
      <c r="AM37" s="62">
        <f t="shared" si="5"/>
        <v>630.59956201153852</v>
      </c>
      <c r="AN37" s="62">
        <f ca="1">AVERAGE(OFFSET($AM$3,0,0,'Données projet'!$E$10+1,1))-AVERAGE(OFFSET($H$3,0,0,'Données projet'!$E$10+1,1))</f>
        <v>327.07074355218322</v>
      </c>
      <c r="AO37" s="62">
        <f t="shared" si="36"/>
        <v>462.01668587029087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7.7022429896993803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7.7022429896993803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10.6</v>
      </c>
      <c r="BD37" s="13">
        <f>IF('Données projet'!$A$88&gt;35,BD36+BC37-BL36,IF(A37&lt;'Données projet'!$A$88,$BA$205^A37,IF(A37='Données projet'!$A$88,'Données projet'!$B$88,BD36+BC37-BL36)))</f>
        <v>168.39999999999998</v>
      </c>
      <c r="BE37" s="14">
        <f>BD37*VLOOKUP('Données projet'!$B$11,Paramètres!$A$1:$I$89,3,0)*VLOOKUP('Données projet'!$B$11,Paramètres!$A$1:$I$89,5,0)</f>
        <v>147.11424</v>
      </c>
      <c r="BF37" s="14">
        <f t="shared" si="37"/>
        <v>37.922046712608186</v>
      </c>
      <c r="BG37" s="22">
        <f t="shared" si="7"/>
        <v>322.27153269112591</v>
      </c>
      <c r="BH37" s="62">
        <f t="shared" si="8"/>
        <v>538.75381518020833</v>
      </c>
      <c r="BI37" s="62">
        <f ca="1">AVERAGE(OFFSET($BH$3,0,0,'Données projet'!$E$11+1,1))-AVERAGE(OFFSET($H$3,0,0,'Données projet'!$E$11+1,1))</f>
        <v>378.51861272969165</v>
      </c>
      <c r="BJ37" s="62">
        <f t="shared" si="38"/>
        <v>387.42368617035459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12.81124139673077</v>
      </c>
      <c r="BR37" s="23">
        <f>EXP(-LN(2)/2)*BR36+(1-EXP(-LN(2)/2))/(LN(2)/2)*BL37*BO37*VLOOKUP('Données projet'!$B$11,Paramètres!$A$1:$I$89,3,0)*0.475*44/12</f>
        <v>4.4861388855445536</v>
      </c>
      <c r="BS37" s="24">
        <f t="shared" si="9"/>
        <v>17.297380282275324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12.625</v>
      </c>
      <c r="BY37" s="13">
        <f>IF('Données projet'!$A$114&gt;35,BY36+BX37-CG36,IF(A37&lt;'Données projet'!$A$114,$BV$205^A37,IF(A37='Données projet'!$A$114,'Données projet'!$B$114,BY36+BX37-CG36)))</f>
        <v>287.50000000000006</v>
      </c>
      <c r="BZ37" s="14">
        <f>BY37*VLOOKUP('Données projet'!$B$12,Paramètres!$A$1:$I$89,3,0)*VLOOKUP('Données projet'!$B$12,Paramètres!$A$1:$I$89,5,0)</f>
        <v>171.92500000000004</v>
      </c>
      <c r="CA37" s="14">
        <f t="shared" si="39"/>
        <v>43.520876607827979</v>
      </c>
      <c r="CB37" s="22">
        <f t="shared" si="10"/>
        <v>375.23490175863373</v>
      </c>
      <c r="CC37" s="62">
        <f t="shared" si="11"/>
        <v>591.71718424771609</v>
      </c>
      <c r="CD37" s="62">
        <f ca="1">AVERAGE(OFFSET($CC$3,0,0,'Données projet'!$E$12+1,1))-AVERAGE(OFFSET($H$3,0,0,'Données projet'!$E$12+1,1))</f>
        <v>225.71928466161592</v>
      </c>
      <c r="CE37" s="62">
        <f t="shared" si="40"/>
        <v>385.98818770742025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9.6347149323995271</v>
      </c>
      <c r="CL37" s="23">
        <f>EXP(-LN(2)/25)*CL36+(1-EXP(-LN(2)/25))/(LN(2)/25)*Calculateur!CG37*Calculateur!CI37*VLOOKUP('Données projet'!$B$12,Paramètres!$A$1:$I$89,3,0)*0.475*44/12</f>
        <v>2.9921382302027935</v>
      </c>
      <c r="CM37" s="23">
        <f>EXP(-LN(2)/2)*CM36+(1-EXP(-LN(2)/2))/(LN(2)/2)*CG37*CJ37*VLOOKUP('Données projet'!$B$12,Paramètres!$A$1:$I$89,3,0)*0.475*44/12</f>
        <v>0.75807458597250399</v>
      </c>
      <c r="CN37" s="24">
        <f t="shared" si="12"/>
        <v>13.384927748574825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10.8</v>
      </c>
      <c r="CT37" s="13">
        <f>IF('Données projet'!$A$140&gt;35,CT36+CS37-DB36,IF(A37&lt;'Données projet'!$A$140,$CQ$205^A37,IF(A37='Données projet'!$A$140,'Données projet'!$B$140,CT36+CS37-DB36)))</f>
        <v>136.20000000000005</v>
      </c>
      <c r="CU37" s="18">
        <f>CT37*VLOOKUP('Données projet'!$B$13,Paramètres!$A$1:$I$89,3,0)*VLOOKUP('Données projet'!$B$13,Paramètres!$A$1:$I$89,5,0)</f>
        <v>123.23376000000005</v>
      </c>
      <c r="CV37" s="14">
        <f t="shared" si="41"/>
        <v>32.428049504876491</v>
      </c>
      <c r="CW37" s="22">
        <f t="shared" si="13"/>
        <v>271.11098488765998</v>
      </c>
      <c r="CX37" s="62">
        <f t="shared" si="14"/>
        <v>487.59326737674235</v>
      </c>
      <c r="CY37" s="62">
        <f ca="1">AVERAGE(OFFSET($CX$3,0,0,'Données projet'!$E$13+1,1))-AVERAGE(OFFSET($H$3,0,0,'Données projet'!$E$13+1,1))</f>
        <v>499.92116338695428</v>
      </c>
      <c r="CZ37" s="62">
        <f t="shared" si="42"/>
        <v>316.79403154855652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2.8039049502351232</v>
      </c>
      <c r="DH37" s="23">
        <f>EXP(-LN(2)/2)*DH36+(1-EXP(-LN(2)/2))/(LN(2)/2)*DB37*DE37*VLOOKUP('Données projet'!$B$13,Paramètres!$A$1:$I$89,3,0)*0.475*44/12</f>
        <v>0.73948262796706454</v>
      </c>
      <c r="DI37" s="24">
        <f t="shared" si="15"/>
        <v>3.5433875782021875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135.66666666666666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211.70619219850786</v>
      </c>
      <c r="T38" s="62">
        <f t="shared" si="34"/>
        <v>426.883837098247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216</v>
      </c>
      <c r="AG38" s="13">
        <f>VLOOKUP(A38,'Données projet'!$A$61:$I$81,9,0)</f>
        <v>5.8</v>
      </c>
      <c r="AH38" s="13">
        <f t="array" ref="AH38">INDEX(AG:AG,MIN(IF(ISNUMBER(AG38:AG234),ROW(AG38:AG234),"")))</f>
        <v>5.8</v>
      </c>
      <c r="AI38" s="14">
        <f>IF('Données projet'!$A$62&gt;35,AI37+AH38-AQ37,IF(A38&lt;'Données projet'!$A$62,$AF$205^A38,IF(A38='Données projet'!$A$62,'Données projet'!$B$62,AI37+AH38-AQ37)))</f>
        <v>216.00000000000014</v>
      </c>
      <c r="AJ38" s="14">
        <f>AI38*VLOOKUP('Données projet'!$B$10,Paramètres!$A$1:$I$89,3,0)*VLOOKUP('Données projet'!$B$10,Paramètres!$A$1:$I$89,5,0)</f>
        <v>195.43680000000012</v>
      </c>
      <c r="AK38" s="14">
        <f t="shared" si="35"/>
        <v>48.739971354487892</v>
      </c>
      <c r="AL38" s="22">
        <f t="shared" si="4"/>
        <v>425.27454344239999</v>
      </c>
      <c r="AM38" s="62">
        <f t="shared" si="5"/>
        <v>643.09001985041994</v>
      </c>
      <c r="AN38" s="62">
        <f ca="1">AVERAGE(OFFSET($AM$3,0,0,'Données projet'!$E$10+1,1))-AVERAGE(OFFSET($H$3,0,0,'Données projet'!$E$10+1,1))</f>
        <v>327.07074355218322</v>
      </c>
      <c r="AO38" s="62">
        <f t="shared" si="36"/>
        <v>462.01668587029087</v>
      </c>
      <c r="AP38" s="16">
        <f>IF(ISNA(VLOOKUP(A38,'Données projet'!$A$61:$I$81,3,0)),0,VLOOKUP(A38,'Données projet'!$A$61:$I$81,3,0))</f>
        <v>7</v>
      </c>
      <c r="AQ38" s="16">
        <f>IF(ISNA(VLOOKUP(A38,'Données projet'!$A$61:$I$81,4,0)),0,VLOOKUP(A38,'Données projet'!$A$61:$I$81,4,0))</f>
        <v>7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7.5512067025757199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7.5512067025757199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179</v>
      </c>
      <c r="BB38" s="13">
        <f>VLOOKUP(A38,'Données projet'!$A$87:$I$107,9,0)</f>
        <v>10.6</v>
      </c>
      <c r="BC38" s="13">
        <f t="array" ref="BC38">INDEX(BB:BB,MIN(IF(ISNUMBER(BB38:BB234),ROW(BB38:BB234),"")))</f>
        <v>10.6</v>
      </c>
      <c r="BD38" s="13">
        <f>IF('Données projet'!$A$88&gt;35,BD37+BC38-BL37,IF(A38&lt;'Données projet'!$A$88,$BA$205^A38,IF(A38='Données projet'!$A$88,'Données projet'!$B$88,BD37+BC38-BL37)))</f>
        <v>178.99999999999997</v>
      </c>
      <c r="BE38" s="14">
        <f>BD38*VLOOKUP('Données projet'!$B$11,Paramètres!$A$1:$I$89,3,0)*VLOOKUP('Données projet'!$B$11,Paramètres!$A$1:$I$89,5,0)</f>
        <v>156.37440000000001</v>
      </c>
      <c r="BF38" s="14">
        <f t="shared" si="37"/>
        <v>40.023663524293205</v>
      </c>
      <c r="BG38" s="22">
        <f t="shared" si="7"/>
        <v>342.05996063814399</v>
      </c>
      <c r="BH38" s="62">
        <f t="shared" si="8"/>
        <v>559.87543704616394</v>
      </c>
      <c r="BI38" s="62">
        <f ca="1">AVERAGE(OFFSET($BH$3,0,0,'Données projet'!$E$11+1,1))-AVERAGE(OFFSET($H$3,0,0,'Données projet'!$E$11+1,1))</f>
        <v>378.51861272969165</v>
      </c>
      <c r="BJ38" s="62">
        <f t="shared" si="38"/>
        <v>387.42368617035459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36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12.460917327023262</v>
      </c>
      <c r="BR38" s="23">
        <f>EXP(-LN(2)/2)*BR37+(1-EXP(-LN(2)/2))/(LN(2)/2)*BL38*BO38*VLOOKUP('Données projet'!$B$11,Paramètres!$A$1:$I$89,3,0)*0.475*44/12</f>
        <v>3.1721792273132152</v>
      </c>
      <c r="BS38" s="24">
        <f t="shared" si="9"/>
        <v>15.633096554336477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12.625</v>
      </c>
      <c r="BY38" s="13">
        <f>IF('Données projet'!$A$114&gt;35,BY37+BX38-CG37,IF(A38&lt;'Données projet'!$A$114,$BV$205^A38,IF(A38='Données projet'!$A$114,'Données projet'!$B$114,BY37+BX38-CG37)))</f>
        <v>300.12500000000006</v>
      </c>
      <c r="BZ38" s="14">
        <f>BY38*VLOOKUP('Données projet'!$B$12,Paramètres!$A$1:$I$89,3,0)*VLOOKUP('Données projet'!$B$12,Paramètres!$A$1:$I$89,5,0)</f>
        <v>179.47475000000006</v>
      </c>
      <c r="CA38" s="14">
        <f t="shared" si="39"/>
        <v>45.205307850969106</v>
      </c>
      <c r="CB38" s="22">
        <f t="shared" si="10"/>
        <v>391.31776742377127</v>
      </c>
      <c r="CC38" s="62">
        <f t="shared" si="11"/>
        <v>609.13324383179122</v>
      </c>
      <c r="CD38" s="62">
        <f ca="1">AVERAGE(OFFSET($CC$3,0,0,'Données projet'!$E$12+1,1))-AVERAGE(OFFSET($H$3,0,0,'Données projet'!$E$12+1,1))</f>
        <v>225.71928466161592</v>
      </c>
      <c r="CE38" s="62">
        <f t="shared" si="40"/>
        <v>385.98818770742025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9.4457840491710154</v>
      </c>
      <c r="CL38" s="23">
        <f>EXP(-LN(2)/25)*CL37+(1-EXP(-LN(2)/25))/(LN(2)/25)*Calculateur!CG38*Calculateur!CI38*VLOOKUP('Données projet'!$B$12,Paramètres!$A$1:$I$89,3,0)*0.475*44/12</f>
        <v>2.9103180529481874</v>
      </c>
      <c r="CM38" s="23">
        <f>EXP(-LN(2)/2)*CM37+(1-EXP(-LN(2)/2))/(LN(2)/2)*CG38*CJ38*VLOOKUP('Données projet'!$B$12,Paramètres!$A$1:$I$89,3,0)*0.475*44/12</f>
        <v>0.53603968038634198</v>
      </c>
      <c r="CN38" s="24">
        <f t="shared" si="12"/>
        <v>12.892141782505544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147</v>
      </c>
      <c r="CR38" s="13">
        <f>VLOOKUP(A38,'Données projet'!$A$139:$I$159,9,0)</f>
        <v>10.8</v>
      </c>
      <c r="CS38" s="13">
        <f t="array" ref="CS38">INDEX(CR:CR,MIN(IF(ISNUMBER(CR38:CR234),ROW(CR38:CR234),"")))</f>
        <v>10.8</v>
      </c>
      <c r="CT38" s="13">
        <f>IF('Données projet'!$A$140&gt;35,CT37+CS38-DB37,IF(A38&lt;'Données projet'!$A$140,$CQ$205^A38,IF(A38='Données projet'!$A$140,'Données projet'!$B$140,CT37+CS38-DB37)))</f>
        <v>147.00000000000006</v>
      </c>
      <c r="CU38" s="18">
        <f>CT38*VLOOKUP('Données projet'!$B$13,Paramètres!$A$1:$I$89,3,0)*VLOOKUP('Données projet'!$B$13,Paramètres!$A$1:$I$89,5,0)</f>
        <v>133.00560000000004</v>
      </c>
      <c r="CV38" s="14">
        <f t="shared" si="41"/>
        <v>34.689938673073549</v>
      </c>
      <c r="CW38" s="22">
        <f t="shared" si="13"/>
        <v>292.06972985560316</v>
      </c>
      <c r="CX38" s="62">
        <f t="shared" si="14"/>
        <v>509.8852062636231</v>
      </c>
      <c r="CY38" s="62">
        <f ca="1">AVERAGE(OFFSET($CX$3,0,0,'Données projet'!$E$13+1,1))-AVERAGE(OFFSET($H$3,0,0,'Données projet'!$E$13+1,1))</f>
        <v>499.92116338695428</v>
      </c>
      <c r="CZ38" s="62">
        <f t="shared" si="42"/>
        <v>316.79403154855652</v>
      </c>
      <c r="DA38" s="16">
        <f>IF(ISNA(VLOOKUP(A38,'Données projet'!$A$139:$I$159,3,0)),0,VLOOKUP(A38,'Données projet'!$A$139:$I$159,3,0))</f>
        <v>4</v>
      </c>
      <c r="DB38" s="16">
        <f>IF(ISNA(VLOOKUP(A38,'Données projet'!$A$139:$I$159,4,0)),0,VLOOKUP(A38,'Données projet'!$A$139:$I$159,4,0))</f>
        <v>28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2.727232021919991</v>
      </c>
      <c r="DH38" s="23">
        <f>EXP(-LN(2)/2)*DH37+(1-EXP(-LN(2)/2))/(LN(2)/2)*DB38*DE38*VLOOKUP('Données projet'!$B$13,Paramètres!$A$1:$I$89,3,0)*0.475*44/12</f>
        <v>0.52289318080516023</v>
      </c>
      <c r="DI38" s="24">
        <f t="shared" si="15"/>
        <v>3.250125202725151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135.66666666666666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211.70619219850786</v>
      </c>
      <c r="T39" s="62">
        <f t="shared" si="34"/>
        <v>426.883837098247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4.8</v>
      </c>
      <c r="AI39" s="14">
        <f>IF('Données projet'!$A$62&gt;35,AI38+AH39-AQ38,IF(A39&lt;'Données projet'!$A$62,$AF$205^A39,IF(A39='Données projet'!$A$62,'Données projet'!$B$62,AI38+AH39-AQ38)))</f>
        <v>213.80000000000015</v>
      </c>
      <c r="AJ39" s="14">
        <f>AI39*VLOOKUP('Données projet'!$B$10,Paramètres!$A$1:$I$89,3,0)*VLOOKUP('Données projet'!$B$10,Paramètres!$A$1:$I$89,5,0)</f>
        <v>193.44624000000013</v>
      </c>
      <c r="AK39" s="14">
        <f t="shared" si="35"/>
        <v>48.301068656218547</v>
      </c>
      <c r="AL39" s="22">
        <f t="shared" si="4"/>
        <v>421.04322924291415</v>
      </c>
      <c r="AM39" s="62">
        <f t="shared" si="5"/>
        <v>640.16877163595314</v>
      </c>
      <c r="AN39" s="62">
        <f ca="1">AVERAGE(OFFSET($AM$3,0,0,'Données projet'!$E$10+1,1))-AVERAGE(OFFSET($H$3,0,0,'Données projet'!$E$10+1,1))</f>
        <v>327.07074355218322</v>
      </c>
      <c r="AO39" s="62">
        <f t="shared" si="36"/>
        <v>462.01668587029087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7.4031321449195158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7.4031321449195158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9.6</v>
      </c>
      <c r="BD39" s="13">
        <f>IF('Données projet'!$A$88&gt;35,BD38+BC39-BL38,IF(A39&lt;'Données projet'!$A$88,$BA$205^A39,IF(A39='Données projet'!$A$88,'Données projet'!$B$88,BD38+BC39-BL38)))</f>
        <v>152.59999999999997</v>
      </c>
      <c r="BE39" s="14">
        <f>BD39*VLOOKUP('Données projet'!$B$11,Paramètres!$A$1:$I$89,3,0)*VLOOKUP('Données projet'!$B$11,Paramètres!$A$1:$I$89,5,0)</f>
        <v>133.31135999999998</v>
      </c>
      <c r="BF39" s="14">
        <f t="shared" si="37"/>
        <v>34.760393689821633</v>
      </c>
      <c r="BG39" s="22">
        <f t="shared" si="7"/>
        <v>292.72497100977256</v>
      </c>
      <c r="BH39" s="62">
        <f t="shared" si="8"/>
        <v>511.85051340281154</v>
      </c>
      <c r="BI39" s="62">
        <f ca="1">AVERAGE(OFFSET($BH$3,0,0,'Données projet'!$E$11+1,1))-AVERAGE(OFFSET($H$3,0,0,'Données projet'!$E$11+1,1))</f>
        <v>378.51861272969165</v>
      </c>
      <c r="BJ39" s="62">
        <f t="shared" si="38"/>
        <v>387.42368617035459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12.120172887424648</v>
      </c>
      <c r="BR39" s="23">
        <f>EXP(-LN(2)/2)*BR38+(1-EXP(-LN(2)/2))/(LN(2)/2)*BL39*BO39*VLOOKUP('Données projet'!$B$11,Paramètres!$A$1:$I$89,3,0)*0.475*44/12</f>
        <v>2.2430694427722773</v>
      </c>
      <c r="BS39" s="24">
        <f t="shared" si="9"/>
        <v>14.363242330196925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12.625</v>
      </c>
      <c r="BY39" s="13">
        <f>IF('Données projet'!$A$114&gt;35,BY38+BX39-CG38,IF(A39&lt;'Données projet'!$A$114,$BV$205^A39,IF(A39='Données projet'!$A$114,'Données projet'!$B$114,BY38+BX39-CG38)))</f>
        <v>312.75000000000006</v>
      </c>
      <c r="BZ39" s="14">
        <f>BY39*VLOOKUP('Données projet'!$B$12,Paramètres!$A$1:$I$89,3,0)*VLOOKUP('Données projet'!$B$12,Paramètres!$A$1:$I$89,5,0)</f>
        <v>187.02450000000005</v>
      </c>
      <c r="CA39" s="14">
        <f t="shared" si="39"/>
        <v>46.881508940362963</v>
      </c>
      <c r="CB39" s="22">
        <f t="shared" si="10"/>
        <v>407.38629890446555</v>
      </c>
      <c r="CC39" s="62">
        <f t="shared" si="11"/>
        <v>626.51184129750447</v>
      </c>
      <c r="CD39" s="62">
        <f ca="1">AVERAGE(OFFSET($CC$3,0,0,'Données projet'!$E$12+1,1))-AVERAGE(OFFSET($H$3,0,0,'Données projet'!$E$12+1,1))</f>
        <v>225.71928466161592</v>
      </c>
      <c r="CE39" s="62">
        <f t="shared" si="40"/>
        <v>385.98818770742025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9.2605579853261553</v>
      </c>
      <c r="CL39" s="23">
        <f>EXP(-LN(2)/25)*CL38+(1-EXP(-LN(2)/25))/(LN(2)/25)*Calculateur!CG39*Calculateur!CI39*VLOOKUP('Données projet'!$B$12,Paramètres!$A$1:$I$89,3,0)*0.475*44/12</f>
        <v>2.8307352527433443</v>
      </c>
      <c r="CM39" s="23">
        <f>EXP(-LN(2)/2)*CM38+(1-EXP(-LN(2)/2))/(LN(2)/2)*CG39*CJ39*VLOOKUP('Données projet'!$B$12,Paramètres!$A$1:$I$89,3,0)*0.475*44/12</f>
        <v>0.37903729298625199</v>
      </c>
      <c r="CN39" s="24">
        <f t="shared" si="12"/>
        <v>12.470330531055753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11.2</v>
      </c>
      <c r="CT39" s="13">
        <f>IF('Données projet'!$A$140&gt;35,CT38+CS39-DB38,IF(A39&lt;'Données projet'!$A$140,$CQ$205^A39,IF(A39='Données projet'!$A$140,'Données projet'!$B$140,CT38+CS39-DB38)))</f>
        <v>130.20000000000005</v>
      </c>
      <c r="CU39" s="18">
        <f>CT39*VLOOKUP('Données projet'!$B$13,Paramètres!$A$1:$I$89,3,0)*VLOOKUP('Données projet'!$B$13,Paramètres!$A$1:$I$89,5,0)</f>
        <v>117.80496000000004</v>
      </c>
      <c r="CV39" s="14">
        <f t="shared" si="41"/>
        <v>31.162493487829593</v>
      </c>
      <c r="CW39" s="22">
        <f t="shared" si="13"/>
        <v>259.45164815796994</v>
      </c>
      <c r="CX39" s="62">
        <f t="shared" si="14"/>
        <v>478.57719055100893</v>
      </c>
      <c r="CY39" s="62">
        <f ca="1">AVERAGE(OFFSET($CX$3,0,0,'Données projet'!$E$13+1,1))-AVERAGE(OFFSET($H$3,0,0,'Données projet'!$E$13+1,1))</f>
        <v>499.92116338695428</v>
      </c>
      <c r="CZ39" s="62">
        <f t="shared" si="42"/>
        <v>316.79403154855652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2.6526557188616899</v>
      </c>
      <c r="DH39" s="23">
        <f>EXP(-LN(2)/2)*DH38+(1-EXP(-LN(2)/2))/(LN(2)/2)*DB39*DE39*VLOOKUP('Données projet'!$B$13,Paramètres!$A$1:$I$89,3,0)*0.475*44/12</f>
        <v>0.36974131398353227</v>
      </c>
      <c r="DI39" s="24">
        <f t="shared" si="15"/>
        <v>3.0223970328452223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135.66666666666666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211.70619219850786</v>
      </c>
      <c r="T40" s="62">
        <f t="shared" si="34"/>
        <v>426.883837098247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4.8</v>
      </c>
      <c r="AI40" s="14">
        <f>IF('Données projet'!$A$62&gt;35,AI39+AH40-AQ39,IF(A40&lt;'Données projet'!$A$62,$AF$205^A40,IF(A40='Données projet'!$A$62,'Données projet'!$B$62,AI39+AH40-AQ39)))</f>
        <v>218.60000000000016</v>
      </c>
      <c r="AJ40" s="14">
        <f>AI40*VLOOKUP('Données projet'!$B$10,Paramètres!$A$1:$I$89,3,0)*VLOOKUP('Données projet'!$B$10,Paramètres!$A$1:$I$89,5,0)</f>
        <v>197.78928000000013</v>
      </c>
      <c r="AK40" s="14">
        <f t="shared" si="35"/>
        <v>49.258004531609984</v>
      </c>
      <c r="AL40" s="22">
        <f t="shared" si="4"/>
        <v>430.2740205592209</v>
      </c>
      <c r="AM40" s="62">
        <f t="shared" si="5"/>
        <v>650.68690222130772</v>
      </c>
      <c r="AN40" s="62">
        <f ca="1">AVERAGE(OFFSET($AM$3,0,0,'Données projet'!$E$10+1,1))-AVERAGE(OFFSET($H$3,0,0,'Données projet'!$E$10+1,1))</f>
        <v>327.07074355218322</v>
      </c>
      <c r="AO40" s="62">
        <f t="shared" si="36"/>
        <v>462.01668587029087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7.2579612390223875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7.2579612390223875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9.6</v>
      </c>
      <c r="BD40" s="13">
        <f>IF('Données projet'!$A$88&gt;35,BD39+BC40-BL39,IF(A40&lt;'Données projet'!$A$88,$BA$205^A40,IF(A40='Données projet'!$A$88,'Données projet'!$B$88,BD39+BC40-BL39)))</f>
        <v>162.19999999999996</v>
      </c>
      <c r="BE40" s="14">
        <f>BD40*VLOOKUP('Données projet'!$B$11,Paramètres!$A$1:$I$89,3,0)*VLOOKUP('Données projet'!$B$11,Paramètres!$A$1:$I$89,5,0)</f>
        <v>141.69791999999998</v>
      </c>
      <c r="BF40" s="14">
        <f t="shared" si="37"/>
        <v>36.685701801209362</v>
      </c>
      <c r="BG40" s="22">
        <f t="shared" si="7"/>
        <v>310.68480797043964</v>
      </c>
      <c r="BH40" s="62">
        <f t="shared" si="8"/>
        <v>531.09768963252645</v>
      </c>
      <c r="BI40" s="62">
        <f ca="1">AVERAGE(OFFSET($BH$3,0,0,'Données projet'!$E$11+1,1))-AVERAGE(OFFSET($H$3,0,0,'Données projet'!$E$11+1,1))</f>
        <v>378.51861272969165</v>
      </c>
      <c r="BJ40" s="62">
        <f t="shared" si="38"/>
        <v>387.42368617035459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11.788746122445829</v>
      </c>
      <c r="BR40" s="23">
        <f>EXP(-LN(2)/2)*BR39+(1-EXP(-LN(2)/2))/(LN(2)/2)*BL40*BO40*VLOOKUP('Données projet'!$B$11,Paramètres!$A$1:$I$89,3,0)*0.475*44/12</f>
        <v>1.5860896136566078</v>
      </c>
      <c r="BS40" s="24">
        <f t="shared" si="9"/>
        <v>13.374835736102437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12.625</v>
      </c>
      <c r="BY40" s="13">
        <f>IF('Données projet'!$A$114&gt;35,BY39+BX40-CG39,IF(A40&lt;'Données projet'!$A$114,$BV$205^A40,IF(A40='Données projet'!$A$114,'Données projet'!$B$114,BY39+BX40-CG39)))</f>
        <v>325.37500000000006</v>
      </c>
      <c r="BZ40" s="14">
        <f>BY40*VLOOKUP('Données projet'!$B$12,Paramètres!$A$1:$I$89,3,0)*VLOOKUP('Données projet'!$B$12,Paramètres!$A$1:$I$89,5,0)</f>
        <v>194.57425000000006</v>
      </c>
      <c r="CA40" s="14">
        <f t="shared" si="39"/>
        <v>48.54985011520143</v>
      </c>
      <c r="CB40" s="22">
        <f t="shared" si="10"/>
        <v>423.44114103397595</v>
      </c>
      <c r="CC40" s="62">
        <f t="shared" si="11"/>
        <v>643.85402269606266</v>
      </c>
      <c r="CD40" s="62">
        <f ca="1">AVERAGE(OFFSET($CC$3,0,0,'Données projet'!$E$12+1,1))-AVERAGE(OFFSET($H$3,0,0,'Données projet'!$E$12+1,1))</f>
        <v>225.71928466161592</v>
      </c>
      <c r="CE40" s="62">
        <f t="shared" si="40"/>
        <v>385.98818770742025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9.0789640916165482</v>
      </c>
      <c r="CL40" s="23">
        <f>EXP(-LN(2)/25)*CL39+(1-EXP(-LN(2)/25))/(LN(2)/25)*Calculateur!CG40*Calculateur!CI40*VLOOKUP('Données projet'!$B$12,Paramètres!$A$1:$I$89,3,0)*0.475*44/12</f>
        <v>2.7533286483951804</v>
      </c>
      <c r="CM40" s="23">
        <f>EXP(-LN(2)/2)*CM39+(1-EXP(-LN(2)/2))/(LN(2)/2)*CG40*CJ40*VLOOKUP('Données projet'!$B$12,Paramètres!$A$1:$I$89,3,0)*0.475*44/12</f>
        <v>0.26801984019317099</v>
      </c>
      <c r="CN40" s="24">
        <f t="shared" si="12"/>
        <v>12.1003125802049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11.2</v>
      </c>
      <c r="CT40" s="13">
        <f>IF('Données projet'!$A$140&gt;35,CT39+CS40-DB39,IF(A40&lt;'Données projet'!$A$140,$CQ$205^A40,IF(A40='Données projet'!$A$140,'Données projet'!$B$140,CT39+CS40-DB39)))</f>
        <v>141.40000000000003</v>
      </c>
      <c r="CU40" s="18">
        <f>CT40*VLOOKUP('Données projet'!$B$13,Paramètres!$A$1:$I$89,3,0)*VLOOKUP('Données projet'!$B$13,Paramètres!$A$1:$I$89,5,0)</f>
        <v>127.93872000000003</v>
      </c>
      <c r="CV40" s="14">
        <f t="shared" si="41"/>
        <v>33.519615889545641</v>
      </c>
      <c r="CW40" s="22">
        <f t="shared" si="13"/>
        <v>281.20660167429202</v>
      </c>
      <c r="CX40" s="62">
        <f t="shared" si="14"/>
        <v>501.61948333637878</v>
      </c>
      <c r="CY40" s="62">
        <f ca="1">AVERAGE(OFFSET($CX$3,0,0,'Données projet'!$E$13+1,1))-AVERAGE(OFFSET($H$3,0,0,'Données projet'!$E$13+1,1))</f>
        <v>499.92116338695428</v>
      </c>
      <c r="CZ40" s="62">
        <f t="shared" si="42"/>
        <v>316.79403154855652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2.5801187087323156</v>
      </c>
      <c r="DH40" s="23">
        <f>EXP(-LN(2)/2)*DH39+(1-EXP(-LN(2)/2))/(LN(2)/2)*DB40*DE40*VLOOKUP('Données projet'!$B$13,Paramètres!$A$1:$I$89,3,0)*0.475*44/12</f>
        <v>0.26144659040258011</v>
      </c>
      <c r="DI40" s="24">
        <f t="shared" si="15"/>
        <v>2.8415652991348956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135.66666666666666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211.70619219850786</v>
      </c>
      <c r="T41" s="62">
        <f t="shared" si="34"/>
        <v>426.883837098247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4.8</v>
      </c>
      <c r="AI41" s="14">
        <f>IF('Données projet'!$A$62&gt;35,AI40+AH41-AQ40,IF(A41&lt;'Données projet'!$A$62,$AF$205^A41,IF(A41='Données projet'!$A$62,'Données projet'!$B$62,AI40+AH41-AQ40)))</f>
        <v>223.40000000000018</v>
      </c>
      <c r="AJ41" s="14">
        <f>AI41*VLOOKUP('Données projet'!$B$10,Paramètres!$A$1:$I$89,3,0)*VLOOKUP('Données projet'!$B$10,Paramètres!$A$1:$I$89,5,0)</f>
        <v>202.13232000000013</v>
      </c>
      <c r="AK41" s="14">
        <f t="shared" si="35"/>
        <v>50.21249748895967</v>
      </c>
      <c r="AL41" s="22">
        <f t="shared" si="4"/>
        <v>439.50055712660497</v>
      </c>
      <c r="AM41" s="62">
        <f t="shared" si="5"/>
        <v>661.17844559948094</v>
      </c>
      <c r="AN41" s="62">
        <f ca="1">AVERAGE(OFFSET($AM$3,0,0,'Données projet'!$E$10+1,1))-AVERAGE(OFFSET($H$3,0,0,'Données projet'!$E$10+1,1))</f>
        <v>327.07074355218322</v>
      </c>
      <c r="AO41" s="62">
        <f t="shared" si="36"/>
        <v>462.01668587029087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7.1156370460443927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7.1156370460443927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9.6</v>
      </c>
      <c r="BD41" s="13">
        <f>IF('Données projet'!$A$88&gt;35,BD40+BC41-BL40,IF(A41&lt;'Données projet'!$A$88,$BA$205^A41,IF(A41='Données projet'!$A$88,'Données projet'!$B$88,BD40+BC41-BL40)))</f>
        <v>171.79999999999995</v>
      </c>
      <c r="BE41" s="14">
        <f>BD41*VLOOKUP('Données projet'!$B$11,Paramètres!$A$1:$I$89,3,0)*VLOOKUP('Données projet'!$B$11,Paramètres!$A$1:$I$89,5,0)</f>
        <v>150.08447999999999</v>
      </c>
      <c r="BF41" s="14">
        <f t="shared" si="37"/>
        <v>38.597783374841299</v>
      </c>
      <c r="BG41" s="22">
        <f t="shared" si="7"/>
        <v>328.62160871118186</v>
      </c>
      <c r="BH41" s="62">
        <f t="shared" si="8"/>
        <v>550.29949718405783</v>
      </c>
      <c r="BI41" s="62">
        <f ca="1">AVERAGE(OFFSET($BH$3,0,0,'Données projet'!$E$11+1,1))-AVERAGE(OFFSET($H$3,0,0,'Données projet'!$E$11+1,1))</f>
        <v>378.51861272969165</v>
      </c>
      <c r="BJ41" s="62">
        <f t="shared" si="38"/>
        <v>387.42368617035459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11.466382239784332</v>
      </c>
      <c r="BR41" s="23">
        <f>EXP(-LN(2)/2)*BR40+(1-EXP(-LN(2)/2))/(LN(2)/2)*BL41*BO41*VLOOKUP('Données projet'!$B$11,Paramètres!$A$1:$I$89,3,0)*0.475*44/12</f>
        <v>1.1215347213861389</v>
      </c>
      <c r="BS41" s="24">
        <f t="shared" si="9"/>
        <v>12.587916961170471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>
        <f>VLOOKUP(A41,'Données projet'!$A$113:$I$133,2,0)</f>
        <v>338</v>
      </c>
      <c r="BW41" s="13">
        <f>VLOOKUP(A41,'Données projet'!$A$113:$I$133,9,0)</f>
        <v>12.625</v>
      </c>
      <c r="BX41" s="13">
        <f t="array" ref="BX41">INDEX(BW:BW,MIN(IF(ISNUMBER(BW41:BW237),ROW(BW41:BW237),"")))</f>
        <v>12.625</v>
      </c>
      <c r="BY41" s="13">
        <f>IF('Données projet'!$A$114&gt;35,BY40+BX41-CG40,IF(A41&lt;'Données projet'!$A$114,$BV$205^A41,IF(A41='Données projet'!$A$114,'Données projet'!$B$114,BY40+BX41-CG40)))</f>
        <v>338.00000000000006</v>
      </c>
      <c r="BZ41" s="14">
        <f>BY41*VLOOKUP('Données projet'!$B$12,Paramètres!$A$1:$I$89,3,0)*VLOOKUP('Données projet'!$B$12,Paramètres!$A$1:$I$89,5,0)</f>
        <v>202.12400000000008</v>
      </c>
      <c r="CA41" s="14">
        <f t="shared" si="39"/>
        <v>50.210671256169846</v>
      </c>
      <c r="CB41" s="22">
        <f t="shared" si="10"/>
        <v>439.48288577116256</v>
      </c>
      <c r="CC41" s="62">
        <f t="shared" si="11"/>
        <v>661.16077424403852</v>
      </c>
      <c r="CD41" s="62">
        <f ca="1">AVERAGE(OFFSET($CC$3,0,0,'Données projet'!$E$12+1,1))-AVERAGE(OFFSET($H$3,0,0,'Données projet'!$E$12+1,1))</f>
        <v>225.71928466161592</v>
      </c>
      <c r="CE41" s="62">
        <f t="shared" si="40"/>
        <v>385.98818770742025</v>
      </c>
      <c r="CF41" s="16">
        <f>IF(ISNA(VLOOKUP(A41,'Données projet'!$A$113:$I$133,3,0)),0,VLOOKUP(A41,'Données projet'!$A$113:$I$133,3,0))</f>
        <v>5</v>
      </c>
      <c r="CG41" s="16">
        <f>IF(ISNA(VLOOKUP(A41,'Données projet'!$A$113:$I$133,4,0)),0,VLOOKUP(A41,'Données projet'!$A$113:$I$133,4,0))</f>
        <v>338</v>
      </c>
      <c r="CH41" s="17">
        <f>IF(ISNA(VLOOKUP(A41,'Données projet'!$A$113:$I$133,5,0)),0%,VLOOKUP(A41,'Données projet'!$A$113:$I$133,5,0)*VLOOKUP('Données projet'!$B$12,Paramètres!$A$1:$I$89,7,0))</f>
        <v>0.315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0.3</v>
      </c>
      <c r="CK41" s="23">
        <f>EXP(-LN(2)/35)*CK40+(1-EXP(-LN(2)/35))/(LN(2)/35)*CG41*CH41*VLOOKUP('Données projet'!$B$12,Paramètres!$A$1:$I$89,3,0)*0.475*44/12</f>
        <v>93.362043050648666</v>
      </c>
      <c r="CL41" s="23">
        <f>EXP(-LN(2)/25)*CL40+(1-EXP(-LN(2)/25))/(LN(2)/25)*Calculateur!CG41*Calculateur!CI41*VLOOKUP('Données projet'!$B$12,Paramètres!$A$1:$I$89,3,0)*0.475*44/12</f>
        <v>2.6780387317135532</v>
      </c>
      <c r="CM41" s="23">
        <f>EXP(-LN(2)/2)*CM40+(1-EXP(-LN(2)/2))/(LN(2)/2)*CG41*CJ41*VLOOKUP('Données projet'!$B$12,Paramètres!$A$1:$I$89,3,0)*0.475*44/12</f>
        <v>68.844914918064944</v>
      </c>
      <c r="CN41" s="24">
        <f t="shared" si="12"/>
        <v>164.88499670042717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11.2</v>
      </c>
      <c r="CT41" s="13">
        <f>IF('Données projet'!$A$140&gt;35,CT40+CS41-DB40,IF(A41&lt;'Données projet'!$A$140,$CQ$205^A41,IF(A41='Données projet'!$A$140,'Données projet'!$B$140,CT40+CS41-DB40)))</f>
        <v>152.60000000000002</v>
      </c>
      <c r="CU41" s="18">
        <f>CT41*VLOOKUP('Données projet'!$B$13,Paramètres!$A$1:$I$89,3,0)*VLOOKUP('Données projet'!$B$13,Paramètres!$A$1:$I$89,5,0)</f>
        <v>138.07248000000001</v>
      </c>
      <c r="CV41" s="14">
        <f t="shared" si="41"/>
        <v>35.85508207677799</v>
      </c>
      <c r="CW41" s="22">
        <f t="shared" si="13"/>
        <v>302.9238372837217</v>
      </c>
      <c r="CX41" s="62">
        <f t="shared" si="14"/>
        <v>524.6017257565976</v>
      </c>
      <c r="CY41" s="62">
        <f ca="1">AVERAGE(OFFSET($CX$3,0,0,'Données projet'!$E$13+1,1))-AVERAGE(OFFSET($H$3,0,0,'Données projet'!$E$13+1,1))</f>
        <v>499.92116338695428</v>
      </c>
      <c r="CZ41" s="62">
        <f t="shared" si="42"/>
        <v>316.79403154855652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2.5095652269594844</v>
      </c>
      <c r="DH41" s="23">
        <f>EXP(-LN(2)/2)*DH40+(1-EXP(-LN(2)/2))/(LN(2)/2)*DB41*DE41*VLOOKUP('Données projet'!$B$13,Paramètres!$A$1:$I$89,3,0)*0.475*44/12</f>
        <v>0.18487065699176614</v>
      </c>
      <c r="DI41" s="24">
        <f t="shared" si="15"/>
        <v>2.6944358839512503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135.66666666666666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211.70619219850786</v>
      </c>
      <c r="T42" s="62">
        <f t="shared" si="34"/>
        <v>426.883837098247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4.8</v>
      </c>
      <c r="AI42" s="14">
        <f>IF('Données projet'!$A$62&gt;35,AI41+AH42-AQ41,IF(A42&lt;'Données projet'!$A$62,$AF$205^A42,IF(A42='Données projet'!$A$62,'Données projet'!$B$62,AI41+AH42-AQ41)))</f>
        <v>228.20000000000019</v>
      </c>
      <c r="AJ42" s="14">
        <f>AI42*VLOOKUP('Données projet'!$B$10,Paramètres!$A$1:$I$89,3,0)*VLOOKUP('Données projet'!$B$10,Paramètres!$A$1:$I$89,5,0)</f>
        <v>206.47536000000017</v>
      </c>
      <c r="AK42" s="14">
        <f t="shared" si="35"/>
        <v>51.164606062687312</v>
      </c>
      <c r="AL42" s="22">
        <f t="shared" si="4"/>
        <v>448.72294089251392</v>
      </c>
      <c r="AM42" s="62">
        <f t="shared" si="5"/>
        <v>671.64389113614345</v>
      </c>
      <c r="AN42" s="62">
        <f ca="1">AVERAGE(OFFSET($AM$3,0,0,'Données projet'!$E$10+1,1))-AVERAGE(OFFSET($H$3,0,0,'Données projet'!$E$10+1,1))</f>
        <v>327.07074355218322</v>
      </c>
      <c r="AO42" s="62">
        <f t="shared" si="36"/>
        <v>462.01668587029087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6.9761037436815103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6.9761037436815103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9.6</v>
      </c>
      <c r="BD42" s="13">
        <f>IF('Données projet'!$A$88&gt;35,BD41+BC42-BL41,IF(A42&lt;'Données projet'!$A$88,$BA$205^A42,IF(A42='Données projet'!$A$88,'Données projet'!$B$88,BD41+BC42-BL41)))</f>
        <v>181.39999999999995</v>
      </c>
      <c r="BE42" s="14">
        <f>BD42*VLOOKUP('Données projet'!$B$11,Paramètres!$A$1:$I$89,3,0)*VLOOKUP('Données projet'!$B$11,Paramètres!$A$1:$I$89,5,0)</f>
        <v>158.47103999999996</v>
      </c>
      <c r="BF42" s="14">
        <f t="shared" si="37"/>
        <v>40.497461727609561</v>
      </c>
      <c r="BG42" s="22">
        <f t="shared" si="7"/>
        <v>346.53680717558655</v>
      </c>
      <c r="BH42" s="62">
        <f t="shared" si="8"/>
        <v>569.45775741921602</v>
      </c>
      <c r="BI42" s="62">
        <f ca="1">AVERAGE(OFFSET($BH$3,0,0,'Données projet'!$E$11+1,1))-AVERAGE(OFFSET($H$3,0,0,'Données projet'!$E$11+1,1))</f>
        <v>378.51861272969165</v>
      </c>
      <c r="BJ42" s="62">
        <f t="shared" si="38"/>
        <v>387.42368617035459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11.152833414446594</v>
      </c>
      <c r="BR42" s="23">
        <f>EXP(-LN(2)/2)*BR41+(1-EXP(-LN(2)/2))/(LN(2)/2)*BL42*BO42*VLOOKUP('Données projet'!$B$11,Paramètres!$A$1:$I$89,3,0)*0.475*44/12</f>
        <v>0.79304480682830414</v>
      </c>
      <c r="BS42" s="24">
        <f t="shared" si="9"/>
        <v>11.945878221274898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5.6843418860808015E-14</v>
      </c>
      <c r="BZ42" s="14">
        <f>BY42*VLOOKUP('Données projet'!$B$12,Paramètres!$A$1:$I$89,3,0)*VLOOKUP('Données projet'!$B$12,Paramètres!$A$1:$I$89,5,0)</f>
        <v>3.3992364478763198E-14</v>
      </c>
      <c r="CA42" s="14">
        <f t="shared" si="39"/>
        <v>5.790027782444094E-13</v>
      </c>
      <c r="CB42" s="22">
        <f t="shared" si="10"/>
        <v>1.0676332069095257E-12</v>
      </c>
      <c r="CC42" s="62">
        <f t="shared" si="11"/>
        <v>222.92095024363059</v>
      </c>
      <c r="CD42" s="62">
        <f ca="1">AVERAGE(OFFSET($CC$3,0,0,'Données projet'!$E$12+1,1))-AVERAGE(OFFSET($H$3,0,0,'Données projet'!$E$12+1,1))</f>
        <v>225.71928466161592</v>
      </c>
      <c r="CE42" s="62">
        <f t="shared" si="40"/>
        <v>385.98818770742025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91.531270331648827</v>
      </c>
      <c r="CL42" s="23">
        <f>EXP(-LN(2)/25)*CL41+(1-EXP(-LN(2)/25))/(LN(2)/25)*Calculateur!CG42*Calculateur!CI42*VLOOKUP('Données projet'!$B$12,Paramètres!$A$1:$I$89,3,0)*0.475*44/12</f>
        <v>2.6048076217629101</v>
      </c>
      <c r="CM42" s="23">
        <f>EXP(-LN(2)/2)*CM41+(1-EXP(-LN(2)/2))/(LN(2)/2)*CG42*CJ42*VLOOKUP('Données projet'!$B$12,Paramètres!$A$1:$I$89,3,0)*0.475*44/12</f>
        <v>48.680706188774636</v>
      </c>
      <c r="CN42" s="24">
        <f t="shared" si="12"/>
        <v>142.81678414218638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11.2</v>
      </c>
      <c r="CT42" s="13">
        <f>IF('Données projet'!$A$140&gt;35,CT41+CS42-DB41,IF(A42&lt;'Données projet'!$A$140,$CQ$205^A42,IF(A42='Données projet'!$A$140,'Données projet'!$B$140,CT41+CS42-DB41)))</f>
        <v>163.80000000000001</v>
      </c>
      <c r="CU42" s="18">
        <f>CT42*VLOOKUP('Données projet'!$B$13,Paramètres!$A$1:$I$89,3,0)*VLOOKUP('Données projet'!$B$13,Paramètres!$A$1:$I$89,5,0)</f>
        <v>148.20624000000001</v>
      </c>
      <c r="CV42" s="14">
        <f t="shared" si="41"/>
        <v>38.170662245893794</v>
      </c>
      <c r="CW42" s="22">
        <f t="shared" si="13"/>
        <v>324.60643807826506</v>
      </c>
      <c r="CX42" s="62">
        <f t="shared" si="14"/>
        <v>547.52738832189459</v>
      </c>
      <c r="CY42" s="62">
        <f ca="1">AVERAGE(OFFSET($CX$3,0,0,'Données projet'!$E$13+1,1))-AVERAGE(OFFSET($H$3,0,0,'Données projet'!$E$13+1,1))</f>
        <v>499.92116338695428</v>
      </c>
      <c r="CZ42" s="62">
        <f t="shared" si="42"/>
        <v>316.79403154855652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2.4409410338559776</v>
      </c>
      <c r="DH42" s="23">
        <f>EXP(-LN(2)/2)*DH41+(1-EXP(-LN(2)/2))/(LN(2)/2)*DB42*DE42*VLOOKUP('Données projet'!$B$13,Paramètres!$A$1:$I$89,3,0)*0.475*44/12</f>
        <v>0.13072329520129006</v>
      </c>
      <c r="DI42" s="24">
        <f t="shared" si="15"/>
        <v>2.5716643290572678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135.66666666666666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211.70619219850786</v>
      </c>
      <c r="T43" s="62">
        <f t="shared" si="34"/>
        <v>426.883837098247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233</v>
      </c>
      <c r="AG43" s="13">
        <f>VLOOKUP(A43,'Données projet'!$A$61:$I$81,9,0)</f>
        <v>4.8</v>
      </c>
      <c r="AH43" s="13">
        <f t="array" ref="AH43">INDEX(AG:AG,MIN(IF(ISNUMBER(AG43:AG239),ROW(AG43:AG239),"")))</f>
        <v>4.8</v>
      </c>
      <c r="AI43" s="14">
        <f>IF('Données projet'!$A$62&gt;35,AI42+AH43-AQ42,IF(A43&lt;'Données projet'!$A$62,$AF$205^A43,IF(A43='Données projet'!$A$62,'Données projet'!$B$62,AI42+AH43-AQ42)))</f>
        <v>233.0000000000002</v>
      </c>
      <c r="AJ43" s="14">
        <f>AI43*VLOOKUP('Données projet'!$B$10,Paramètres!$A$1:$I$89,3,0)*VLOOKUP('Données projet'!$B$10,Paramètres!$A$1:$I$89,5,0)</f>
        <v>210.81840000000017</v>
      </c>
      <c r="AK43" s="14">
        <f t="shared" si="35"/>
        <v>52.114386184062248</v>
      </c>
      <c r="AL43" s="22">
        <f t="shared" si="4"/>
        <v>457.94126927057533</v>
      </c>
      <c r="AM43" s="62">
        <f t="shared" si="5"/>
        <v>682.08371694230561</v>
      </c>
      <c r="AN43" s="62">
        <f ca="1">AVERAGE(OFFSET($AM$3,0,0,'Données projet'!$E$10+1,1))-AVERAGE(OFFSET($H$3,0,0,'Données projet'!$E$10+1,1))</f>
        <v>327.07074355218322</v>
      </c>
      <c r="AO43" s="62">
        <f t="shared" si="36"/>
        <v>462.01668587029087</v>
      </c>
      <c r="AP43" s="16">
        <f>IF(ISNA(VLOOKUP(A43,'Données projet'!$A$61:$I$81,3,0)),0,VLOOKUP(A43,'Données projet'!$A$61:$I$81,3,0))</f>
        <v>8</v>
      </c>
      <c r="AQ43" s="16">
        <f>IF(ISNA(VLOOKUP(A43,'Données projet'!$A$61:$I$81,4,0)),0,VLOOKUP(A43,'Données projet'!$A$61:$I$81,4,0))</f>
        <v>6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6.8393066042710533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6.8393066042710533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191</v>
      </c>
      <c r="BB43" s="13">
        <f>VLOOKUP(A43,'Données projet'!$A$87:$I$107,9,0)</f>
        <v>9.6</v>
      </c>
      <c r="BC43" s="13">
        <f t="array" ref="BC43">INDEX(BB:BB,MIN(IF(ISNUMBER(BB43:BB239),ROW(BB43:BB239),"")))</f>
        <v>9.6</v>
      </c>
      <c r="BD43" s="13">
        <f>IF('Données projet'!$A$88&gt;35,BD42+BC43-BL42,IF(A43&lt;'Données projet'!$A$88,$BA$205^A43,IF(A43='Données projet'!$A$88,'Données projet'!$B$88,BD42+BC43-BL42)))</f>
        <v>190.99999999999994</v>
      </c>
      <c r="BE43" s="14">
        <f>BD43*VLOOKUP('Données projet'!$B$11,Paramètres!$A$1:$I$89,3,0)*VLOOKUP('Données projet'!$B$11,Paramètres!$A$1:$I$89,5,0)</f>
        <v>166.85759999999996</v>
      </c>
      <c r="BF43" s="14">
        <f t="shared" si="37"/>
        <v>42.385468111966098</v>
      </c>
      <c r="BG43" s="22">
        <f t="shared" si="7"/>
        <v>364.43167696167421</v>
      </c>
      <c r="BH43" s="62">
        <f t="shared" si="8"/>
        <v>588.57412463340449</v>
      </c>
      <c r="BI43" s="62">
        <f ca="1">AVERAGE(OFFSET($BH$3,0,0,'Données projet'!$E$11+1,1))-AVERAGE(OFFSET($H$3,0,0,'Données projet'!$E$11+1,1))</f>
        <v>378.51861272969165</v>
      </c>
      <c r="BJ43" s="62">
        <f t="shared" si="38"/>
        <v>387.42368617035459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33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10.847858598226532</v>
      </c>
      <c r="BR43" s="23">
        <f>EXP(-LN(2)/2)*BR42+(1-EXP(-LN(2)/2))/(LN(2)/2)*BL43*BO43*VLOOKUP('Données projet'!$B$11,Paramètres!$A$1:$I$89,3,0)*0.475*44/12</f>
        <v>0.56076736069306954</v>
      </c>
      <c r="BS43" s="24">
        <f t="shared" si="9"/>
        <v>11.408625958919602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5.6843418860808015E-14</v>
      </c>
      <c r="BZ43" s="14">
        <f>BY43*VLOOKUP('Données projet'!$B$12,Paramètres!$A$1:$I$89,3,0)*VLOOKUP('Données projet'!$B$12,Paramètres!$A$1:$I$89,5,0)</f>
        <v>3.3992364478763198E-14</v>
      </c>
      <c r="CA43" s="14">
        <f t="shared" si="39"/>
        <v>5.790027782444094E-13</v>
      </c>
      <c r="CB43" s="22">
        <f t="shared" si="10"/>
        <v>1.0676332069095257E-12</v>
      </c>
      <c r="CC43" s="62">
        <f t="shared" si="11"/>
        <v>224.14244767173139</v>
      </c>
      <c r="CD43" s="62">
        <f ca="1">AVERAGE(OFFSET($CC$3,0,0,'Données projet'!$E$12+1,1))-AVERAGE(OFFSET($H$3,0,0,'Données projet'!$E$12+1,1))</f>
        <v>225.71928466161592</v>
      </c>
      <c r="CE43" s="62">
        <f t="shared" si="40"/>
        <v>385.98818770742025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89.736397949007483</v>
      </c>
      <c r="CL43" s="23">
        <f>EXP(-LN(2)/25)*CL42+(1-EXP(-LN(2)/25))/(LN(2)/25)*Calculateur!CG43*Calculateur!CI43*VLOOKUP('Données projet'!$B$12,Paramètres!$A$1:$I$89,3,0)*0.475*44/12</f>
        <v>2.533579020364924</v>
      </c>
      <c r="CM43" s="23">
        <f>EXP(-LN(2)/2)*CM42+(1-EXP(-LN(2)/2))/(LN(2)/2)*CG43*CJ43*VLOOKUP('Données projet'!$B$12,Paramètres!$A$1:$I$89,3,0)*0.475*44/12</f>
        <v>34.422457459032479</v>
      </c>
      <c r="CN43" s="24">
        <f t="shared" si="12"/>
        <v>126.69243442840488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175</v>
      </c>
      <c r="CR43" s="13">
        <f>VLOOKUP(A43,'Données projet'!$A$139:$I$159,9,0)</f>
        <v>11.2</v>
      </c>
      <c r="CS43" s="13">
        <f t="array" ref="CS43">INDEX(CR:CR,MIN(IF(ISNUMBER(CR43:CR239),ROW(CR43:CR239),"")))</f>
        <v>11.2</v>
      </c>
      <c r="CT43" s="13">
        <f>IF('Données projet'!$A$140&gt;35,CT42+CS43-DB42,IF(A43&lt;'Données projet'!$A$140,$CQ$205^A43,IF(A43='Données projet'!$A$140,'Données projet'!$B$140,CT42+CS43-DB42)))</f>
        <v>175</v>
      </c>
      <c r="CU43" s="18">
        <f>CT43*VLOOKUP('Données projet'!$B$13,Paramètres!$A$1:$I$89,3,0)*VLOOKUP('Données projet'!$B$13,Paramètres!$A$1:$I$89,5,0)</f>
        <v>158.34</v>
      </c>
      <c r="CV43" s="14">
        <f t="shared" si="41"/>
        <v>40.467870812652819</v>
      </c>
      <c r="CW43" s="22">
        <f t="shared" si="13"/>
        <v>346.25704166537031</v>
      </c>
      <c r="CX43" s="62">
        <f t="shared" si="14"/>
        <v>570.39948933710059</v>
      </c>
      <c r="CY43" s="62">
        <f ca="1">AVERAGE(OFFSET($CX$3,0,0,'Données projet'!$E$13+1,1))-AVERAGE(OFFSET($H$3,0,0,'Données projet'!$E$13+1,1))</f>
        <v>499.92116338695428</v>
      </c>
      <c r="CZ43" s="62">
        <f t="shared" si="42"/>
        <v>316.79403154855652</v>
      </c>
      <c r="DA43" s="16">
        <f>IF(ISNA(VLOOKUP(A43,'Données projet'!$A$139:$I$159,3,0)),0,VLOOKUP(A43,'Données projet'!$A$139:$I$159,3,0))</f>
        <v>5</v>
      </c>
      <c r="DB43" s="16">
        <f>IF(ISNA(VLOOKUP(A43,'Données projet'!$A$139:$I$159,4,0)),0,VLOOKUP(A43,'Données projet'!$A$139:$I$159,4,0))</f>
        <v>28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2.3741933729216758</v>
      </c>
      <c r="DH43" s="23">
        <f>EXP(-LN(2)/2)*DH42+(1-EXP(-LN(2)/2))/(LN(2)/2)*DB43*DE43*VLOOKUP('Données projet'!$B$13,Paramètres!$A$1:$I$89,3,0)*0.475*44/12</f>
        <v>9.2435328495883068E-2</v>
      </c>
      <c r="DI43" s="24">
        <f t="shared" si="15"/>
        <v>2.4666287014175587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135.66666666666666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211.70619219850786</v>
      </c>
      <c r="T44" s="62">
        <f t="shared" si="34"/>
        <v>426.883837098247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</v>
      </c>
      <c r="AI44" s="14">
        <f>IF('Données projet'!$A$62&gt;35,AI43+AH44-AQ43,IF(A44&lt;'Données projet'!$A$62,$AF$205^A44,IF(A44='Données projet'!$A$62,'Données projet'!$B$62,AI43+AH44-AQ43)))</f>
        <v>232.0000000000002</v>
      </c>
      <c r="AJ44" s="14">
        <f>AI44*VLOOKUP('Données projet'!$B$10,Paramètres!$A$1:$I$89,3,0)*VLOOKUP('Données projet'!$B$10,Paramètres!$A$1:$I$89,5,0)</f>
        <v>209.9136000000002</v>
      </c>
      <c r="AK44" s="14">
        <f t="shared" si="35"/>
        <v>51.916704672341361</v>
      </c>
      <c r="AL44" s="22">
        <f t="shared" si="4"/>
        <v>456.02111397099492</v>
      </c>
      <c r="AM44" s="62">
        <f t="shared" si="5"/>
        <v>681.36386882130751</v>
      </c>
      <c r="AN44" s="62">
        <f ca="1">AVERAGE(OFFSET($AM$3,0,0,'Données projet'!$E$10+1,1))-AVERAGE(OFFSET($H$3,0,0,'Données projet'!$E$10+1,1))</f>
        <v>327.07074355218322</v>
      </c>
      <c r="AO44" s="62">
        <f t="shared" si="36"/>
        <v>462.01668587029087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6.7051919733264187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6.7051919733264187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8.6</v>
      </c>
      <c r="BD44" s="13">
        <f>IF('Données projet'!$A$88&gt;35,BD43+BC44-BL43,IF(A44&lt;'Données projet'!$A$88,$BA$205^A44,IF(A44='Données projet'!$A$88,'Données projet'!$B$88,BD43+BC44-BL43)))</f>
        <v>166.59999999999994</v>
      </c>
      <c r="BE44" s="14">
        <f>BD44*VLOOKUP('Données projet'!$B$11,Paramètres!$A$1:$I$89,3,0)*VLOOKUP('Données projet'!$B$11,Paramètres!$A$1:$I$89,5,0)</f>
        <v>145.54175999999998</v>
      </c>
      <c r="BF44" s="14">
        <f t="shared" si="37"/>
        <v>37.563662342876064</v>
      </c>
      <c r="BG44" s="22">
        <f t="shared" si="7"/>
        <v>318.90861058050911</v>
      </c>
      <c r="BH44" s="62">
        <f t="shared" si="8"/>
        <v>544.25136543082181</v>
      </c>
      <c r="BI44" s="62">
        <f ca="1">AVERAGE(OFFSET($BH$3,0,0,'Données projet'!$E$11+1,1))-AVERAGE(OFFSET($H$3,0,0,'Données projet'!$E$11+1,1))</f>
        <v>378.51861272969165</v>
      </c>
      <c r="BJ44" s="62">
        <f t="shared" si="38"/>
        <v>387.42368617035459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10.551223334393937</v>
      </c>
      <c r="BR44" s="23">
        <f>EXP(-LN(2)/2)*BR43+(1-EXP(-LN(2)/2))/(LN(2)/2)*BL44*BO44*VLOOKUP('Données projet'!$B$11,Paramètres!$A$1:$I$89,3,0)*0.475*44/12</f>
        <v>0.39652240341415212</v>
      </c>
      <c r="BS44" s="24">
        <f t="shared" si="9"/>
        <v>10.94774573780809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5.6843418860808015E-14</v>
      </c>
      <c r="BZ44" s="14">
        <f>BY44*VLOOKUP('Données projet'!$B$12,Paramètres!$A$1:$I$89,3,0)*VLOOKUP('Données projet'!$B$12,Paramètres!$A$1:$I$89,5,0)</f>
        <v>3.3992364478763198E-14</v>
      </c>
      <c r="CA44" s="14">
        <f t="shared" si="39"/>
        <v>5.790027782444094E-13</v>
      </c>
      <c r="CB44" s="22">
        <f t="shared" si="10"/>
        <v>1.0676332069095257E-12</v>
      </c>
      <c r="CC44" s="62">
        <f t="shared" si="11"/>
        <v>225.34275485031372</v>
      </c>
      <c r="CD44" s="62">
        <f ca="1">AVERAGE(OFFSET($CC$3,0,0,'Données projet'!$E$12+1,1))-AVERAGE(OFFSET($H$3,0,0,'Données projet'!$E$12+1,1))</f>
        <v>225.71928466161592</v>
      </c>
      <c r="CE44" s="62">
        <f t="shared" si="40"/>
        <v>385.98818770742025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87.976721919025678</v>
      </c>
      <c r="CL44" s="23">
        <f>EXP(-LN(2)/25)*CL43+(1-EXP(-LN(2)/25))/(LN(2)/25)*Calculateur!CG44*Calculateur!CI44*VLOOKUP('Données projet'!$B$12,Paramètres!$A$1:$I$89,3,0)*0.475*44/12</f>
        <v>2.4642981688179151</v>
      </c>
      <c r="CM44" s="23">
        <f>EXP(-LN(2)/2)*CM43+(1-EXP(-LN(2)/2))/(LN(2)/2)*CG44*CJ44*VLOOKUP('Données projet'!$B$12,Paramètres!$A$1:$I$89,3,0)*0.475*44/12</f>
        <v>24.340353094387321</v>
      </c>
      <c r="CN44" s="24">
        <f t="shared" si="12"/>
        <v>114.78137318223092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11.4</v>
      </c>
      <c r="CT44" s="13">
        <f>IF('Données projet'!$A$140&gt;35,CT43+CS44-DB43,IF(A44&lt;'Données projet'!$A$140,$CQ$205^A44,IF(A44='Données projet'!$A$140,'Données projet'!$B$140,CT43+CS44-DB43)))</f>
        <v>158.4</v>
      </c>
      <c r="CU44" s="18">
        <f>CT44*VLOOKUP('Données projet'!$B$13,Paramètres!$A$1:$I$89,3,0)*VLOOKUP('Données projet'!$B$13,Paramètres!$A$1:$I$89,5,0)</f>
        <v>143.32032000000001</v>
      </c>
      <c r="CV44" s="14">
        <f t="shared" si="41"/>
        <v>37.056603420232349</v>
      </c>
      <c r="CW44" s="22">
        <f t="shared" si="13"/>
        <v>314.15647495690467</v>
      </c>
      <c r="CX44" s="62">
        <f t="shared" si="14"/>
        <v>539.49922980721726</v>
      </c>
      <c r="CY44" s="62">
        <f ca="1">AVERAGE(OFFSET($CX$3,0,0,'Données projet'!$E$13+1,1))-AVERAGE(OFFSET($H$3,0,0,'Données projet'!$E$13+1,1))</f>
        <v>499.92116338695428</v>
      </c>
      <c r="CZ44" s="62">
        <f t="shared" si="42"/>
        <v>316.79403154855652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2.3092709302857295</v>
      </c>
      <c r="DH44" s="23">
        <f>EXP(-LN(2)/2)*DH43+(1-EXP(-LN(2)/2))/(LN(2)/2)*DB44*DE44*VLOOKUP('Données projet'!$B$13,Paramètres!$A$1:$I$89,3,0)*0.475*44/12</f>
        <v>6.5361647600645029E-2</v>
      </c>
      <c r="DI44" s="24">
        <f t="shared" si="15"/>
        <v>2.3746325778863744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135.66666666666666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211.70619219850786</v>
      </c>
      <c r="T45" s="62">
        <f t="shared" si="34"/>
        <v>426.883837098247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</v>
      </c>
      <c r="AI45" s="14">
        <f>IF('Données projet'!$A$62&gt;35,AI44+AH45-AQ44,IF(A45&lt;'Données projet'!$A$62,$AF$205^A45,IF(A45='Données projet'!$A$62,'Données projet'!$B$62,AI44+AH45-AQ44)))</f>
        <v>237.0000000000002</v>
      </c>
      <c r="AJ45" s="14">
        <f>AI45*VLOOKUP('Données projet'!$B$10,Paramètres!$A$1:$I$89,3,0)*VLOOKUP('Données projet'!$B$10,Paramètres!$A$1:$I$89,5,0)</f>
        <v>214.43760000000015</v>
      </c>
      <c r="AK45" s="14">
        <f t="shared" si="35"/>
        <v>52.904129603372425</v>
      </c>
      <c r="AL45" s="22">
        <f t="shared" si="4"/>
        <v>465.6201790592072</v>
      </c>
      <c r="AM45" s="62">
        <f t="shared" si="5"/>
        <v>692.14241844203866</v>
      </c>
      <c r="AN45" s="62">
        <f ca="1">AVERAGE(OFFSET($AM$3,0,0,'Données projet'!$E$10+1,1))-AVERAGE(OFFSET($H$3,0,0,'Données projet'!$E$10+1,1))</f>
        <v>327.07074355218322</v>
      </c>
      <c r="AO45" s="62">
        <f t="shared" si="36"/>
        <v>462.01668587029087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6.5737072484927603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6.5737072484927603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8.6</v>
      </c>
      <c r="BD45" s="13">
        <f>IF('Données projet'!$A$88&gt;35,BD44+BC45-BL44,IF(A45&lt;'Données projet'!$A$88,$BA$205^A45,IF(A45='Données projet'!$A$88,'Données projet'!$B$88,BD44+BC45-BL44)))</f>
        <v>175.19999999999993</v>
      </c>
      <c r="BE45" s="14">
        <f>BD45*VLOOKUP('Données projet'!$B$11,Paramètres!$A$1:$I$89,3,0)*VLOOKUP('Données projet'!$B$11,Paramètres!$A$1:$I$89,5,0)</f>
        <v>153.05471999999995</v>
      </c>
      <c r="BF45" s="14">
        <f t="shared" si="37"/>
        <v>39.271965088385166</v>
      </c>
      <c r="BG45" s="22">
        <f t="shared" si="7"/>
        <v>334.96897652893739</v>
      </c>
      <c r="BH45" s="62">
        <f t="shared" si="8"/>
        <v>561.49121591176879</v>
      </c>
      <c r="BI45" s="62">
        <f ca="1">AVERAGE(OFFSET($BH$3,0,0,'Données projet'!$E$11+1,1))-AVERAGE(OFFSET($H$3,0,0,'Données projet'!$E$11+1,1))</f>
        <v>378.51861272969165</v>
      </c>
      <c r="BJ45" s="62">
        <f t="shared" si="38"/>
        <v>387.42368617035459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10.262699577450215</v>
      </c>
      <c r="BR45" s="23">
        <f>EXP(-LN(2)/2)*BR44+(1-EXP(-LN(2)/2))/(LN(2)/2)*BL45*BO45*VLOOKUP('Données projet'!$B$11,Paramètres!$A$1:$I$89,3,0)*0.475*44/12</f>
        <v>0.28038368034653482</v>
      </c>
      <c r="BS45" s="24">
        <f t="shared" si="9"/>
        <v>10.54308325779675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5.6843418860808015E-14</v>
      </c>
      <c r="BZ45" s="14">
        <f>BY45*VLOOKUP('Données projet'!$B$12,Paramètres!$A$1:$I$89,3,0)*VLOOKUP('Données projet'!$B$12,Paramètres!$A$1:$I$89,5,0)</f>
        <v>3.3992364478763198E-14</v>
      </c>
      <c r="CA45" s="14">
        <f t="shared" si="39"/>
        <v>5.790027782444094E-13</v>
      </c>
      <c r="CB45" s="22">
        <f t="shared" si="10"/>
        <v>1.0676332069095257E-12</v>
      </c>
      <c r="CC45" s="62">
        <f t="shared" si="11"/>
        <v>226.52223938283251</v>
      </c>
      <c r="CD45" s="62">
        <f ca="1">AVERAGE(OFFSET($CC$3,0,0,'Données projet'!$E$12+1,1))-AVERAGE(OFFSET($H$3,0,0,'Données projet'!$E$12+1,1))</f>
        <v>225.71928466161592</v>
      </c>
      <c r="CE45" s="62">
        <f t="shared" si="40"/>
        <v>385.98818770742025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86.251552062695424</v>
      </c>
      <c r="CL45" s="23">
        <f>EXP(-LN(2)/25)*CL44+(1-EXP(-LN(2)/25))/(LN(2)/25)*Calculateur!CG45*Calculateur!CI45*VLOOKUP('Données projet'!$B$12,Paramètres!$A$1:$I$89,3,0)*0.475*44/12</f>
        <v>2.3969118057997809</v>
      </c>
      <c r="CM45" s="23">
        <f>EXP(-LN(2)/2)*CM44+(1-EXP(-LN(2)/2))/(LN(2)/2)*CG45*CJ45*VLOOKUP('Données projet'!$B$12,Paramètres!$A$1:$I$89,3,0)*0.475*44/12</f>
        <v>17.211228729516243</v>
      </c>
      <c r="CN45" s="24">
        <f t="shared" si="12"/>
        <v>105.85969259801143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11.4</v>
      </c>
      <c r="CT45" s="13">
        <f>IF('Données projet'!$A$140&gt;35,CT44+CS45-DB44,IF(A45&lt;'Données projet'!$A$140,$CQ$205^A45,IF(A45='Données projet'!$A$140,'Données projet'!$B$140,CT44+CS45-DB44)))</f>
        <v>169.8</v>
      </c>
      <c r="CU45" s="18">
        <f>CT45*VLOOKUP('Données projet'!$B$13,Paramètres!$A$1:$I$89,3,0)*VLOOKUP('Données projet'!$B$13,Paramètres!$A$1:$I$89,5,0)</f>
        <v>153.63504</v>
      </c>
      <c r="CV45" s="14">
        <f t="shared" si="41"/>
        <v>39.403506785222667</v>
      </c>
      <c r="CW45" s="22">
        <f t="shared" si="13"/>
        <v>336.20880231759617</v>
      </c>
      <c r="CX45" s="62">
        <f t="shared" si="14"/>
        <v>562.73104170042757</v>
      </c>
      <c r="CY45" s="62">
        <f ca="1">AVERAGE(OFFSET($CX$3,0,0,'Données projet'!$E$13+1,1))-AVERAGE(OFFSET($H$3,0,0,'Données projet'!$E$13+1,1))</f>
        <v>499.92116338695428</v>
      </c>
      <c r="CZ45" s="62">
        <f t="shared" si="42"/>
        <v>316.79403154855652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2.2461237952577857</v>
      </c>
      <c r="DH45" s="23">
        <f>EXP(-LN(2)/2)*DH44+(1-EXP(-LN(2)/2))/(LN(2)/2)*DB45*DE45*VLOOKUP('Données projet'!$B$13,Paramètres!$A$1:$I$89,3,0)*0.475*44/12</f>
        <v>4.6217664247941534E-2</v>
      </c>
      <c r="DI45" s="24">
        <f t="shared" si="15"/>
        <v>2.2923414595057272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135.66666666666666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211.70619219850786</v>
      </c>
      <c r="T46" s="62">
        <f t="shared" si="34"/>
        <v>426.883837098247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</v>
      </c>
      <c r="AI46" s="14">
        <f>IF('Données projet'!$A$62&gt;35,AI45+AH46-AQ45,IF(A46&lt;'Données projet'!$A$62,$AF$205^A46,IF(A46='Données projet'!$A$62,'Données projet'!$B$62,AI45+AH46-AQ45)))</f>
        <v>242.0000000000002</v>
      </c>
      <c r="AJ46" s="14">
        <f>AI46*VLOOKUP('Données projet'!$B$10,Paramètres!$A$1:$I$89,3,0)*VLOOKUP('Données projet'!$B$10,Paramètres!$A$1:$I$89,5,0)</f>
        <v>218.96160000000017</v>
      </c>
      <c r="AK46" s="14">
        <f t="shared" si="35"/>
        <v>53.889132503707479</v>
      </c>
      <c r="AL46" s="22">
        <f t="shared" si="4"/>
        <v>475.2150257772908</v>
      </c>
      <c r="AM46" s="62">
        <f t="shared" si="5"/>
        <v>702.89628827293416</v>
      </c>
      <c r="AN46" s="62">
        <f ca="1">AVERAGE(OFFSET($AM$3,0,0,'Données projet'!$E$10+1,1))-AVERAGE(OFFSET($H$3,0,0,'Données projet'!$E$10+1,1))</f>
        <v>327.07074355218322</v>
      </c>
      <c r="AO46" s="62">
        <f t="shared" si="36"/>
        <v>462.01668587029087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6.4448008589153272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6.4448008589153272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8.6</v>
      </c>
      <c r="BD46" s="13">
        <f>IF('Données projet'!$A$88&gt;35,BD45+BC46-BL45,IF(A46&lt;'Données projet'!$A$88,$BA$205^A46,IF(A46='Données projet'!$A$88,'Données projet'!$B$88,BD45+BC46-BL45)))</f>
        <v>183.79999999999993</v>
      </c>
      <c r="BE46" s="14">
        <f>BD46*VLOOKUP('Données projet'!$B$11,Paramètres!$A$1:$I$89,3,0)*VLOOKUP('Données projet'!$B$11,Paramètres!$A$1:$I$89,5,0)</f>
        <v>160.56767999999997</v>
      </c>
      <c r="BF46" s="14">
        <f t="shared" si="37"/>
        <v>40.970530810309882</v>
      </c>
      <c r="BG46" s="22">
        <f t="shared" si="7"/>
        <v>351.01238382795628</v>
      </c>
      <c r="BH46" s="62">
        <f t="shared" si="8"/>
        <v>578.69364632359964</v>
      </c>
      <c r="BI46" s="62">
        <f ca="1">AVERAGE(OFFSET($BH$3,0,0,'Données projet'!$E$11+1,1))-AVERAGE(OFFSET($H$3,0,0,'Données projet'!$E$11+1,1))</f>
        <v>378.51861272969165</v>
      </c>
      <c r="BJ46" s="62">
        <f t="shared" si="38"/>
        <v>387.42368617035459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9.9820655178129236</v>
      </c>
      <c r="BR46" s="23">
        <f>EXP(-LN(2)/2)*BR45+(1-EXP(-LN(2)/2))/(LN(2)/2)*BL46*BO46*VLOOKUP('Données projet'!$B$11,Paramètres!$A$1:$I$89,3,0)*0.475*44/12</f>
        <v>0.19826120170707609</v>
      </c>
      <c r="BS46" s="24">
        <f t="shared" si="9"/>
        <v>10.18032671952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5.6843418860808015E-14</v>
      </c>
      <c r="BZ46" s="14">
        <f>BY46*VLOOKUP('Données projet'!$B$12,Paramètres!$A$1:$I$89,3,0)*VLOOKUP('Données projet'!$B$12,Paramètres!$A$1:$I$89,5,0)</f>
        <v>3.3992364478763198E-14</v>
      </c>
      <c r="CA46" s="14">
        <f t="shared" si="39"/>
        <v>5.790027782444094E-13</v>
      </c>
      <c r="CB46" s="22">
        <f t="shared" si="10"/>
        <v>1.0676332069095257E-12</v>
      </c>
      <c r="CC46" s="62">
        <f t="shared" si="11"/>
        <v>227.68126249564446</v>
      </c>
      <c r="CD46" s="62">
        <f ca="1">AVERAGE(OFFSET($CC$3,0,0,'Données projet'!$E$12+1,1))-AVERAGE(OFFSET($H$3,0,0,'Données projet'!$E$12+1,1))</f>
        <v>225.71928466161592</v>
      </c>
      <c r="CE46" s="62">
        <f t="shared" si="40"/>
        <v>385.98818770742025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84.560211734998092</v>
      </c>
      <c r="CL46" s="23">
        <f>EXP(-LN(2)/25)*CL45+(1-EXP(-LN(2)/25))/(LN(2)/25)*Calculateur!CG46*Calculateur!CI46*VLOOKUP('Données projet'!$B$12,Paramètres!$A$1:$I$89,3,0)*0.475*44/12</f>
        <v>2.3313681264220723</v>
      </c>
      <c r="CM46" s="23">
        <f>EXP(-LN(2)/2)*CM45+(1-EXP(-LN(2)/2))/(LN(2)/2)*CG46*CJ46*VLOOKUP('Données projet'!$B$12,Paramètres!$A$1:$I$89,3,0)*0.475*44/12</f>
        <v>12.170176547193662</v>
      </c>
      <c r="CN46" s="24">
        <f t="shared" si="12"/>
        <v>99.061756408613832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11.4</v>
      </c>
      <c r="CT46" s="13">
        <f>IF('Données projet'!$A$140&gt;35,CT45+CS46-DB45,IF(A46&lt;'Données projet'!$A$140,$CQ$205^A46,IF(A46='Données projet'!$A$140,'Données projet'!$B$140,CT45+CS46-DB45)))</f>
        <v>181.20000000000002</v>
      </c>
      <c r="CU46" s="18">
        <f>CT46*VLOOKUP('Données projet'!$B$13,Paramètres!$A$1:$I$89,3,0)*VLOOKUP('Données projet'!$B$13,Paramètres!$A$1:$I$89,5,0)</f>
        <v>163.94976</v>
      </c>
      <c r="CV46" s="14">
        <f t="shared" si="41"/>
        <v>41.732126457893308</v>
      </c>
      <c r="CW46" s="22">
        <f t="shared" si="13"/>
        <v>358.22928558083089</v>
      </c>
      <c r="CX46" s="62">
        <f t="shared" si="14"/>
        <v>585.91054807647424</v>
      </c>
      <c r="CY46" s="62">
        <f ca="1">AVERAGE(OFFSET($CX$3,0,0,'Données projet'!$E$13+1,1))-AVERAGE(OFFSET($H$3,0,0,'Données projet'!$E$13+1,1))</f>
        <v>499.92116338695428</v>
      </c>
      <c r="CZ46" s="62">
        <f t="shared" si="42"/>
        <v>316.79403154855652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2.1847034219579449</v>
      </c>
      <c r="DH46" s="23">
        <f>EXP(-LN(2)/2)*DH45+(1-EXP(-LN(2)/2))/(LN(2)/2)*DB46*DE46*VLOOKUP('Données projet'!$B$13,Paramètres!$A$1:$I$89,3,0)*0.475*44/12</f>
        <v>3.2680823800322514E-2</v>
      </c>
      <c r="DI46" s="24">
        <f t="shared" si="15"/>
        <v>2.2173842457582675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135.66666666666666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211.70619219850786</v>
      </c>
      <c r="T47" s="62">
        <f t="shared" si="34"/>
        <v>426.883837098247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</v>
      </c>
      <c r="AI47" s="14">
        <f>IF('Données projet'!$A$62&gt;35,AI46+AH47-AQ46,IF(A47&lt;'Données projet'!$A$62,$AF$205^A47,IF(A47='Données projet'!$A$62,'Données projet'!$B$62,AI46+AH47-AQ46)))</f>
        <v>247.0000000000002</v>
      </c>
      <c r="AJ47" s="14">
        <f>AI47*VLOOKUP('Données projet'!$B$10,Paramètres!$A$1:$I$89,3,0)*VLOOKUP('Données projet'!$B$10,Paramètres!$A$1:$I$89,5,0)</f>
        <v>223.48560000000018</v>
      </c>
      <c r="AK47" s="14">
        <f t="shared" si="35"/>
        <v>54.87176918107798</v>
      </c>
      <c r="AL47" s="22">
        <f t="shared" si="4"/>
        <v>484.80575132371115</v>
      </c>
      <c r="AM47" s="62">
        <f t="shared" si="5"/>
        <v>713.62593047234668</v>
      </c>
      <c r="AN47" s="62">
        <f ca="1">AVERAGE(OFFSET($AM$3,0,0,'Données projet'!$E$10+1,1))-AVERAGE(OFFSET($H$3,0,0,'Données projet'!$E$10+1,1))</f>
        <v>327.07074355218322</v>
      </c>
      <c r="AO47" s="62">
        <f t="shared" si="36"/>
        <v>462.01668587029087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6.318422245012373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6.318422245012373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8.6</v>
      </c>
      <c r="BD47" s="13">
        <f>IF('Données projet'!$A$88&gt;35,BD46+BC47-BL46,IF(A47&lt;'Données projet'!$A$88,$BA$205^A47,IF(A47='Données projet'!$A$88,'Données projet'!$B$88,BD46+BC47-BL46)))</f>
        <v>192.39999999999992</v>
      </c>
      <c r="BE47" s="14">
        <f>BD47*VLOOKUP('Données projet'!$B$11,Paramètres!$A$1:$I$89,3,0)*VLOOKUP('Données projet'!$B$11,Paramètres!$A$1:$I$89,5,0)</f>
        <v>168.08063999999996</v>
      </c>
      <c r="BF47" s="14">
        <f t="shared" si="37"/>
        <v>42.659867131343425</v>
      </c>
      <c r="BG47" s="22">
        <f t="shared" si="7"/>
        <v>367.03971658708974</v>
      </c>
      <c r="BH47" s="62">
        <f t="shared" si="8"/>
        <v>595.85989573572533</v>
      </c>
      <c r="BI47" s="62">
        <f ca="1">AVERAGE(OFFSET($BH$3,0,0,'Données projet'!$E$11+1,1))-AVERAGE(OFFSET($H$3,0,0,'Données projet'!$E$11+1,1))</f>
        <v>378.51861272969165</v>
      </c>
      <c r="BJ47" s="62">
        <f t="shared" si="38"/>
        <v>387.42368617035459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9.7091054112943187</v>
      </c>
      <c r="BR47" s="23">
        <f>EXP(-LN(2)/2)*BR46+(1-EXP(-LN(2)/2))/(LN(2)/2)*BL47*BO47*VLOOKUP('Données projet'!$B$11,Paramètres!$A$1:$I$89,3,0)*0.475*44/12</f>
        <v>0.14019184017326741</v>
      </c>
      <c r="BS47" s="24">
        <f t="shared" si="9"/>
        <v>9.8492972514675863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5.6843418860808015E-14</v>
      </c>
      <c r="BZ47" s="14">
        <f>BY47*VLOOKUP('Données projet'!$B$12,Paramètres!$A$1:$I$89,3,0)*VLOOKUP('Données projet'!$B$12,Paramètres!$A$1:$I$89,5,0)</f>
        <v>3.3992364478763198E-14</v>
      </c>
      <c r="CA47" s="14">
        <f t="shared" si="39"/>
        <v>5.790027782444094E-13</v>
      </c>
      <c r="CB47" s="22">
        <f t="shared" si="10"/>
        <v>1.0676332069095257E-12</v>
      </c>
      <c r="CC47" s="62">
        <f t="shared" si="11"/>
        <v>228.82017914863664</v>
      </c>
      <c r="CD47" s="62">
        <f ca="1">AVERAGE(OFFSET($CC$3,0,0,'Données projet'!$E$12+1,1))-AVERAGE(OFFSET($H$3,0,0,'Données projet'!$E$12+1,1))</f>
        <v>225.71928466161592</v>
      </c>
      <c r="CE47" s="62">
        <f t="shared" si="40"/>
        <v>385.98818770742025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82.902037559511172</v>
      </c>
      <c r="CL47" s="23">
        <f>EXP(-LN(2)/25)*CL46+(1-EXP(-LN(2)/25))/(LN(2)/25)*Calculateur!CG47*Calculateur!CI47*VLOOKUP('Données projet'!$B$12,Paramètres!$A$1:$I$89,3,0)*0.475*44/12</f>
        <v>2.2676167424037392</v>
      </c>
      <c r="CM47" s="23">
        <f>EXP(-LN(2)/2)*CM46+(1-EXP(-LN(2)/2))/(LN(2)/2)*CG47*CJ47*VLOOKUP('Données projet'!$B$12,Paramètres!$A$1:$I$89,3,0)*0.475*44/12</f>
        <v>8.6056143647581216</v>
      </c>
      <c r="CN47" s="24">
        <f t="shared" si="12"/>
        <v>93.775268666673043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11.4</v>
      </c>
      <c r="CT47" s="13">
        <f>IF('Données projet'!$A$140&gt;35,CT46+CS47-DB46,IF(A47&lt;'Données projet'!$A$140,$CQ$205^A47,IF(A47='Données projet'!$A$140,'Données projet'!$B$140,CT46+CS47-DB46)))</f>
        <v>192.60000000000002</v>
      </c>
      <c r="CU47" s="18">
        <f>CT47*VLOOKUP('Données projet'!$B$13,Paramètres!$A$1:$I$89,3,0)*VLOOKUP('Données projet'!$B$13,Paramètres!$A$1:$I$89,5,0)</f>
        <v>174.26447999999999</v>
      </c>
      <c r="CV47" s="14">
        <f t="shared" si="41"/>
        <v>44.043743683739521</v>
      </c>
      <c r="CW47" s="22">
        <f t="shared" si="13"/>
        <v>380.22015624917964</v>
      </c>
      <c r="CX47" s="62">
        <f t="shared" si="14"/>
        <v>609.04033539781517</v>
      </c>
      <c r="CY47" s="62">
        <f ca="1">AVERAGE(OFFSET($CX$3,0,0,'Données projet'!$E$13+1,1))-AVERAGE(OFFSET($H$3,0,0,'Données projet'!$E$13+1,1))</f>
        <v>499.92116338695428</v>
      </c>
      <c r="CZ47" s="62">
        <f t="shared" si="42"/>
        <v>316.79403154855652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2.1249625919959452</v>
      </c>
      <c r="DH47" s="23">
        <f>EXP(-LN(2)/2)*DH46+(1-EXP(-LN(2)/2))/(LN(2)/2)*DB47*DE47*VLOOKUP('Données projet'!$B$13,Paramètres!$A$1:$I$89,3,0)*0.475*44/12</f>
        <v>2.3108832123970767E-2</v>
      </c>
      <c r="DI47" s="24">
        <f t="shared" si="15"/>
        <v>2.1480714241199159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135.66666666666666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211.70619219850786</v>
      </c>
      <c r="T48" s="62">
        <f t="shared" si="34"/>
        <v>426.883837098247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252</v>
      </c>
      <c r="AG48" s="13">
        <f>VLOOKUP(A48,'Données projet'!$A$61:$I$81,9,0)</f>
        <v>5</v>
      </c>
      <c r="AH48" s="13">
        <f t="array" ref="AH48">INDEX(AG:AG,MIN(IF(ISNUMBER(AG48:AG244),ROW(AG48:AG244),"")))</f>
        <v>5</v>
      </c>
      <c r="AI48" s="14">
        <f>IF('Données projet'!$A$62&gt;35,AI47+AH48-AQ47,IF(A48&lt;'Données projet'!$A$62,$AF$205^A48,IF(A48='Données projet'!$A$62,'Données projet'!$B$62,AI47+AH48-AQ47)))</f>
        <v>252.0000000000002</v>
      </c>
      <c r="AJ48" s="14">
        <f>AI48*VLOOKUP('Données projet'!$B$10,Paramètres!$A$1:$I$89,3,0)*VLOOKUP('Données projet'!$B$10,Paramètres!$A$1:$I$89,5,0)</f>
        <v>228.00960000000018</v>
      </c>
      <c r="AK48" s="14">
        <f t="shared" si="35"/>
        <v>55.852093054619878</v>
      </c>
      <c r="AL48" s="22">
        <f t="shared" si="4"/>
        <v>494.39244873679655</v>
      </c>
      <c r="AM48" s="62">
        <f t="shared" si="5"/>
        <v>724.3317868807311</v>
      </c>
      <c r="AN48" s="62">
        <f ca="1">AVERAGE(OFFSET($AM$3,0,0,'Données projet'!$E$10+1,1))-AVERAGE(OFFSET($H$3,0,0,'Données projet'!$E$10+1,1))</f>
        <v>327.07074355218322</v>
      </c>
      <c r="AO48" s="62">
        <f t="shared" si="36"/>
        <v>462.01668587029087</v>
      </c>
      <c r="AP48" s="16">
        <f>IF(ISNA(VLOOKUP(A48,'Données projet'!$A$61:$I$81,3,0)),0,VLOOKUP(A48,'Données projet'!$A$61:$I$81,3,0))</f>
        <v>9</v>
      </c>
      <c r="AQ48" s="16">
        <f>IF(ISNA(VLOOKUP(A48,'Données projet'!$A$61:$I$81,4,0)),0,VLOOKUP(A48,'Données projet'!$A$61:$I$81,4,0))</f>
        <v>252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6.1945218386447127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6.1945218386447127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201</v>
      </c>
      <c r="BB48" s="13">
        <f>VLOOKUP(A48,'Données projet'!$A$87:$I$107,9,0)</f>
        <v>8.6</v>
      </c>
      <c r="BC48" s="13">
        <f t="array" ref="BC48">INDEX(BB:BB,MIN(IF(ISNUMBER(BB48:BB244),ROW(BB48:BB244),"")))</f>
        <v>8.6</v>
      </c>
      <c r="BD48" s="13">
        <f>IF('Données projet'!$A$88&gt;35,BD47+BC48-BL47,IF(A48&lt;'Données projet'!$A$88,$BA$205^A48,IF(A48='Données projet'!$A$88,'Données projet'!$B$88,BD47+BC48-BL47)))</f>
        <v>200.99999999999991</v>
      </c>
      <c r="BE48" s="14">
        <f>BD48*VLOOKUP('Données projet'!$B$11,Paramètres!$A$1:$I$89,3,0)*VLOOKUP('Données projet'!$B$11,Paramètres!$A$1:$I$89,5,0)</f>
        <v>175.59359999999995</v>
      </c>
      <c r="BF48" s="14">
        <f t="shared" si="37"/>
        <v>44.340433728638573</v>
      </c>
      <c r="BG48" s="22">
        <f t="shared" si="7"/>
        <v>383.05177541071203</v>
      </c>
      <c r="BH48" s="62">
        <f t="shared" si="8"/>
        <v>612.99111355464652</v>
      </c>
      <c r="BI48" s="62">
        <f ca="1">AVERAGE(OFFSET($BH$3,0,0,'Données projet'!$E$11+1,1))-AVERAGE(OFFSET($H$3,0,0,'Données projet'!$E$11+1,1))</f>
        <v>378.51861272969165</v>
      </c>
      <c r="BJ48" s="62">
        <f t="shared" si="38"/>
        <v>387.42368617035459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31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9.4436094132428128</v>
      </c>
      <c r="BR48" s="23">
        <f>EXP(-LN(2)/2)*BR47+(1-EXP(-LN(2)/2))/(LN(2)/2)*BL48*BO48*VLOOKUP('Données projet'!$B$11,Paramètres!$A$1:$I$89,3,0)*0.475*44/12</f>
        <v>9.9130600853538045E-2</v>
      </c>
      <c r="BS48" s="24">
        <f t="shared" si="9"/>
        <v>9.542740014096351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5.6843418860808015E-14</v>
      </c>
      <c r="BZ48" s="14">
        <f>BY48*VLOOKUP('Données projet'!$B$12,Paramètres!$A$1:$I$89,3,0)*VLOOKUP('Données projet'!$B$12,Paramètres!$A$1:$I$89,5,0)</f>
        <v>3.3992364478763198E-14</v>
      </c>
      <c r="CA48" s="14">
        <f t="shared" si="39"/>
        <v>5.790027782444094E-13</v>
      </c>
      <c r="CB48" s="22">
        <f t="shared" si="10"/>
        <v>1.0676332069095257E-12</v>
      </c>
      <c r="CC48" s="62">
        <f t="shared" si="11"/>
        <v>229.9393381439356</v>
      </c>
      <c r="CD48" s="62">
        <f ca="1">AVERAGE(OFFSET($CC$3,0,0,'Données projet'!$E$12+1,1))-AVERAGE(OFFSET($H$3,0,0,'Données projet'!$E$12+1,1))</f>
        <v>225.71928466161592</v>
      </c>
      <c r="CE48" s="62">
        <f t="shared" si="40"/>
        <v>385.98818770742025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81.276379168219165</v>
      </c>
      <c r="CL48" s="23">
        <f>EXP(-LN(2)/25)*CL47+(1-EXP(-LN(2)/25))/(LN(2)/25)*Calculateur!CG48*Calculateur!CI48*VLOOKUP('Données projet'!$B$12,Paramètres!$A$1:$I$89,3,0)*0.475*44/12</f>
        <v>2.2056086433339273</v>
      </c>
      <c r="CM48" s="23">
        <f>EXP(-LN(2)/2)*CM47+(1-EXP(-LN(2)/2))/(LN(2)/2)*CG48*CJ48*VLOOKUP('Données projet'!$B$12,Paramètres!$A$1:$I$89,3,0)*0.475*44/12</f>
        <v>6.0850882735968312</v>
      </c>
      <c r="CN48" s="24">
        <f t="shared" si="12"/>
        <v>89.567076085149921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204</v>
      </c>
      <c r="CR48" s="13">
        <f>VLOOKUP(A48,'Données projet'!$A$139:$I$159,9,0)</f>
        <v>11.4</v>
      </c>
      <c r="CS48" s="13">
        <f t="array" ref="CS48">INDEX(CR:CR,MIN(IF(ISNUMBER(CR48:CR244),ROW(CR48:CR244),"")))</f>
        <v>11.4</v>
      </c>
      <c r="CT48" s="13">
        <f>IF('Données projet'!$A$140&gt;35,CT47+CS48-DB47,IF(A48&lt;'Données projet'!$A$140,$CQ$205^A48,IF(A48='Données projet'!$A$140,'Données projet'!$B$140,CT47+CS48-DB47)))</f>
        <v>204.00000000000003</v>
      </c>
      <c r="CU48" s="18">
        <f>CT48*VLOOKUP('Données projet'!$B$13,Paramètres!$A$1:$I$89,3,0)*VLOOKUP('Données projet'!$B$13,Paramètres!$A$1:$I$89,5,0)</f>
        <v>184.57920000000001</v>
      </c>
      <c r="CV48" s="14">
        <f t="shared" si="41"/>
        <v>46.339479465836661</v>
      </c>
      <c r="CW48" s="22">
        <f t="shared" si="13"/>
        <v>402.18336673633218</v>
      </c>
      <c r="CX48" s="62">
        <f t="shared" si="14"/>
        <v>632.12270488026672</v>
      </c>
      <c r="CY48" s="62">
        <f ca="1">AVERAGE(OFFSET($CX$3,0,0,'Données projet'!$E$13+1,1))-AVERAGE(OFFSET($H$3,0,0,'Données projet'!$E$13+1,1))</f>
        <v>499.92116338695428</v>
      </c>
      <c r="CZ48" s="62">
        <f t="shared" si="42"/>
        <v>316.79403154855652</v>
      </c>
      <c r="DA48" s="16">
        <f>IF(ISNA(VLOOKUP(A48,'Données projet'!$A$139:$I$159,3,0)),0,VLOOKUP(A48,'Données projet'!$A$139:$I$159,3,0))</f>
        <v>6</v>
      </c>
      <c r="DB48" s="16">
        <f>IF(ISNA(VLOOKUP(A48,'Données projet'!$A$139:$I$159,4,0)),0,VLOOKUP(A48,'Données projet'!$A$139:$I$159,4,0))</f>
        <v>28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2.06685537817089</v>
      </c>
      <c r="DH48" s="23">
        <f>EXP(-LN(2)/2)*DH47+(1-EXP(-LN(2)/2))/(LN(2)/2)*DB48*DE48*VLOOKUP('Données projet'!$B$13,Paramètres!$A$1:$I$89,3,0)*0.475*44/12</f>
        <v>1.6340411900161257E-2</v>
      </c>
      <c r="DI48" s="24">
        <f t="shared" si="15"/>
        <v>2.0831957900710512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135.66666666666666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211.70619219850786</v>
      </c>
      <c r="T49" s="62">
        <f t="shared" si="34"/>
        <v>426.883837098247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1.9895196601282805E-13</v>
      </c>
      <c r="AJ49" s="14">
        <f>AI49*VLOOKUP('Données projet'!$B$10,Paramètres!$A$1:$I$89,3,0)*VLOOKUP('Données projet'!$B$10,Paramètres!$A$1:$I$89,5,0)</f>
        <v>1.8001173884840681E-13</v>
      </c>
      <c r="AK49" s="14">
        <f t="shared" si="35"/>
        <v>2.5254331426407198E-12</v>
      </c>
      <c r="AL49" s="22">
        <f t="shared" si="4"/>
        <v>4.7119831685935622E-12</v>
      </c>
      <c r="AM49" s="62">
        <f t="shared" si="5"/>
        <v>231.03908223273442</v>
      </c>
      <c r="AN49" s="62">
        <f ca="1">AVERAGE(OFFSET($AM$3,0,0,'Données projet'!$E$10+1,1))-AVERAGE(OFFSET($H$3,0,0,'Données projet'!$E$10+1,1))</f>
        <v>327.07074355218322</v>
      </c>
      <c r="AO49" s="62">
        <f t="shared" si="36"/>
        <v>462.01668587029087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6.0730510436741367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6.0730510436741367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7.8</v>
      </c>
      <c r="BD49" s="13">
        <f>IF('Données projet'!$A$88&gt;35,BD48+BC49-BL48,IF(A49&lt;'Données projet'!$A$88,$BA$205^A49,IF(A49='Données projet'!$A$88,'Données projet'!$B$88,BD48+BC49-BL48)))</f>
        <v>177.79999999999993</v>
      </c>
      <c r="BE49" s="14">
        <f>BD49*VLOOKUP('Données projet'!$B$11,Paramètres!$A$1:$I$89,3,0)*VLOOKUP('Données projet'!$B$11,Paramètres!$A$1:$I$89,5,0)</f>
        <v>155.32607999999996</v>
      </c>
      <c r="BF49" s="14">
        <f t="shared" si="37"/>
        <v>39.786487601092411</v>
      </c>
      <c r="BG49" s="22">
        <f t="shared" si="7"/>
        <v>339.82105523856922</v>
      </c>
      <c r="BH49" s="62">
        <f t="shared" si="8"/>
        <v>570.86013747129891</v>
      </c>
      <c r="BI49" s="62">
        <f ca="1">AVERAGE(OFFSET($BH$3,0,0,'Données projet'!$E$11+1,1))-AVERAGE(OFFSET($H$3,0,0,'Données projet'!$E$11+1,1))</f>
        <v>378.51861272969165</v>
      </c>
      <c r="BJ49" s="62">
        <f t="shared" si="38"/>
        <v>387.42368617035459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9.1853734172198536</v>
      </c>
      <c r="BR49" s="23">
        <f>EXP(-LN(2)/2)*BR48+(1-EXP(-LN(2)/2))/(LN(2)/2)*BL49*BO49*VLOOKUP('Données projet'!$B$11,Paramètres!$A$1:$I$89,3,0)*0.475*44/12</f>
        <v>7.0095920086633706E-2</v>
      </c>
      <c r="BS49" s="24">
        <f t="shared" si="9"/>
        <v>9.2554693373064865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5.6843418860808015E-14</v>
      </c>
      <c r="BZ49" s="14">
        <f>BY49*VLOOKUP('Données projet'!$B$12,Paramètres!$A$1:$I$89,3,0)*VLOOKUP('Données projet'!$B$12,Paramètres!$A$1:$I$89,5,0)</f>
        <v>3.3992364478763198E-14</v>
      </c>
      <c r="CA49" s="14">
        <f t="shared" si="39"/>
        <v>5.790027782444094E-13</v>
      </c>
      <c r="CB49" s="22">
        <f t="shared" si="10"/>
        <v>1.0676332069095257E-12</v>
      </c>
      <c r="CC49" s="62">
        <f t="shared" si="11"/>
        <v>231.03908223273078</v>
      </c>
      <c r="CD49" s="62">
        <f ca="1">AVERAGE(OFFSET($CC$3,0,0,'Données projet'!$E$12+1,1))-AVERAGE(OFFSET($H$3,0,0,'Données projet'!$E$12+1,1))</f>
        <v>225.71928466161592</v>
      </c>
      <c r="CE49" s="62">
        <f t="shared" si="40"/>
        <v>385.98818770742025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79.68259894642668</v>
      </c>
      <c r="CL49" s="23">
        <f>EXP(-LN(2)/25)*CL48+(1-EXP(-LN(2)/25))/(LN(2)/25)*Calculateur!CG49*Calculateur!CI49*VLOOKUP('Données projet'!$B$12,Paramètres!$A$1:$I$89,3,0)*0.475*44/12</f>
        <v>2.1452961589940434</v>
      </c>
      <c r="CM49" s="23">
        <f>EXP(-LN(2)/2)*CM48+(1-EXP(-LN(2)/2))/(LN(2)/2)*CG49*CJ49*VLOOKUP('Données projet'!$B$12,Paramètres!$A$1:$I$89,3,0)*0.475*44/12</f>
        <v>4.3028071823790608</v>
      </c>
      <c r="CN49" s="24">
        <f t="shared" si="12"/>
        <v>86.130702287799778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11</v>
      </c>
      <c r="CT49" s="13">
        <f>IF('Données projet'!$A$140&gt;35,CT48+CS49-DB48,IF(A49&lt;'Données projet'!$A$140,$CQ$205^A49,IF(A49='Données projet'!$A$140,'Données projet'!$B$140,CT48+CS49-DB48)))</f>
        <v>187.00000000000003</v>
      </c>
      <c r="CU49" s="18">
        <f>CT49*VLOOKUP('Données projet'!$B$13,Paramètres!$A$1:$I$89,3,0)*VLOOKUP('Données projet'!$B$13,Paramètres!$A$1:$I$89,5,0)</f>
        <v>169.19760000000002</v>
      </c>
      <c r="CV49" s="14">
        <f t="shared" si="41"/>
        <v>42.910263223432885</v>
      </c>
      <c r="CW49" s="22">
        <f t="shared" si="13"/>
        <v>369.42119511414558</v>
      </c>
      <c r="CX49" s="62">
        <f t="shared" si="14"/>
        <v>600.46027734687527</v>
      </c>
      <c r="CY49" s="62">
        <f ca="1">AVERAGE(OFFSET($CX$3,0,0,'Données projet'!$E$13+1,1))-AVERAGE(OFFSET($H$3,0,0,'Données projet'!$E$13+1,1))</f>
        <v>499.92116338695428</v>
      </c>
      <c r="CZ49" s="62">
        <f t="shared" si="42"/>
        <v>316.79403154855652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2.0103371091636064</v>
      </c>
      <c r="DH49" s="23">
        <f>EXP(-LN(2)/2)*DH48+(1-EXP(-LN(2)/2))/(LN(2)/2)*DB49*DE49*VLOOKUP('Données projet'!$B$13,Paramètres!$A$1:$I$89,3,0)*0.475*44/12</f>
        <v>1.1554416061985383E-2</v>
      </c>
      <c r="DI49" s="24">
        <f t="shared" si="15"/>
        <v>2.021891525225592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135.66666666666666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211.70619219850786</v>
      </c>
      <c r="T50" s="62">
        <f t="shared" si="34"/>
        <v>426.883837098247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1.9895196601282805E-13</v>
      </c>
      <c r="AJ50" s="14">
        <f>AI50*VLOOKUP('Données projet'!$B$10,Paramètres!$A$1:$I$89,3,0)*VLOOKUP('Données projet'!$B$10,Paramètres!$A$1:$I$89,5,0)</f>
        <v>1.8001173884840681E-13</v>
      </c>
      <c r="AK50" s="14">
        <f t="shared" si="35"/>
        <v>2.5254331426407198E-12</v>
      </c>
      <c r="AL50" s="22">
        <f t="shared" si="4"/>
        <v>4.7119831685935622E-12</v>
      </c>
      <c r="AM50" s="62">
        <f t="shared" si="5"/>
        <v>232.11974822024845</v>
      </c>
      <c r="AN50" s="62">
        <f ca="1">AVERAGE(OFFSET($AM$3,0,0,'Données projet'!$E$10+1,1))-AVERAGE(OFFSET($H$3,0,0,'Données projet'!$E$10+1,1))</f>
        <v>327.07074355218322</v>
      </c>
      <c r="AO50" s="62">
        <f t="shared" si="36"/>
        <v>462.01668587029087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5.953962216903065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5.953962216903065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7.8</v>
      </c>
      <c r="BD50" s="13">
        <f>IF('Données projet'!$A$88&gt;35,BD49+BC50-BL49,IF(A50&lt;'Données projet'!$A$88,$BA$205^A50,IF(A50='Données projet'!$A$88,'Données projet'!$B$88,BD49+BC50-BL49)))</f>
        <v>185.59999999999994</v>
      </c>
      <c r="BE50" s="14">
        <f>BD50*VLOOKUP('Données projet'!$B$11,Paramètres!$A$1:$I$89,3,0)*VLOOKUP('Données projet'!$B$11,Paramètres!$A$1:$I$89,5,0)</f>
        <v>162.14015999999998</v>
      </c>
      <c r="BF50" s="14">
        <f t="shared" si="37"/>
        <v>41.324860537333677</v>
      </c>
      <c r="BG50" s="22">
        <f t="shared" si="7"/>
        <v>354.36824410252279</v>
      </c>
      <c r="BH50" s="62">
        <f t="shared" si="8"/>
        <v>586.48799232276656</v>
      </c>
      <c r="BI50" s="62">
        <f ca="1">AVERAGE(OFFSET($BH$3,0,0,'Données projet'!$E$11+1,1))-AVERAGE(OFFSET($H$3,0,0,'Données projet'!$E$11+1,1))</f>
        <v>378.51861272969165</v>
      </c>
      <c r="BJ50" s="62">
        <f t="shared" si="38"/>
        <v>387.42368617035459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8.9341988980881819</v>
      </c>
      <c r="BR50" s="23">
        <f>EXP(-LN(2)/2)*BR49+(1-EXP(-LN(2)/2))/(LN(2)/2)*BL50*BO50*VLOOKUP('Données projet'!$B$11,Paramètres!$A$1:$I$89,3,0)*0.475*44/12</f>
        <v>4.9565300426769023E-2</v>
      </c>
      <c r="BS50" s="24">
        <f t="shared" si="9"/>
        <v>8.983764198514951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5.6843418860808015E-14</v>
      </c>
      <c r="BZ50" s="14">
        <f>BY50*VLOOKUP('Données projet'!$B$12,Paramètres!$A$1:$I$89,3,0)*VLOOKUP('Données projet'!$B$12,Paramètres!$A$1:$I$89,5,0)</f>
        <v>3.3992364478763198E-14</v>
      </c>
      <c r="CA50" s="14">
        <f t="shared" si="39"/>
        <v>5.790027782444094E-13</v>
      </c>
      <c r="CB50" s="22">
        <f t="shared" si="10"/>
        <v>1.0676332069095257E-12</v>
      </c>
      <c r="CC50" s="62">
        <f t="shared" si="11"/>
        <v>232.11974822024482</v>
      </c>
      <c r="CD50" s="62">
        <f ca="1">AVERAGE(OFFSET($CC$3,0,0,'Données projet'!$E$12+1,1))-AVERAGE(OFFSET($H$3,0,0,'Données projet'!$E$12+1,1))</f>
        <v>225.71928466161592</v>
      </c>
      <c r="CE50" s="62">
        <f t="shared" si="40"/>
        <v>385.98818770742025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78.120071782673605</v>
      </c>
      <c r="CL50" s="23">
        <f>EXP(-LN(2)/25)*CL49+(1-EXP(-LN(2)/25))/(LN(2)/25)*Calculateur!CG50*Calculateur!CI50*VLOOKUP('Données projet'!$B$12,Paramètres!$A$1:$I$89,3,0)*0.475*44/12</f>
        <v>2.0866329227101295</v>
      </c>
      <c r="CM50" s="23">
        <f>EXP(-LN(2)/2)*CM49+(1-EXP(-LN(2)/2))/(LN(2)/2)*CG50*CJ50*VLOOKUP('Données projet'!$B$12,Paramètres!$A$1:$I$89,3,0)*0.475*44/12</f>
        <v>3.0425441367984156</v>
      </c>
      <c r="CN50" s="24">
        <f t="shared" si="12"/>
        <v>83.249248842182141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11</v>
      </c>
      <c r="CT50" s="13">
        <f>IF('Données projet'!$A$140&gt;35,CT49+CS50-DB49,IF(A50&lt;'Données projet'!$A$140,$CQ$205^A50,IF(A50='Données projet'!$A$140,'Données projet'!$B$140,CT49+CS50-DB49)))</f>
        <v>198.00000000000003</v>
      </c>
      <c r="CU50" s="18">
        <f>CT50*VLOOKUP('Données projet'!$B$13,Paramètres!$A$1:$I$89,3,0)*VLOOKUP('Données projet'!$B$13,Paramètres!$A$1:$I$89,5,0)</f>
        <v>179.15040000000002</v>
      </c>
      <c r="CV50" s="14">
        <f t="shared" si="41"/>
        <v>45.133113803437304</v>
      </c>
      <c r="CW50" s="22">
        <f t="shared" si="13"/>
        <v>390.62711987431999</v>
      </c>
      <c r="CX50" s="62">
        <f t="shared" si="14"/>
        <v>622.74686809456375</v>
      </c>
      <c r="CY50" s="62">
        <f ca="1">AVERAGE(OFFSET($CX$3,0,0,'Données projet'!$E$13+1,1))-AVERAGE(OFFSET($H$3,0,0,'Données projet'!$E$13+1,1))</f>
        <v>499.92116338695428</v>
      </c>
      <c r="CZ50" s="62">
        <f t="shared" si="42"/>
        <v>316.79403154855652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1.9553643351944938</v>
      </c>
      <c r="DH50" s="23">
        <f>EXP(-LN(2)/2)*DH49+(1-EXP(-LN(2)/2))/(LN(2)/2)*DB50*DE50*VLOOKUP('Données projet'!$B$13,Paramètres!$A$1:$I$89,3,0)*0.475*44/12</f>
        <v>8.1702059500806286E-3</v>
      </c>
      <c r="DI50" s="24">
        <f t="shared" si="15"/>
        <v>1.9635345411445744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135.66666666666666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211.70619219850786</v>
      </c>
      <c r="T51" s="62">
        <f t="shared" si="34"/>
        <v>426.883837098247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1.9895196601282805E-13</v>
      </c>
      <c r="AJ51" s="14">
        <f>AI51*VLOOKUP('Données projet'!$B$10,Paramètres!$A$1:$I$89,3,0)*VLOOKUP('Données projet'!$B$10,Paramètres!$A$1:$I$89,5,0)</f>
        <v>1.8001173884840681E-13</v>
      </c>
      <c r="AK51" s="14">
        <f t="shared" si="35"/>
        <v>2.5254331426407198E-12</v>
      </c>
      <c r="AL51" s="22">
        <f t="shared" si="4"/>
        <v>4.7119831685935622E-12</v>
      </c>
      <c r="AM51" s="62">
        <f t="shared" si="5"/>
        <v>233.18166706888627</v>
      </c>
      <c r="AN51" s="62">
        <f ca="1">AVERAGE(OFFSET($AM$3,0,0,'Données projet'!$E$10+1,1))-AVERAGE(OFFSET($H$3,0,0,'Données projet'!$E$10+1,1))</f>
        <v>327.07074355218322</v>
      </c>
      <c r="AO51" s="62">
        <f t="shared" si="36"/>
        <v>462.01668587029087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5.8372086493879616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5.8372086493879616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7.8</v>
      </c>
      <c r="BD51" s="13">
        <f>IF('Données projet'!$A$88&gt;35,BD50+BC51-BL50,IF(A51&lt;'Données projet'!$A$88,$BA$205^A51,IF(A51='Données projet'!$A$88,'Données projet'!$B$88,BD50+BC51-BL50)))</f>
        <v>193.39999999999995</v>
      </c>
      <c r="BE51" s="14">
        <f>BD51*VLOOKUP('Données projet'!$B$11,Paramètres!$A$1:$I$89,3,0)*VLOOKUP('Données projet'!$B$11,Paramètres!$A$1:$I$89,5,0)</f>
        <v>168.95424</v>
      </c>
      <c r="BF51" s="14">
        <f t="shared" si="37"/>
        <v>42.855724087026708</v>
      </c>
      <c r="BG51" s="22">
        <f t="shared" si="7"/>
        <v>368.90235411823818</v>
      </c>
      <c r="BH51" s="62">
        <f t="shared" si="8"/>
        <v>602.08402118711979</v>
      </c>
      <c r="BI51" s="62">
        <f ca="1">AVERAGE(OFFSET($BH$3,0,0,'Données projet'!$E$11+1,1))-AVERAGE(OFFSET($H$3,0,0,'Données projet'!$E$11+1,1))</f>
        <v>378.51861272969165</v>
      </c>
      <c r="BJ51" s="62">
        <f t="shared" si="38"/>
        <v>387.42368617035459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8.6898927593908599</v>
      </c>
      <c r="BR51" s="23">
        <f>EXP(-LN(2)/2)*BR50+(1-EXP(-LN(2)/2))/(LN(2)/2)*BL51*BO51*VLOOKUP('Données projet'!$B$11,Paramètres!$A$1:$I$89,3,0)*0.475*44/12</f>
        <v>3.5047960043316853E-2</v>
      </c>
      <c r="BS51" s="24">
        <f t="shared" si="9"/>
        <v>8.7249407194341764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5.6843418860808015E-14</v>
      </c>
      <c r="BZ51" s="14">
        <f>BY51*VLOOKUP('Données projet'!$B$12,Paramètres!$A$1:$I$89,3,0)*VLOOKUP('Données projet'!$B$12,Paramètres!$A$1:$I$89,5,0)</f>
        <v>3.3992364478763198E-14</v>
      </c>
      <c r="CA51" s="14">
        <f t="shared" si="39"/>
        <v>5.790027782444094E-13</v>
      </c>
      <c r="CB51" s="22">
        <f t="shared" si="10"/>
        <v>1.0676332069095257E-12</v>
      </c>
      <c r="CC51" s="62">
        <f t="shared" si="11"/>
        <v>233.18166706888263</v>
      </c>
      <c r="CD51" s="62">
        <f ca="1">AVERAGE(OFFSET($CC$3,0,0,'Données projet'!$E$12+1,1))-AVERAGE(OFFSET($H$3,0,0,'Données projet'!$E$12+1,1))</f>
        <v>225.71928466161592</v>
      </c>
      <c r="CE51" s="62">
        <f t="shared" si="40"/>
        <v>385.98818770742025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76.588184823554258</v>
      </c>
      <c r="CL51" s="23">
        <f>EXP(-LN(2)/25)*CL50+(1-EXP(-LN(2)/25))/(LN(2)/25)*Calculateur!CG51*Calculateur!CI51*VLOOKUP('Données projet'!$B$12,Paramètres!$A$1:$I$89,3,0)*0.475*44/12</f>
        <v>2.0295738357073647</v>
      </c>
      <c r="CM51" s="23">
        <f>EXP(-LN(2)/2)*CM50+(1-EXP(-LN(2)/2))/(LN(2)/2)*CG51*CJ51*VLOOKUP('Données projet'!$B$12,Paramètres!$A$1:$I$89,3,0)*0.475*44/12</f>
        <v>2.1514035911895304</v>
      </c>
      <c r="CN51" s="24">
        <f t="shared" si="12"/>
        <v>80.76916225045116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11</v>
      </c>
      <c r="CT51" s="13">
        <f>IF('Données projet'!$A$140&gt;35,CT50+CS51-DB50,IF(A51&lt;'Données projet'!$A$140,$CQ$205^A51,IF(A51='Données projet'!$A$140,'Données projet'!$B$140,CT50+CS51-DB50)))</f>
        <v>209.00000000000003</v>
      </c>
      <c r="CU51" s="18">
        <f>CT51*VLOOKUP('Données projet'!$B$13,Paramètres!$A$1:$I$89,3,0)*VLOOKUP('Données projet'!$B$13,Paramètres!$A$1:$I$89,5,0)</f>
        <v>189.10320000000002</v>
      </c>
      <c r="CV51" s="14">
        <f t="shared" si="41"/>
        <v>47.34162854278712</v>
      </c>
      <c r="CW51" s="22">
        <f t="shared" si="13"/>
        <v>411.80807637868764</v>
      </c>
      <c r="CX51" s="62">
        <f t="shared" si="14"/>
        <v>644.98974344756925</v>
      </c>
      <c r="CY51" s="62">
        <f ca="1">AVERAGE(OFFSET($CX$3,0,0,'Données projet'!$E$13+1,1))-AVERAGE(OFFSET($H$3,0,0,'Données projet'!$E$13+1,1))</f>
        <v>499.92116338695428</v>
      </c>
      <c r="CZ51" s="62">
        <f t="shared" si="42"/>
        <v>316.79403154855652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1.901894794620459</v>
      </c>
      <c r="DH51" s="23">
        <f>EXP(-LN(2)/2)*DH50+(1-EXP(-LN(2)/2))/(LN(2)/2)*DB51*DE51*VLOOKUP('Données projet'!$B$13,Paramètres!$A$1:$I$89,3,0)*0.475*44/12</f>
        <v>5.7772080309926917E-3</v>
      </c>
      <c r="DI51" s="24">
        <f t="shared" si="15"/>
        <v>1.9076720026514518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135.66666666666666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211.70619219850786</v>
      </c>
      <c r="T52" s="62">
        <f t="shared" si="34"/>
        <v>426.883837098247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1.9895196601282805E-13</v>
      </c>
      <c r="AJ52" s="14">
        <f>AI52*VLOOKUP('Données projet'!$B$10,Paramètres!$A$1:$I$89,3,0)*VLOOKUP('Données projet'!$B$10,Paramètres!$A$1:$I$89,5,0)</f>
        <v>1.8001173884840681E-13</v>
      </c>
      <c r="AK52" s="14">
        <f t="shared" si="35"/>
        <v>2.5254331426407198E-12</v>
      </c>
      <c r="AL52" s="22">
        <f t="shared" si="4"/>
        <v>4.7119831685935622E-12</v>
      </c>
      <c r="AM52" s="62">
        <f t="shared" si="5"/>
        <v>234.22516399959517</v>
      </c>
      <c r="AN52" s="62">
        <f ca="1">AVERAGE(OFFSET($AM$3,0,0,'Données projet'!$E$10+1,1))-AVERAGE(OFFSET($H$3,0,0,'Données projet'!$E$10+1,1))</f>
        <v>327.07074355218322</v>
      </c>
      <c r="AO52" s="62">
        <f t="shared" si="36"/>
        <v>462.01668587029087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5.7227445481191852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5.7227445481191852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7.8</v>
      </c>
      <c r="BD52" s="13">
        <f>IF('Données projet'!$A$88&gt;35,BD51+BC52-BL51,IF(A52&lt;'Données projet'!$A$88,$BA$205^A52,IF(A52='Données projet'!$A$88,'Données projet'!$B$88,BD51+BC52-BL51)))</f>
        <v>201.19999999999996</v>
      </c>
      <c r="BE52" s="14">
        <f>BD52*VLOOKUP('Données projet'!$B$11,Paramètres!$A$1:$I$89,3,0)*VLOOKUP('Données projet'!$B$11,Paramètres!$A$1:$I$89,5,0)</f>
        <v>175.76831999999999</v>
      </c>
      <c r="BF52" s="14">
        <f t="shared" si="37"/>
        <v>44.379415757690168</v>
      </c>
      <c r="BG52" s="22">
        <f t="shared" si="7"/>
        <v>383.42397311131032</v>
      </c>
      <c r="BH52" s="62">
        <f t="shared" si="8"/>
        <v>617.64913711090071</v>
      </c>
      <c r="BI52" s="62">
        <f ca="1">AVERAGE(OFFSET($BH$3,0,0,'Données projet'!$E$11+1,1))-AVERAGE(OFFSET($H$3,0,0,'Données projet'!$E$11+1,1))</f>
        <v>378.51861272969165</v>
      </c>
      <c r="BJ52" s="62">
        <f t="shared" si="38"/>
        <v>387.42368617035459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8.4522671849037181</v>
      </c>
      <c r="BR52" s="23">
        <f>EXP(-LN(2)/2)*BR51+(1-EXP(-LN(2)/2))/(LN(2)/2)*BL52*BO52*VLOOKUP('Données projet'!$B$11,Paramètres!$A$1:$I$89,3,0)*0.475*44/12</f>
        <v>2.4782650213384511E-2</v>
      </c>
      <c r="BS52" s="24">
        <f t="shared" si="9"/>
        <v>8.4770498351171018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5.6843418860808015E-14</v>
      </c>
      <c r="BZ52" s="14">
        <f>BY52*VLOOKUP('Données projet'!$B$12,Paramètres!$A$1:$I$89,3,0)*VLOOKUP('Données projet'!$B$12,Paramètres!$A$1:$I$89,5,0)</f>
        <v>3.3992364478763198E-14</v>
      </c>
      <c r="CA52" s="14">
        <f t="shared" si="39"/>
        <v>5.790027782444094E-13</v>
      </c>
      <c r="CB52" s="22">
        <f t="shared" si="10"/>
        <v>1.0676332069095257E-12</v>
      </c>
      <c r="CC52" s="62">
        <f t="shared" si="11"/>
        <v>234.22516399959153</v>
      </c>
      <c r="CD52" s="62">
        <f ca="1">AVERAGE(OFFSET($CC$3,0,0,'Données projet'!$E$12+1,1))-AVERAGE(OFFSET($H$3,0,0,'Données projet'!$E$12+1,1))</f>
        <v>225.71928466161592</v>
      </c>
      <c r="CE52" s="62">
        <f t="shared" si="40"/>
        <v>385.98818770742025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75.086337233344466</v>
      </c>
      <c r="CL52" s="23">
        <f>EXP(-LN(2)/25)*CL51+(1-EXP(-LN(2)/25))/(LN(2)/25)*Calculateur!CG52*Calculateur!CI52*VLOOKUP('Données projet'!$B$12,Paramètres!$A$1:$I$89,3,0)*0.475*44/12</f>
        <v>1.9740750324392975</v>
      </c>
      <c r="CM52" s="23">
        <f>EXP(-LN(2)/2)*CM51+(1-EXP(-LN(2)/2))/(LN(2)/2)*CG52*CJ52*VLOOKUP('Données projet'!$B$12,Paramètres!$A$1:$I$89,3,0)*0.475*44/12</f>
        <v>1.5212720683992078</v>
      </c>
      <c r="CN52" s="24">
        <f t="shared" si="12"/>
        <v>78.581684334182981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11</v>
      </c>
      <c r="CT52" s="13">
        <f>IF('Données projet'!$A$140&gt;35,CT51+CS52-DB51,IF(A52&lt;'Données projet'!$A$140,$CQ$205^A52,IF(A52='Données projet'!$A$140,'Données projet'!$B$140,CT51+CS52-DB51)))</f>
        <v>220.00000000000003</v>
      </c>
      <c r="CU52" s="18">
        <f>CT52*VLOOKUP('Données projet'!$B$13,Paramètres!$A$1:$I$89,3,0)*VLOOKUP('Données projet'!$B$13,Paramètres!$A$1:$I$89,5,0)</f>
        <v>199.05600000000001</v>
      </c>
      <c r="CV52" s="14">
        <f t="shared" si="41"/>
        <v>49.536648006253934</v>
      </c>
      <c r="CW52" s="22">
        <f t="shared" si="13"/>
        <v>432.96552861089231</v>
      </c>
      <c r="CX52" s="62">
        <f t="shared" si="14"/>
        <v>667.19069261048276</v>
      </c>
      <c r="CY52" s="62">
        <f ca="1">AVERAGE(OFFSET($CX$3,0,0,'Données projet'!$E$13+1,1))-AVERAGE(OFFSET($H$3,0,0,'Données projet'!$E$13+1,1))</f>
        <v>499.92116338695428</v>
      </c>
      <c r="CZ52" s="62">
        <f t="shared" si="42"/>
        <v>316.79403154855652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1.8498873814452621</v>
      </c>
      <c r="DH52" s="23">
        <f>EXP(-LN(2)/2)*DH51+(1-EXP(-LN(2)/2))/(LN(2)/2)*DB52*DE52*VLOOKUP('Données projet'!$B$13,Paramètres!$A$1:$I$89,3,0)*0.475*44/12</f>
        <v>4.0851029750403143E-3</v>
      </c>
      <c r="DI52" s="24">
        <f t="shared" si="15"/>
        <v>1.8539724844203025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135.66666666666666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211.70619219850786</v>
      </c>
      <c r="T53" s="62">
        <f t="shared" si="34"/>
        <v>426.883837098247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1.9895196601282805E-13</v>
      </c>
      <c r="AJ53" s="14">
        <f>AI53*VLOOKUP('Données projet'!$B$10,Paramètres!$A$1:$I$89,3,0)*VLOOKUP('Données projet'!$B$10,Paramètres!$A$1:$I$89,5,0)</f>
        <v>1.8001173884840681E-13</v>
      </c>
      <c r="AK53" s="14">
        <f t="shared" si="35"/>
        <v>2.5254331426407198E-12</v>
      </c>
      <c r="AL53" s="22">
        <f t="shared" si="4"/>
        <v>4.7119831685935622E-12</v>
      </c>
      <c r="AM53" s="62">
        <f t="shared" si="5"/>
        <v>235.2505585914659</v>
      </c>
      <c r="AN53" s="62">
        <f ca="1">AVERAGE(OFFSET($AM$3,0,0,'Données projet'!$E$10+1,1))-AVERAGE(OFFSET($H$3,0,0,'Données projet'!$E$10+1,1))</f>
        <v>327.07074355218322</v>
      </c>
      <c r="AO53" s="62">
        <f t="shared" si="36"/>
        <v>462.01668587029087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5.6105250180600814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5.6105250180600814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209</v>
      </c>
      <c r="BB53" s="13">
        <f>VLOOKUP(A53,'Données projet'!$A$87:$I$107,9,0)</f>
        <v>7.8</v>
      </c>
      <c r="BC53" s="13">
        <f t="array" ref="BC53">INDEX(BB:BB,MIN(IF(ISNUMBER(BB53:BB249),ROW(BB53:BB249),"")))</f>
        <v>7.8</v>
      </c>
      <c r="BD53" s="13">
        <f>IF('Données projet'!$A$88&gt;35,BD52+BC53-BL52,IF(A53&lt;'Données projet'!$A$88,$BA$205^A53,IF(A53='Données projet'!$A$88,'Données projet'!$B$88,BD52+BC53-BL52)))</f>
        <v>208.99999999999997</v>
      </c>
      <c r="BE53" s="14">
        <f>BD53*VLOOKUP('Données projet'!$B$11,Paramètres!$A$1:$I$89,3,0)*VLOOKUP('Données projet'!$B$11,Paramètres!$A$1:$I$89,5,0)</f>
        <v>182.58240000000001</v>
      </c>
      <c r="BF53" s="14">
        <f t="shared" si="37"/>
        <v>45.896245406460288</v>
      </c>
      <c r="BG53" s="22">
        <f t="shared" si="7"/>
        <v>397.93364074958498</v>
      </c>
      <c r="BH53" s="62">
        <f t="shared" si="8"/>
        <v>633.18419934104622</v>
      </c>
      <c r="BI53" s="62">
        <f ca="1">AVERAGE(OFFSET($BH$3,0,0,'Données projet'!$E$11+1,1))-AVERAGE(OFFSET($H$3,0,0,'Données projet'!$E$11+1,1))</f>
        <v>378.51861272969165</v>
      </c>
      <c r="BJ53" s="62">
        <f t="shared" si="38"/>
        <v>387.42368617035459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8.2211394942471134</v>
      </c>
      <c r="BR53" s="23">
        <f>EXP(-LN(2)/2)*BR52+(1-EXP(-LN(2)/2))/(LN(2)/2)*BL53*BO53*VLOOKUP('Données projet'!$B$11,Paramètres!$A$1:$I$89,3,0)*0.475*44/12</f>
        <v>1.7523980021658427E-2</v>
      </c>
      <c r="BS53" s="24">
        <f t="shared" si="9"/>
        <v>8.2386634742687725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5.6843418860808015E-14</v>
      </c>
      <c r="BZ53" s="14">
        <f>BY53*VLOOKUP('Données projet'!$B$12,Paramètres!$A$1:$I$89,3,0)*VLOOKUP('Données projet'!$B$12,Paramètres!$A$1:$I$89,5,0)</f>
        <v>3.3992364478763198E-14</v>
      </c>
      <c r="CA53" s="14">
        <f t="shared" si="39"/>
        <v>5.790027782444094E-13</v>
      </c>
      <c r="CB53" s="22">
        <f t="shared" si="10"/>
        <v>1.0676332069095257E-12</v>
      </c>
      <c r="CC53" s="62">
        <f t="shared" si="11"/>
        <v>235.25055859146227</v>
      </c>
      <c r="CD53" s="62">
        <f ca="1">AVERAGE(OFFSET($CC$3,0,0,'Données projet'!$E$12+1,1))-AVERAGE(OFFSET($H$3,0,0,'Données projet'!$E$12+1,1))</f>
        <v>225.71928466161592</v>
      </c>
      <c r="CE53" s="62">
        <f t="shared" si="40"/>
        <v>385.98818770742025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73.613939958342101</v>
      </c>
      <c r="CL53" s="23">
        <f>EXP(-LN(2)/25)*CL52+(1-EXP(-LN(2)/25))/(LN(2)/25)*Calculateur!CG53*Calculateur!CI53*VLOOKUP('Données projet'!$B$12,Paramètres!$A$1:$I$89,3,0)*0.475*44/12</f>
        <v>1.9200938468651507</v>
      </c>
      <c r="CM53" s="23">
        <f>EXP(-LN(2)/2)*CM52+(1-EXP(-LN(2)/2))/(LN(2)/2)*CG53*CJ53*VLOOKUP('Données projet'!$B$12,Paramètres!$A$1:$I$89,3,0)*0.475*44/12</f>
        <v>1.0757017955947652</v>
      </c>
      <c r="CN53" s="24">
        <f t="shared" si="12"/>
        <v>76.609735600802026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231</v>
      </c>
      <c r="CR53" s="13">
        <f>VLOOKUP(A53,'Données projet'!$A$139:$I$159,9,0)</f>
        <v>11</v>
      </c>
      <c r="CS53" s="13">
        <f t="array" ref="CS53">INDEX(CR:CR,MIN(IF(ISNUMBER(CR53:CR249),ROW(CR53:CR249),"")))</f>
        <v>11</v>
      </c>
      <c r="CT53" s="13">
        <f>IF('Données projet'!$A$140&gt;35,CT52+CS53-DB52,IF(A53&lt;'Données projet'!$A$140,$CQ$205^A53,IF(A53='Données projet'!$A$140,'Données projet'!$B$140,CT52+CS53-DB52)))</f>
        <v>231.00000000000003</v>
      </c>
      <c r="CU53" s="18">
        <f>CT53*VLOOKUP('Données projet'!$B$13,Paramètres!$A$1:$I$89,3,0)*VLOOKUP('Données projet'!$B$13,Paramètres!$A$1:$I$89,5,0)</f>
        <v>209.00880000000004</v>
      </c>
      <c r="CV53" s="14">
        <f t="shared" si="41"/>
        <v>51.718923953824252</v>
      </c>
      <c r="CW53" s="22">
        <f t="shared" si="13"/>
        <v>454.10078588624395</v>
      </c>
      <c r="CX53" s="62">
        <f t="shared" si="14"/>
        <v>689.3513444777052</v>
      </c>
      <c r="CY53" s="62">
        <f ca="1">AVERAGE(OFFSET($CX$3,0,0,'Données projet'!$E$13+1,1))-AVERAGE(OFFSET($H$3,0,0,'Données projet'!$E$13+1,1))</f>
        <v>499.92116338695428</v>
      </c>
      <c r="CZ53" s="62">
        <f t="shared" si="42"/>
        <v>316.79403154855652</v>
      </c>
      <c r="DA53" s="16">
        <f>IF(ISNA(VLOOKUP(A53,'Données projet'!$A$139:$I$159,3,0)),0,VLOOKUP(A53,'Données projet'!$A$139:$I$159,3,0))</f>
        <v>7</v>
      </c>
      <c r="DB53" s="16">
        <f>IF(ISNA(VLOOKUP(A53,'Données projet'!$A$139:$I$159,4,0)),0,VLOOKUP(A53,'Données projet'!$A$139:$I$159,4,0))</f>
        <v>28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1.7993021137182921</v>
      </c>
      <c r="DH53" s="23">
        <f>EXP(-LN(2)/2)*DH52+(1-EXP(-LN(2)/2))/(LN(2)/2)*DB53*DE53*VLOOKUP('Données projet'!$B$13,Paramètres!$A$1:$I$89,3,0)*0.475*44/12</f>
        <v>2.8886040154963459E-3</v>
      </c>
      <c r="DI53" s="24">
        <f t="shared" si="15"/>
        <v>1.8021907177337884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135.66666666666666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211.70619219850786</v>
      </c>
      <c r="T54" s="62">
        <f t="shared" si="34"/>
        <v>426.883837098247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1.9895196601282805E-13</v>
      </c>
      <c r="AJ54" s="14">
        <f>AI54*VLOOKUP('Données projet'!$B$10,Paramètres!$A$1:$I$89,3,0)*VLOOKUP('Données projet'!$B$10,Paramètres!$A$1:$I$89,5,0)</f>
        <v>1.8001173884840681E-13</v>
      </c>
      <c r="AK54" s="14">
        <f t="shared" si="35"/>
        <v>2.5254331426407198E-12</v>
      </c>
      <c r="AL54" s="22">
        <f t="shared" si="4"/>
        <v>4.7119831685935622E-12</v>
      </c>
      <c r="AM54" s="62">
        <f t="shared" si="5"/>
        <v>236.25816487960654</v>
      </c>
      <c r="AN54" s="62">
        <f ca="1">AVERAGE(OFFSET($AM$3,0,0,'Données projet'!$E$10+1,1))-AVERAGE(OFFSET($H$3,0,0,'Données projet'!$E$10+1,1))</f>
        <v>327.07074355218322</v>
      </c>
      <c r="AO54" s="62">
        <f t="shared" si="36"/>
        <v>462.01668587029087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5.5005060445382821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5.5005060445382821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6.8</v>
      </c>
      <c r="BD54" s="13">
        <f>IF('Données projet'!$A$88&gt;35,BD53+BC54-BL53,IF(A54&lt;'Données projet'!$A$88,$BA$205^A54,IF(A54='Données projet'!$A$88,'Données projet'!$B$88,BD53+BC54-BL53)))</f>
        <v>187.79999999999998</v>
      </c>
      <c r="BE54" s="14">
        <f>BD54*VLOOKUP('Données projet'!$B$11,Paramètres!$A$1:$I$89,3,0)*VLOOKUP('Données projet'!$B$11,Paramètres!$A$1:$I$89,5,0)</f>
        <v>164.06208000000001</v>
      </c>
      <c r="BF54" s="14">
        <f t="shared" si="37"/>
        <v>41.75738773013461</v>
      </c>
      <c r="BG54" s="22">
        <f t="shared" si="7"/>
        <v>358.46890629665108</v>
      </c>
      <c r="BH54" s="62">
        <f t="shared" si="8"/>
        <v>594.72707117625293</v>
      </c>
      <c r="BI54" s="62">
        <f ca="1">AVERAGE(OFFSET($BH$3,0,0,'Données projet'!$E$11+1,1))-AVERAGE(OFFSET($H$3,0,0,'Données projet'!$E$11+1,1))</f>
        <v>378.51861272969165</v>
      </c>
      <c r="BJ54" s="62">
        <f t="shared" si="38"/>
        <v>387.42368617035459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7.9963320024459899</v>
      </c>
      <c r="BR54" s="23">
        <f>EXP(-LN(2)/2)*BR53+(1-EXP(-LN(2)/2))/(LN(2)/2)*BL54*BO54*VLOOKUP('Données projet'!$B$11,Paramètres!$A$1:$I$89,3,0)*0.475*44/12</f>
        <v>1.2391325106692256E-2</v>
      </c>
      <c r="BS54" s="24">
        <f t="shared" si="9"/>
        <v>8.0087233275526817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5.6843418860808015E-14</v>
      </c>
      <c r="BZ54" s="14">
        <f>BY54*VLOOKUP('Données projet'!$B$12,Paramètres!$A$1:$I$89,3,0)*VLOOKUP('Données projet'!$B$12,Paramètres!$A$1:$I$89,5,0)</f>
        <v>3.3992364478763198E-14</v>
      </c>
      <c r="CA54" s="14">
        <f t="shared" si="39"/>
        <v>5.790027782444094E-13</v>
      </c>
      <c r="CB54" s="22">
        <f t="shared" si="10"/>
        <v>1.0676332069095257E-12</v>
      </c>
      <c r="CC54" s="62">
        <f t="shared" si="11"/>
        <v>236.2581648796029</v>
      </c>
      <c r="CD54" s="62">
        <f ca="1">AVERAGE(OFFSET($CC$3,0,0,'Données projet'!$E$12+1,1))-AVERAGE(OFFSET($H$3,0,0,'Données projet'!$E$12+1,1))</f>
        <v>225.71928466161592</v>
      </c>
      <c r="CE54" s="62">
        <f t="shared" si="40"/>
        <v>385.98818770742025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72.170415495828877</v>
      </c>
      <c r="CL54" s="23">
        <f>EXP(-LN(2)/25)*CL53+(1-EXP(-LN(2)/25))/(LN(2)/25)*Calculateur!CG54*Calculateur!CI54*VLOOKUP('Données projet'!$B$12,Paramètres!$A$1:$I$89,3,0)*0.475*44/12</f>
        <v>1.8675887796492763</v>
      </c>
      <c r="CM54" s="23">
        <f>EXP(-LN(2)/2)*CM53+(1-EXP(-LN(2)/2))/(LN(2)/2)*CG54*CJ54*VLOOKUP('Données projet'!$B$12,Paramètres!$A$1:$I$89,3,0)*0.475*44/12</f>
        <v>0.76063603419960391</v>
      </c>
      <c r="CN54" s="24">
        <f t="shared" si="12"/>
        <v>74.798640309677765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10.199999999999999</v>
      </c>
      <c r="CT54" s="13">
        <f>IF('Données projet'!$A$140&gt;35,CT53+CS54-DB53,IF(A54&lt;'Données projet'!$A$140,$CQ$205^A54,IF(A54='Données projet'!$A$140,'Données projet'!$B$140,CT53+CS54-DB53)))</f>
        <v>213.20000000000002</v>
      </c>
      <c r="CU54" s="18">
        <f>CT54*VLOOKUP('Données projet'!$B$13,Paramètres!$A$1:$I$89,3,0)*VLOOKUP('Données projet'!$B$13,Paramètres!$A$1:$I$89,5,0)</f>
        <v>192.90336000000002</v>
      </c>
      <c r="CV54" s="14">
        <f t="shared" si="41"/>
        <v>48.181276881765257</v>
      </c>
      <c r="CW54" s="22">
        <f t="shared" si="13"/>
        <v>419.88907590240791</v>
      </c>
      <c r="CX54" s="62">
        <f t="shared" si="14"/>
        <v>656.1472407820097</v>
      </c>
      <c r="CY54" s="62">
        <f ca="1">AVERAGE(OFFSET($CX$3,0,0,'Données projet'!$E$13+1,1))-AVERAGE(OFFSET($H$3,0,0,'Données projet'!$E$13+1,1))</f>
        <v>499.92116338695428</v>
      </c>
      <c r="CZ54" s="62">
        <f t="shared" si="42"/>
        <v>316.79403154855652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1.7501001027974796</v>
      </c>
      <c r="DH54" s="23">
        <f>EXP(-LN(2)/2)*DH53+(1-EXP(-LN(2)/2))/(LN(2)/2)*DB54*DE54*VLOOKUP('Données projet'!$B$13,Paramètres!$A$1:$I$89,3,0)*0.475*44/12</f>
        <v>2.0425514875201571E-3</v>
      </c>
      <c r="DI54" s="24">
        <f t="shared" si="15"/>
        <v>1.7521426542849998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135.66666666666666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211.70619219850786</v>
      </c>
      <c r="T55" s="62">
        <f t="shared" si="34"/>
        <v>426.883837098247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1.9895196601282805E-13</v>
      </c>
      <c r="AJ55" s="14">
        <f>AI55*VLOOKUP('Données projet'!$B$10,Paramètres!$A$1:$I$89,3,0)*VLOOKUP('Données projet'!$B$10,Paramètres!$A$1:$I$89,5,0)</f>
        <v>1.8001173884840681E-13</v>
      </c>
      <c r="AK55" s="14">
        <f t="shared" si="35"/>
        <v>2.5254331426407198E-12</v>
      </c>
      <c r="AL55" s="22">
        <f t="shared" si="4"/>
        <v>4.7119831685935622E-12</v>
      </c>
      <c r="AM55" s="62">
        <f t="shared" si="5"/>
        <v>237.24829145131812</v>
      </c>
      <c r="AN55" s="62">
        <f ca="1">AVERAGE(OFFSET($AM$3,0,0,'Données projet'!$E$10+1,1))-AVERAGE(OFFSET($H$3,0,0,'Données projet'!$E$10+1,1))</f>
        <v>327.07074355218322</v>
      </c>
      <c r="AO55" s="62">
        <f t="shared" si="36"/>
        <v>462.01668587029087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5.3926444759822969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5.3926444759822969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6.8</v>
      </c>
      <c r="BD55" s="13">
        <f>IF('Données projet'!$A$88&gt;35,BD54+BC55-BL54,IF(A55&lt;'Données projet'!$A$88,$BA$205^A55,IF(A55='Données projet'!$A$88,'Données projet'!$B$88,BD54+BC55-BL54)))</f>
        <v>194.6</v>
      </c>
      <c r="BE55" s="14">
        <f>BD55*VLOOKUP('Données projet'!$B$11,Paramètres!$A$1:$I$89,3,0)*VLOOKUP('Données projet'!$B$11,Paramètres!$A$1:$I$89,5,0)</f>
        <v>170.00256000000002</v>
      </c>
      <c r="BF55" s="14">
        <f t="shared" si="37"/>
        <v>43.090596939649579</v>
      </c>
      <c r="BG55" s="22">
        <f t="shared" si="7"/>
        <v>371.1372483365563</v>
      </c>
      <c r="BH55" s="62">
        <f t="shared" si="8"/>
        <v>608.38553978786967</v>
      </c>
      <c r="BI55" s="62">
        <f ca="1">AVERAGE(OFFSET($BH$3,0,0,'Données projet'!$E$11+1,1))-AVERAGE(OFFSET($H$3,0,0,'Données projet'!$E$11+1,1))</f>
        <v>378.51861272969165</v>
      </c>
      <c r="BJ55" s="62">
        <f t="shared" si="38"/>
        <v>387.42368617035459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7.7776718833302798</v>
      </c>
      <c r="BR55" s="23">
        <f>EXP(-LN(2)/2)*BR54+(1-EXP(-LN(2)/2))/(LN(2)/2)*BL55*BO55*VLOOKUP('Données projet'!$B$11,Paramètres!$A$1:$I$89,3,0)*0.475*44/12</f>
        <v>8.7619900108292133E-3</v>
      </c>
      <c r="BS55" s="24">
        <f t="shared" si="9"/>
        <v>7.7864338733411094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5.6843418860808015E-14</v>
      </c>
      <c r="BZ55" s="14">
        <f>BY55*VLOOKUP('Données projet'!$B$12,Paramètres!$A$1:$I$89,3,0)*VLOOKUP('Données projet'!$B$12,Paramètres!$A$1:$I$89,5,0)</f>
        <v>3.3992364478763198E-14</v>
      </c>
      <c r="CA55" s="14">
        <f t="shared" si="39"/>
        <v>5.790027782444094E-13</v>
      </c>
      <c r="CB55" s="22">
        <f t="shared" si="10"/>
        <v>1.0676332069095257E-12</v>
      </c>
      <c r="CC55" s="62">
        <f t="shared" si="11"/>
        <v>237.24829145131449</v>
      </c>
      <c r="CD55" s="62">
        <f ca="1">AVERAGE(OFFSET($CC$3,0,0,'Données projet'!$E$12+1,1))-AVERAGE(OFFSET($H$3,0,0,'Données projet'!$E$12+1,1))</f>
        <v>225.71928466161592</v>
      </c>
      <c r="CE55" s="62">
        <f t="shared" si="40"/>
        <v>385.98818770742025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70.755197667562555</v>
      </c>
      <c r="CL55" s="23">
        <f>EXP(-LN(2)/25)*CL54+(1-EXP(-LN(2)/25))/(LN(2)/25)*Calculateur!CG55*Calculateur!CI55*VLOOKUP('Données projet'!$B$12,Paramètres!$A$1:$I$89,3,0)*0.475*44/12</f>
        <v>1.8165194662575412</v>
      </c>
      <c r="CM55" s="23">
        <f>EXP(-LN(2)/2)*CM54+(1-EXP(-LN(2)/2))/(LN(2)/2)*CG55*CJ55*VLOOKUP('Données projet'!$B$12,Paramètres!$A$1:$I$89,3,0)*0.475*44/12</f>
        <v>0.5378508977973826</v>
      </c>
      <c r="CN55" s="24">
        <f t="shared" si="12"/>
        <v>73.109568031617485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10.199999999999999</v>
      </c>
      <c r="CT55" s="13">
        <f>IF('Données projet'!$A$140&gt;35,CT54+CS55-DB54,IF(A55&lt;'Données projet'!$A$140,$CQ$205^A55,IF(A55='Données projet'!$A$140,'Données projet'!$B$140,CT54+CS55-DB54)))</f>
        <v>223.4</v>
      </c>
      <c r="CU55" s="18">
        <f>CT55*VLOOKUP('Données projet'!$B$13,Paramètres!$A$1:$I$89,3,0)*VLOOKUP('Données projet'!$B$13,Paramètres!$A$1:$I$89,5,0)</f>
        <v>202.13232000000002</v>
      </c>
      <c r="CV55" s="14">
        <f t="shared" si="41"/>
        <v>50.212497488959627</v>
      </c>
      <c r="CW55" s="22">
        <f t="shared" si="13"/>
        <v>439.50055712660469</v>
      </c>
      <c r="CX55" s="62">
        <f t="shared" si="14"/>
        <v>676.74884857791812</v>
      </c>
      <c r="CY55" s="62">
        <f ca="1">AVERAGE(OFFSET($CX$3,0,0,'Données projet'!$E$13+1,1))-AVERAGE(OFFSET($H$3,0,0,'Données projet'!$E$13+1,1))</f>
        <v>499.92116338695428</v>
      </c>
      <c r="CZ55" s="62">
        <f t="shared" si="42"/>
        <v>316.79403154855652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1.702243523452718</v>
      </c>
      <c r="DH55" s="23">
        <f>EXP(-LN(2)/2)*DH54+(1-EXP(-LN(2)/2))/(LN(2)/2)*DB55*DE55*VLOOKUP('Données projet'!$B$13,Paramètres!$A$1:$I$89,3,0)*0.475*44/12</f>
        <v>1.4443020077481729E-3</v>
      </c>
      <c r="DI55" s="24">
        <f t="shared" si="15"/>
        <v>1.7036878254604662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135.66666666666666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211.70619219850786</v>
      </c>
      <c r="T56" s="62">
        <f t="shared" si="34"/>
        <v>426.883837098247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1.9895196601282805E-13</v>
      </c>
      <c r="AJ56" s="14">
        <f>AI56*VLOOKUP('Données projet'!$B$10,Paramètres!$A$1:$I$89,3,0)*VLOOKUP('Données projet'!$B$10,Paramètres!$A$1:$I$89,5,0)</f>
        <v>1.8001173884840681E-13</v>
      </c>
      <c r="AK56" s="14">
        <f t="shared" si="35"/>
        <v>2.5254331426407198E-12</v>
      </c>
      <c r="AL56" s="22">
        <f t="shared" si="4"/>
        <v>4.7119831685935622E-12</v>
      </c>
      <c r="AM56" s="62">
        <f t="shared" si="5"/>
        <v>238.22124154060188</v>
      </c>
      <c r="AN56" s="62">
        <f ca="1">AVERAGE(OFFSET($AM$3,0,0,'Données projet'!$E$10+1,1))-AVERAGE(OFFSET($H$3,0,0,'Données projet'!$E$10+1,1))</f>
        <v>327.07074355218322</v>
      </c>
      <c r="AO56" s="62">
        <f t="shared" si="36"/>
        <v>462.01668587029087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5.2868980069966343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5.2868980069966343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6.8</v>
      </c>
      <c r="BD56" s="13">
        <f>IF('Données projet'!$A$88&gt;35,BD55+BC56-BL55,IF(A56&lt;'Données projet'!$A$88,$BA$205^A56,IF(A56='Données projet'!$A$88,'Données projet'!$B$88,BD55+BC56-BL55)))</f>
        <v>201.4</v>
      </c>
      <c r="BE56" s="14">
        <f>BD56*VLOOKUP('Données projet'!$B$11,Paramètres!$A$1:$I$89,3,0)*VLOOKUP('Données projet'!$B$11,Paramètres!$A$1:$I$89,5,0)</f>
        <v>175.94304000000002</v>
      </c>
      <c r="BF56" s="14">
        <f t="shared" si="37"/>
        <v>44.418393276556458</v>
      </c>
      <c r="BG56" s="22">
        <f t="shared" si="7"/>
        <v>383.79616295666915</v>
      </c>
      <c r="BH56" s="62">
        <f t="shared" si="8"/>
        <v>622.01740449726628</v>
      </c>
      <c r="BI56" s="62">
        <f ca="1">AVERAGE(OFFSET($BH$3,0,0,'Données projet'!$E$11+1,1))-AVERAGE(OFFSET($H$3,0,0,'Données projet'!$E$11+1,1))</f>
        <v>378.51861272969165</v>
      </c>
      <c r="BJ56" s="62">
        <f t="shared" si="38"/>
        <v>387.42368617035459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7.5649910366706248</v>
      </c>
      <c r="BR56" s="23">
        <f>EXP(-LN(2)/2)*BR55+(1-EXP(-LN(2)/2))/(LN(2)/2)*BL56*BO56*VLOOKUP('Données projet'!$B$11,Paramètres!$A$1:$I$89,3,0)*0.475*44/12</f>
        <v>6.1956625533461278E-3</v>
      </c>
      <c r="BS56" s="24">
        <f t="shared" si="9"/>
        <v>7.5711866992239711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5.6843418860808015E-14</v>
      </c>
      <c r="BZ56" s="14">
        <f>BY56*VLOOKUP('Données projet'!$B$12,Paramètres!$A$1:$I$89,3,0)*VLOOKUP('Données projet'!$B$12,Paramètres!$A$1:$I$89,5,0)</f>
        <v>3.3992364478763198E-14</v>
      </c>
      <c r="CA56" s="14">
        <f t="shared" si="39"/>
        <v>5.790027782444094E-13</v>
      </c>
      <c r="CB56" s="22">
        <f t="shared" si="10"/>
        <v>1.0676332069095257E-12</v>
      </c>
      <c r="CC56" s="62">
        <f t="shared" si="11"/>
        <v>238.22124154059824</v>
      </c>
      <c r="CD56" s="62">
        <f ca="1">AVERAGE(OFFSET($CC$3,0,0,'Données projet'!$E$12+1,1))-AVERAGE(OFFSET($H$3,0,0,'Données projet'!$E$12+1,1))</f>
        <v>225.71928466161592</v>
      </c>
      <c r="CE56" s="62">
        <f t="shared" si="40"/>
        <v>385.98818770742025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69.367731397710884</v>
      </c>
      <c r="CL56" s="23">
        <f>EXP(-LN(2)/25)*CL55+(1-EXP(-LN(2)/25))/(LN(2)/25)*Calculateur!CG56*Calculateur!CI56*VLOOKUP('Données projet'!$B$12,Paramètres!$A$1:$I$89,3,0)*0.475*44/12</f>
        <v>1.7668466459261218</v>
      </c>
      <c r="CM56" s="23">
        <f>EXP(-LN(2)/2)*CM55+(1-EXP(-LN(2)/2))/(LN(2)/2)*CG56*CJ56*VLOOKUP('Données projet'!$B$12,Paramètres!$A$1:$I$89,3,0)*0.475*44/12</f>
        <v>0.38031801709980195</v>
      </c>
      <c r="CN56" s="24">
        <f t="shared" si="12"/>
        <v>71.514896060736802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10.199999999999999</v>
      </c>
      <c r="CT56" s="13">
        <f>IF('Données projet'!$A$140&gt;35,CT55+CS56-DB55,IF(A56&lt;'Données projet'!$A$140,$CQ$205^A56,IF(A56='Données projet'!$A$140,'Données projet'!$B$140,CT55+CS56-DB55)))</f>
        <v>233.6</v>
      </c>
      <c r="CU56" s="18">
        <f>CT56*VLOOKUP('Données projet'!$B$13,Paramètres!$A$1:$I$89,3,0)*VLOOKUP('Données projet'!$B$13,Paramètres!$A$1:$I$89,5,0)</f>
        <v>211.36127999999999</v>
      </c>
      <c r="CV56" s="14">
        <f t="shared" si="41"/>
        <v>52.232947669705631</v>
      </c>
      <c r="CW56" s="22">
        <f t="shared" si="13"/>
        <v>459.09327985807062</v>
      </c>
      <c r="CX56" s="62">
        <f t="shared" si="14"/>
        <v>697.31452139866781</v>
      </c>
      <c r="CY56" s="62">
        <f ca="1">AVERAGE(OFFSET($CX$3,0,0,'Données projet'!$E$13+1,1))-AVERAGE(OFFSET($H$3,0,0,'Données projet'!$E$13+1,1))</f>
        <v>499.92116338695428</v>
      </c>
      <c r="CZ56" s="62">
        <f t="shared" si="42"/>
        <v>316.79403154855652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1.6556955847868071</v>
      </c>
      <c r="DH56" s="23">
        <f>EXP(-LN(2)/2)*DH55+(1-EXP(-LN(2)/2))/(LN(2)/2)*DB56*DE56*VLOOKUP('Données projet'!$B$13,Paramètres!$A$1:$I$89,3,0)*0.475*44/12</f>
        <v>1.0212757437600786E-3</v>
      </c>
      <c r="DI56" s="24">
        <f t="shared" si="15"/>
        <v>1.6567168605305671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135.66666666666666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211.70619219850786</v>
      </c>
      <c r="T57" s="62">
        <f t="shared" si="34"/>
        <v>426.883837098247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1.9895196601282805E-13</v>
      </c>
      <c r="AJ57" s="14">
        <f>AI57*VLOOKUP('Données projet'!$B$10,Paramètres!$A$1:$I$89,3,0)*VLOOKUP('Données projet'!$B$10,Paramètres!$A$1:$I$89,5,0)</f>
        <v>1.8001173884840681E-13</v>
      </c>
      <c r="AK57" s="14">
        <f t="shared" si="35"/>
        <v>2.5254331426407198E-12</v>
      </c>
      <c r="AL57" s="22">
        <f t="shared" si="4"/>
        <v>4.7119831685935622E-12</v>
      </c>
      <c r="AM57" s="62">
        <f t="shared" si="5"/>
        <v>239.17731312102711</v>
      </c>
      <c r="AN57" s="62">
        <f ca="1">AVERAGE(OFFSET($AM$3,0,0,'Données projet'!$E$10+1,1))-AVERAGE(OFFSET($H$3,0,0,'Données projet'!$E$10+1,1))</f>
        <v>327.07074355218322</v>
      </c>
      <c r="AO57" s="62">
        <f t="shared" si="36"/>
        <v>462.01668587029087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5.183225161768803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5.183225161768803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6.8</v>
      </c>
      <c r="BD57" s="13">
        <f>IF('Données projet'!$A$88&gt;35,BD56+BC57-BL56,IF(A57&lt;'Données projet'!$A$88,$BA$205^A57,IF(A57='Données projet'!$A$88,'Données projet'!$B$88,BD56+BC57-BL56)))</f>
        <v>208.20000000000002</v>
      </c>
      <c r="BE57" s="14">
        <f>BD57*VLOOKUP('Données projet'!$B$11,Paramètres!$A$1:$I$89,3,0)*VLOOKUP('Données projet'!$B$11,Paramètres!$A$1:$I$89,5,0)</f>
        <v>181.88352000000006</v>
      </c>
      <c r="BF57" s="14">
        <f t="shared" si="37"/>
        <v>45.74098045051349</v>
      </c>
      <c r="BG57" s="22">
        <f t="shared" si="7"/>
        <v>396.44600495131112</v>
      </c>
      <c r="BH57" s="62">
        <f t="shared" si="8"/>
        <v>635.62331807233352</v>
      </c>
      <c r="BI57" s="62">
        <f ca="1">AVERAGE(OFFSET($BH$3,0,0,'Données projet'!$E$11+1,1))-AVERAGE(OFFSET($H$3,0,0,'Données projet'!$E$11+1,1))</f>
        <v>378.51861272969165</v>
      </c>
      <c r="BJ57" s="62">
        <f t="shared" si="38"/>
        <v>387.42368617035459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7.3581259589472783</v>
      </c>
      <c r="BR57" s="23">
        <f>EXP(-LN(2)/2)*BR56+(1-EXP(-LN(2)/2))/(LN(2)/2)*BL57*BO57*VLOOKUP('Données projet'!$B$11,Paramètres!$A$1:$I$89,3,0)*0.475*44/12</f>
        <v>4.3809950054146066E-3</v>
      </c>
      <c r="BS57" s="24">
        <f t="shared" si="9"/>
        <v>7.3625069539526926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5.6843418860808015E-14</v>
      </c>
      <c r="BZ57" s="14">
        <f>BY57*VLOOKUP('Données projet'!$B$12,Paramètres!$A$1:$I$89,3,0)*VLOOKUP('Données projet'!$B$12,Paramètres!$A$1:$I$89,5,0)</f>
        <v>3.3992364478763198E-14</v>
      </c>
      <c r="CA57" s="14">
        <f t="shared" si="39"/>
        <v>5.790027782444094E-13</v>
      </c>
      <c r="CB57" s="22">
        <f t="shared" si="10"/>
        <v>1.0676332069095257E-12</v>
      </c>
      <c r="CC57" s="62">
        <f t="shared" si="11"/>
        <v>239.17731312102347</v>
      </c>
      <c r="CD57" s="62">
        <f ca="1">AVERAGE(OFFSET($CC$3,0,0,'Données projet'!$E$12+1,1))-AVERAGE(OFFSET($H$3,0,0,'Données projet'!$E$12+1,1))</f>
        <v>225.71928466161592</v>
      </c>
      <c r="CE57" s="62">
        <f t="shared" si="40"/>
        <v>385.98818770742025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68.007472495140149</v>
      </c>
      <c r="CL57" s="23">
        <f>EXP(-LN(2)/25)*CL56+(1-EXP(-LN(2)/25))/(LN(2)/25)*Calculateur!CG57*Calculateur!CI57*VLOOKUP('Données projet'!$B$12,Paramètres!$A$1:$I$89,3,0)*0.475*44/12</f>
        <v>1.7185321314788451</v>
      </c>
      <c r="CM57" s="23">
        <f>EXP(-LN(2)/2)*CM56+(1-EXP(-LN(2)/2))/(LN(2)/2)*CG57*CJ57*VLOOKUP('Données projet'!$B$12,Paramètres!$A$1:$I$89,3,0)*0.475*44/12</f>
        <v>0.2689254488986913</v>
      </c>
      <c r="CN57" s="24">
        <f t="shared" si="12"/>
        <v>69.994930075517672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10.199999999999999</v>
      </c>
      <c r="CT57" s="13">
        <f>IF('Données projet'!$A$140&gt;35,CT56+CS57-DB56,IF(A57&lt;'Données projet'!$A$140,$CQ$205^A57,IF(A57='Données projet'!$A$140,'Données projet'!$B$140,CT56+CS57-DB56)))</f>
        <v>243.79999999999998</v>
      </c>
      <c r="CU57" s="18">
        <f>CT57*VLOOKUP('Données projet'!$B$13,Paramètres!$A$1:$I$89,3,0)*VLOOKUP('Données projet'!$B$13,Paramètres!$A$1:$I$89,5,0)</f>
        <v>220.59023999999997</v>
      </c>
      <c r="CV57" s="14">
        <f t="shared" si="41"/>
        <v>54.24315145708789</v>
      </c>
      <c r="CW57" s="22">
        <f t="shared" si="13"/>
        <v>478.66815678776129</v>
      </c>
      <c r="CX57" s="62">
        <f t="shared" si="14"/>
        <v>717.84546990878368</v>
      </c>
      <c r="CY57" s="62">
        <f ca="1">AVERAGE(OFFSET($CX$3,0,0,'Données projet'!$E$13+1,1))-AVERAGE(OFFSET($H$3,0,0,'Données projet'!$E$13+1,1))</f>
        <v>499.92116338695428</v>
      </c>
      <c r="CZ57" s="62">
        <f t="shared" si="42"/>
        <v>316.79403154855652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1.6104205019515652</v>
      </c>
      <c r="DH57" s="23">
        <f>EXP(-LN(2)/2)*DH56+(1-EXP(-LN(2)/2))/(LN(2)/2)*DB57*DE57*VLOOKUP('Données projet'!$B$13,Paramètres!$A$1:$I$89,3,0)*0.475*44/12</f>
        <v>7.2215100387408647E-4</v>
      </c>
      <c r="DI57" s="24">
        <f t="shared" si="15"/>
        <v>1.6111426529554393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135.66666666666666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211.70619219850786</v>
      </c>
      <c r="T58" s="62">
        <f t="shared" si="34"/>
        <v>426.883837098247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1.9895196601282805E-13</v>
      </c>
      <c r="AJ58" s="14">
        <f>AI58*VLOOKUP('Données projet'!$B$10,Paramètres!$A$1:$I$89,3,0)*VLOOKUP('Données projet'!$B$10,Paramètres!$A$1:$I$89,5,0)</f>
        <v>1.8001173884840681E-13</v>
      </c>
      <c r="AK58" s="14">
        <f t="shared" si="35"/>
        <v>2.5254331426407198E-12</v>
      </c>
      <c r="AL58" s="22">
        <f t="shared" si="4"/>
        <v>4.7119831685935622E-12</v>
      </c>
      <c r="AM58" s="62">
        <f t="shared" si="5"/>
        <v>240.11679899698785</v>
      </c>
      <c r="AN58" s="62">
        <f ca="1">AVERAGE(OFFSET($AM$3,0,0,'Données projet'!$E$10+1,1))-AVERAGE(OFFSET($H$3,0,0,'Données projet'!$E$10+1,1))</f>
        <v>327.07074355218322</v>
      </c>
      <c r="AO58" s="62">
        <f t="shared" si="36"/>
        <v>462.01668587029087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5.0815852778016977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5.0815852778016977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215</v>
      </c>
      <c r="BB58" s="13">
        <f>VLOOKUP(A58,'Données projet'!$A$87:$I$107,9,0)</f>
        <v>6.8</v>
      </c>
      <c r="BC58" s="13">
        <f t="array" ref="BC58">INDEX(BB:BB,MIN(IF(ISNUMBER(BB58:BB254),ROW(BB58:BB254),"")))</f>
        <v>6.8</v>
      </c>
      <c r="BD58" s="13">
        <f>IF('Données projet'!$A$88&gt;35,BD57+BC58-BL57,IF(A58&lt;'Données projet'!$A$88,$BA$205^A58,IF(A58='Données projet'!$A$88,'Données projet'!$B$88,BD57+BC58-BL57)))</f>
        <v>215.00000000000003</v>
      </c>
      <c r="BE58" s="14">
        <f>BD58*VLOOKUP('Données projet'!$B$11,Paramètres!$A$1:$I$89,3,0)*VLOOKUP('Données projet'!$B$11,Paramètres!$A$1:$I$89,5,0)</f>
        <v>187.82400000000007</v>
      </c>
      <c r="BF58" s="14">
        <f t="shared" si="37"/>
        <v>47.05854810918273</v>
      </c>
      <c r="BG58" s="22">
        <f t="shared" si="7"/>
        <v>409.08710462349336</v>
      </c>
      <c r="BH58" s="62">
        <f t="shared" si="8"/>
        <v>649.20390362047647</v>
      </c>
      <c r="BI58" s="62">
        <f ca="1">AVERAGE(OFFSET($BH$3,0,0,'Données projet'!$E$11+1,1))-AVERAGE(OFFSET($H$3,0,0,'Données projet'!$E$11+1,1))</f>
        <v>378.51861272969165</v>
      </c>
      <c r="BJ58" s="62">
        <f t="shared" si="38"/>
        <v>387.42368617035459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25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7.1569176176528382</v>
      </c>
      <c r="BR58" s="23">
        <f>EXP(-LN(2)/2)*BR57+(1-EXP(-LN(2)/2))/(LN(2)/2)*BL58*BO58*VLOOKUP('Données projet'!$B$11,Paramètres!$A$1:$I$89,3,0)*0.475*44/12</f>
        <v>3.0978312766730639E-3</v>
      </c>
      <c r="BS58" s="24">
        <f t="shared" si="9"/>
        <v>7.1600154489295109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5.6843418860808015E-14</v>
      </c>
      <c r="BZ58" s="14">
        <f>BY58*VLOOKUP('Données projet'!$B$12,Paramètres!$A$1:$I$89,3,0)*VLOOKUP('Données projet'!$B$12,Paramètres!$A$1:$I$89,5,0)</f>
        <v>3.3992364478763198E-14</v>
      </c>
      <c r="CA58" s="14">
        <f t="shared" si="39"/>
        <v>5.790027782444094E-13</v>
      </c>
      <c r="CB58" s="22">
        <f t="shared" si="10"/>
        <v>1.0676332069095257E-12</v>
      </c>
      <c r="CC58" s="62">
        <f t="shared" si="11"/>
        <v>240.11679899698422</v>
      </c>
      <c r="CD58" s="62">
        <f ca="1">AVERAGE(OFFSET($CC$3,0,0,'Données projet'!$E$12+1,1))-AVERAGE(OFFSET($H$3,0,0,'Données projet'!$E$12+1,1))</f>
        <v>225.71928466161592</v>
      </c>
      <c r="CE58" s="62">
        <f t="shared" si="40"/>
        <v>385.98818770742025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66.673887439972816</v>
      </c>
      <c r="CL58" s="23">
        <f>EXP(-LN(2)/25)*CL57+(1-EXP(-LN(2)/25))/(LN(2)/25)*Calculateur!CG58*Calculateur!CI58*VLOOKUP('Données projet'!$B$12,Paramètres!$A$1:$I$89,3,0)*0.475*44/12</f>
        <v>1.6715387799698791</v>
      </c>
      <c r="CM58" s="23">
        <f>EXP(-LN(2)/2)*CM57+(1-EXP(-LN(2)/2))/(LN(2)/2)*CG58*CJ58*VLOOKUP('Données projet'!$B$12,Paramètres!$A$1:$I$89,3,0)*0.475*44/12</f>
        <v>0.19015900854990098</v>
      </c>
      <c r="CN58" s="24">
        <f t="shared" si="12"/>
        <v>68.535585228492593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254</v>
      </c>
      <c r="CR58" s="13">
        <f>VLOOKUP(A58,'Données projet'!$A$139:$I$159,9,0)</f>
        <v>10.199999999999999</v>
      </c>
      <c r="CS58" s="13">
        <f t="array" ref="CS58">INDEX(CR:CR,MIN(IF(ISNUMBER(CR58:CR254),ROW(CR58:CR254),"")))</f>
        <v>10.199999999999999</v>
      </c>
      <c r="CT58" s="13">
        <f>IF('Données projet'!$A$140&gt;35,CT57+CS58-DB57,IF(A58&lt;'Données projet'!$A$140,$CQ$205^A58,IF(A58='Données projet'!$A$140,'Données projet'!$B$140,CT57+CS58-DB57)))</f>
        <v>253.99999999999997</v>
      </c>
      <c r="CU58" s="18">
        <f>CT58*VLOOKUP('Données projet'!$B$13,Paramètres!$A$1:$I$89,3,0)*VLOOKUP('Données projet'!$B$13,Paramètres!$A$1:$I$89,5,0)</f>
        <v>229.81919999999997</v>
      </c>
      <c r="CV58" s="14">
        <f t="shared" si="41"/>
        <v>56.243586554989342</v>
      </c>
      <c r="CW58" s="22">
        <f t="shared" si="13"/>
        <v>498.22601991660639</v>
      </c>
      <c r="CX58" s="62">
        <f t="shared" si="14"/>
        <v>738.34281891358955</v>
      </c>
      <c r="CY58" s="62">
        <f ca="1">AVERAGE(OFFSET($CX$3,0,0,'Données projet'!$E$13+1,1))-AVERAGE(OFFSET($H$3,0,0,'Données projet'!$E$13+1,1))</f>
        <v>499.92116338695428</v>
      </c>
      <c r="CZ58" s="62">
        <f t="shared" si="42"/>
        <v>316.79403154855652</v>
      </c>
      <c r="DA58" s="16">
        <f>IF(ISNA(VLOOKUP(A58,'Données projet'!$A$139:$I$159,3,0)),0,VLOOKUP(A58,'Données projet'!$A$139:$I$159,3,0))</f>
        <v>8</v>
      </c>
      <c r="DB58" s="16">
        <f>IF(ISNA(VLOOKUP(A58,'Données projet'!$A$139:$I$159,4,0)),0,VLOOKUP(A58,'Données projet'!$A$139:$I$159,4,0))</f>
        <v>28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1.5663834686373661</v>
      </c>
      <c r="DH58" s="23">
        <f>EXP(-LN(2)/2)*DH57+(1-EXP(-LN(2)/2))/(LN(2)/2)*DB58*DE58*VLOOKUP('Données projet'!$B$13,Paramètres!$A$1:$I$89,3,0)*0.475*44/12</f>
        <v>5.1063787188003929E-4</v>
      </c>
      <c r="DI58" s="24">
        <f t="shared" si="15"/>
        <v>1.5668941065092461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135.66666666666666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211.70619219850786</v>
      </c>
      <c r="T59" s="62">
        <f t="shared" si="34"/>
        <v>426.883837098247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1.9895196601282805E-13</v>
      </c>
      <c r="AJ59" s="14">
        <f>AI59*VLOOKUP('Données projet'!$B$10,Paramètres!$A$1:$I$89,3,0)*VLOOKUP('Données projet'!$B$10,Paramètres!$A$1:$I$89,5,0)</f>
        <v>1.8001173884840681E-13</v>
      </c>
      <c r="AK59" s="14">
        <f t="shared" si="35"/>
        <v>2.5254331426407198E-12</v>
      </c>
      <c r="AL59" s="22">
        <f t="shared" si="4"/>
        <v>4.7119831685935622E-12</v>
      </c>
      <c r="AM59" s="62">
        <f t="shared" si="5"/>
        <v>241.03998689337635</v>
      </c>
      <c r="AN59" s="62">
        <f ca="1">AVERAGE(OFFSET($AM$3,0,0,'Données projet'!$E$10+1,1))-AVERAGE(OFFSET($H$3,0,0,'Données projet'!$E$10+1,1))</f>
        <v>327.07074355218322</v>
      </c>
      <c r="AO59" s="62">
        <f t="shared" si="36"/>
        <v>462.01668587029087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4.9819384899649792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4.9819384899649792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</v>
      </c>
      <c r="BD59" s="13">
        <f>IF('Données projet'!$A$88&gt;35,BD58+BC59-BL58,IF(A59&lt;'Données projet'!$A$88,$BA$205^A59,IF(A59='Données projet'!$A$88,'Données projet'!$B$88,BD58+BC59-BL58)))</f>
        <v>196.00000000000003</v>
      </c>
      <c r="BE59" s="14">
        <f>BD59*VLOOKUP('Données projet'!$B$11,Paramètres!$A$1:$I$89,3,0)*VLOOKUP('Données projet'!$B$11,Paramètres!$A$1:$I$89,5,0)</f>
        <v>171.22560000000004</v>
      </c>
      <c r="BF59" s="14">
        <f t="shared" si="37"/>
        <v>43.364402348589557</v>
      </c>
      <c r="BG59" s="22">
        <f t="shared" si="7"/>
        <v>373.74425409046017</v>
      </c>
      <c r="BH59" s="62">
        <f t="shared" si="8"/>
        <v>614.78424098383175</v>
      </c>
      <c r="BI59" s="62">
        <f ca="1">AVERAGE(OFFSET($BH$3,0,0,'Données projet'!$E$11+1,1))-AVERAGE(OFFSET($H$3,0,0,'Données projet'!$E$11+1,1))</f>
        <v>378.51861272969165</v>
      </c>
      <c r="BJ59" s="62">
        <f t="shared" si="38"/>
        <v>387.42368617035459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6.9612113290321815</v>
      </c>
      <c r="BR59" s="23">
        <f>EXP(-LN(2)/2)*BR58+(1-EXP(-LN(2)/2))/(LN(2)/2)*BL59*BO59*VLOOKUP('Données projet'!$B$11,Paramètres!$A$1:$I$89,3,0)*0.475*44/12</f>
        <v>2.1904975027073033E-3</v>
      </c>
      <c r="BS59" s="24">
        <f t="shared" si="9"/>
        <v>6.9634018265348887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5.6843418860808015E-14</v>
      </c>
      <c r="BZ59" s="14">
        <f>BY59*VLOOKUP('Données projet'!$B$12,Paramètres!$A$1:$I$89,3,0)*VLOOKUP('Données projet'!$B$12,Paramètres!$A$1:$I$89,5,0)</f>
        <v>3.3992364478763198E-14</v>
      </c>
      <c r="CA59" s="14">
        <f t="shared" si="39"/>
        <v>5.790027782444094E-13</v>
      </c>
      <c r="CB59" s="22">
        <f t="shared" si="10"/>
        <v>1.0676332069095257E-12</v>
      </c>
      <c r="CC59" s="62">
        <f t="shared" si="11"/>
        <v>241.03998689337271</v>
      </c>
      <c r="CD59" s="62">
        <f ca="1">AVERAGE(OFFSET($CC$3,0,0,'Données projet'!$E$12+1,1))-AVERAGE(OFFSET($H$3,0,0,'Données projet'!$E$12+1,1))</f>
        <v>225.71928466161592</v>
      </c>
      <c r="CE59" s="62">
        <f t="shared" si="40"/>
        <v>385.98818770742025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65.366453174330744</v>
      </c>
      <c r="CL59" s="23">
        <f>EXP(-LN(2)/25)*CL58+(1-EXP(-LN(2)/25))/(LN(2)/25)*Calculateur!CG59*Calculateur!CI59*VLOOKUP('Données projet'!$B$12,Paramètres!$A$1:$I$89,3,0)*0.475*44/12</f>
        <v>1.6258304641291987</v>
      </c>
      <c r="CM59" s="23">
        <f>EXP(-LN(2)/2)*CM58+(1-EXP(-LN(2)/2))/(LN(2)/2)*CG59*CJ59*VLOOKUP('Données projet'!$B$12,Paramètres!$A$1:$I$89,3,0)*0.475*44/12</f>
        <v>0.13446272444934565</v>
      </c>
      <c r="CN59" s="24">
        <f t="shared" si="12"/>
        <v>67.126746362909287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9.4</v>
      </c>
      <c r="CT59" s="13">
        <f>IF('Données projet'!$A$140&gt;35,CT58+CS59-DB58,IF(A59&lt;'Données projet'!$A$140,$CQ$205^A59,IF(A59='Données projet'!$A$140,'Données projet'!$B$140,CT58+CS59-DB58)))</f>
        <v>235.39999999999998</v>
      </c>
      <c r="CU59" s="18">
        <f>CT59*VLOOKUP('Données projet'!$B$13,Paramètres!$A$1:$I$89,3,0)*VLOOKUP('Données projet'!$B$13,Paramètres!$A$1:$I$89,5,0)</f>
        <v>212.98991999999998</v>
      </c>
      <c r="CV59" s="14">
        <f t="shared" si="41"/>
        <v>52.588419883221171</v>
      </c>
      <c r="CW59" s="22">
        <f t="shared" si="13"/>
        <v>462.54894196327677</v>
      </c>
      <c r="CX59" s="62">
        <f t="shared" si="14"/>
        <v>703.58892885664841</v>
      </c>
      <c r="CY59" s="62">
        <f ca="1">AVERAGE(OFFSET($CX$3,0,0,'Données projet'!$E$13+1,1))-AVERAGE(OFFSET($H$3,0,0,'Données projet'!$E$13+1,1))</f>
        <v>499.92116338695428</v>
      </c>
      <c r="CZ59" s="62">
        <f t="shared" si="42"/>
        <v>316.79403154855652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1.5235506303149506</v>
      </c>
      <c r="DH59" s="23">
        <f>EXP(-LN(2)/2)*DH58+(1-EXP(-LN(2)/2))/(LN(2)/2)*DB59*DE59*VLOOKUP('Données projet'!$B$13,Paramètres!$A$1:$I$89,3,0)*0.475*44/12</f>
        <v>3.6107550193704323E-4</v>
      </c>
      <c r="DI59" s="24">
        <f t="shared" si="15"/>
        <v>1.5239117058168876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135.66666666666666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211.70619219850786</v>
      </c>
      <c r="T60" s="62">
        <f t="shared" si="34"/>
        <v>426.883837098247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1.9895196601282805E-13</v>
      </c>
      <c r="AJ60" s="14">
        <f>AI60*VLOOKUP('Données projet'!$B$10,Paramètres!$A$1:$I$89,3,0)*VLOOKUP('Données projet'!$B$10,Paramètres!$A$1:$I$89,5,0)</f>
        <v>1.8001173884840681E-13</v>
      </c>
      <c r="AK60" s="14">
        <f t="shared" si="35"/>
        <v>2.5254331426407198E-12</v>
      </c>
      <c r="AL60" s="22">
        <f t="shared" si="4"/>
        <v>4.7119831685935622E-12</v>
      </c>
      <c r="AM60" s="62">
        <f t="shared" si="5"/>
        <v>241.9471595437015</v>
      </c>
      <c r="AN60" s="62">
        <f ca="1">AVERAGE(OFFSET($AM$3,0,0,'Données projet'!$E$10+1,1))-AVERAGE(OFFSET($H$3,0,0,'Données projet'!$E$10+1,1))</f>
        <v>327.07074355218322</v>
      </c>
      <c r="AO60" s="62">
        <f t="shared" si="36"/>
        <v>462.01668587029087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4.8842457148592002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4.8842457148592002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</v>
      </c>
      <c r="BD60" s="13">
        <f>IF('Données projet'!$A$88&gt;35,BD59+BC60-BL59,IF(A60&lt;'Données projet'!$A$88,$BA$205^A60,IF(A60='Données projet'!$A$88,'Données projet'!$B$88,BD59+BC60-BL59)))</f>
        <v>202.00000000000003</v>
      </c>
      <c r="BE60" s="14">
        <f>BD60*VLOOKUP('Données projet'!$B$11,Paramètres!$A$1:$I$89,3,0)*VLOOKUP('Données projet'!$B$11,Paramètres!$A$1:$I$89,5,0)</f>
        <v>176.46720000000005</v>
      </c>
      <c r="BF60" s="14">
        <f t="shared" si="37"/>
        <v>44.535298821989393</v>
      </c>
      <c r="BG60" s="22">
        <f t="shared" si="7"/>
        <v>384.91268544829819</v>
      </c>
      <c r="BH60" s="62">
        <f t="shared" si="8"/>
        <v>626.85984499199503</v>
      </c>
      <c r="BI60" s="62">
        <f ca="1">AVERAGE(OFFSET($BH$3,0,0,'Données projet'!$E$11+1,1))-AVERAGE(OFFSET($H$3,0,0,'Données projet'!$E$11+1,1))</f>
        <v>378.51861272969165</v>
      </c>
      <c r="BJ60" s="62">
        <f t="shared" si="38"/>
        <v>387.42368617035459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6.7708566391656024</v>
      </c>
      <c r="BR60" s="23">
        <f>EXP(-LN(2)/2)*BR59+(1-EXP(-LN(2)/2))/(LN(2)/2)*BL60*BO60*VLOOKUP('Données projet'!$B$11,Paramètres!$A$1:$I$89,3,0)*0.475*44/12</f>
        <v>1.548915638336532E-3</v>
      </c>
      <c r="BS60" s="24">
        <f t="shared" si="9"/>
        <v>6.7724055548039388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5.6843418860808015E-14</v>
      </c>
      <c r="BZ60" s="14">
        <f>BY60*VLOOKUP('Données projet'!$B$12,Paramètres!$A$1:$I$89,3,0)*VLOOKUP('Données projet'!$B$12,Paramètres!$A$1:$I$89,5,0)</f>
        <v>3.3992364478763198E-14</v>
      </c>
      <c r="CA60" s="14">
        <f t="shared" si="39"/>
        <v>5.790027782444094E-13</v>
      </c>
      <c r="CB60" s="22">
        <f t="shared" si="10"/>
        <v>1.0676332069095257E-12</v>
      </c>
      <c r="CC60" s="62">
        <f t="shared" si="11"/>
        <v>241.94715954369786</v>
      </c>
      <c r="CD60" s="62">
        <f ca="1">AVERAGE(OFFSET($CC$3,0,0,'Données projet'!$E$12+1,1))-AVERAGE(OFFSET($H$3,0,0,'Données projet'!$E$12+1,1))</f>
        <v>225.71928466161592</v>
      </c>
      <c r="CE60" s="62">
        <f t="shared" si="40"/>
        <v>385.98818770742025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64.084656897181759</v>
      </c>
      <c r="CL60" s="23">
        <f>EXP(-LN(2)/25)*CL59+(1-EXP(-LN(2)/25))/(LN(2)/25)*Calculateur!CG60*Calculateur!CI60*VLOOKUP('Données projet'!$B$12,Paramètres!$A$1:$I$89,3,0)*0.475*44/12</f>
        <v>1.5813720445888775</v>
      </c>
      <c r="CM60" s="23">
        <f>EXP(-LN(2)/2)*CM59+(1-EXP(-LN(2)/2))/(LN(2)/2)*CG60*CJ60*VLOOKUP('Données projet'!$B$12,Paramètres!$A$1:$I$89,3,0)*0.475*44/12</f>
        <v>9.5079504274950488E-2</v>
      </c>
      <c r="CN60" s="24">
        <f t="shared" si="12"/>
        <v>65.761108446045583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9.4</v>
      </c>
      <c r="CT60" s="13">
        <f>IF('Données projet'!$A$140&gt;35,CT59+CS60-DB59,IF(A60&lt;'Données projet'!$A$140,$CQ$205^A60,IF(A60='Données projet'!$A$140,'Données projet'!$B$140,CT59+CS60-DB59)))</f>
        <v>244.79999999999998</v>
      </c>
      <c r="CU60" s="18">
        <f>CT60*VLOOKUP('Données projet'!$B$13,Paramètres!$A$1:$I$89,3,0)*VLOOKUP('Données projet'!$B$13,Paramètres!$A$1:$I$89,5,0)</f>
        <v>221.49503999999999</v>
      </c>
      <c r="CV60" s="14">
        <f t="shared" si="41"/>
        <v>54.439697086174412</v>
      </c>
      <c r="CW60" s="22">
        <f t="shared" si="13"/>
        <v>480.58633375842032</v>
      </c>
      <c r="CX60" s="62">
        <f t="shared" si="14"/>
        <v>722.53349330211711</v>
      </c>
      <c r="CY60" s="62">
        <f ca="1">AVERAGE(OFFSET($CX$3,0,0,'Données projet'!$E$13+1,1))-AVERAGE(OFFSET($H$3,0,0,'Données projet'!$E$13+1,1))</f>
        <v>499.92116338695428</v>
      </c>
      <c r="CZ60" s="62">
        <f t="shared" si="42"/>
        <v>316.79403154855652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1.4818890582089428</v>
      </c>
      <c r="DH60" s="23">
        <f>EXP(-LN(2)/2)*DH59+(1-EXP(-LN(2)/2))/(LN(2)/2)*DB60*DE60*VLOOKUP('Données projet'!$B$13,Paramètres!$A$1:$I$89,3,0)*0.475*44/12</f>
        <v>2.5531893594001964E-4</v>
      </c>
      <c r="DI60" s="24">
        <f t="shared" si="15"/>
        <v>1.4821443771448828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135.66666666666666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211.70619219850786</v>
      </c>
      <c r="T61" s="62">
        <f t="shared" si="34"/>
        <v>426.883837098247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1.9895196601282805E-13</v>
      </c>
      <c r="AJ61" s="14">
        <f>AI61*VLOOKUP('Données projet'!$B$10,Paramètres!$A$1:$I$89,3,0)*VLOOKUP('Données projet'!$B$10,Paramètres!$A$1:$I$89,5,0)</f>
        <v>1.8001173884840681E-13</v>
      </c>
      <c r="AK61" s="14">
        <f t="shared" si="35"/>
        <v>2.5254331426407198E-12</v>
      </c>
      <c r="AL61" s="22">
        <f t="shared" si="4"/>
        <v>4.7119831685935622E-12</v>
      </c>
      <c r="AM61" s="62">
        <f t="shared" si="5"/>
        <v>242.83859477667775</v>
      </c>
      <c r="AN61" s="62">
        <f ca="1">AVERAGE(OFFSET($AM$3,0,0,'Données projet'!$E$10+1,1))-AVERAGE(OFFSET($H$3,0,0,'Données projet'!$E$10+1,1))</f>
        <v>327.07074355218322</v>
      </c>
      <c r="AO61" s="62">
        <f t="shared" si="36"/>
        <v>462.01668587029087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4.7884686354865362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4.7884686354865362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</v>
      </c>
      <c r="BD61" s="13">
        <f>IF('Données projet'!$A$88&gt;35,BD60+BC61-BL60,IF(A61&lt;'Données projet'!$A$88,$BA$205^A61,IF(A61='Données projet'!$A$88,'Données projet'!$B$88,BD60+BC61-BL60)))</f>
        <v>208.00000000000003</v>
      </c>
      <c r="BE61" s="14">
        <f>BD61*VLOOKUP('Données projet'!$B$11,Paramètres!$A$1:$I$89,3,0)*VLOOKUP('Données projet'!$B$11,Paramètres!$A$1:$I$89,5,0)</f>
        <v>181.70880000000005</v>
      </c>
      <c r="BF61" s="14">
        <f t="shared" si="37"/>
        <v>45.702153370067812</v>
      </c>
      <c r="BG61" s="22">
        <f t="shared" si="7"/>
        <v>396.07407711953482</v>
      </c>
      <c r="BH61" s="62">
        <f t="shared" si="8"/>
        <v>638.91267189620783</v>
      </c>
      <c r="BI61" s="62">
        <f ca="1">AVERAGE(OFFSET($BH$3,0,0,'Données projet'!$E$11+1,1))-AVERAGE(OFFSET($H$3,0,0,'Données projet'!$E$11+1,1))</f>
        <v>378.51861272969165</v>
      </c>
      <c r="BJ61" s="62">
        <f t="shared" si="38"/>
        <v>387.42368617035459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6.5857072083037433</v>
      </c>
      <c r="BR61" s="23">
        <f>EXP(-LN(2)/2)*BR60+(1-EXP(-LN(2)/2))/(LN(2)/2)*BL61*BO61*VLOOKUP('Données projet'!$B$11,Paramètres!$A$1:$I$89,3,0)*0.475*44/12</f>
        <v>1.0952487513536517E-3</v>
      </c>
      <c r="BS61" s="24">
        <f t="shared" si="9"/>
        <v>6.5868024570550974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5.6843418860808015E-14</v>
      </c>
      <c r="BZ61" s="14">
        <f>BY61*VLOOKUP('Données projet'!$B$12,Paramètres!$A$1:$I$89,3,0)*VLOOKUP('Données projet'!$B$12,Paramètres!$A$1:$I$89,5,0)</f>
        <v>3.3992364478763198E-14</v>
      </c>
      <c r="CA61" s="14">
        <f t="shared" si="39"/>
        <v>5.790027782444094E-13</v>
      </c>
      <c r="CB61" s="22">
        <f t="shared" si="10"/>
        <v>1.0676332069095257E-12</v>
      </c>
      <c r="CC61" s="62">
        <f t="shared" si="11"/>
        <v>242.83859477667411</v>
      </c>
      <c r="CD61" s="62">
        <f ca="1">AVERAGE(OFFSET($CC$3,0,0,'Données projet'!$E$12+1,1))-AVERAGE(OFFSET($H$3,0,0,'Données projet'!$E$12+1,1))</f>
        <v>225.71928466161592</v>
      </c>
      <c r="CE61" s="62">
        <f t="shared" si="40"/>
        <v>385.98818770742025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62.827995863209132</v>
      </c>
      <c r="CL61" s="23">
        <f>EXP(-LN(2)/25)*CL60+(1-EXP(-LN(2)/25))/(LN(2)/25)*Calculateur!CG61*Calculateur!CI61*VLOOKUP('Données projet'!$B$12,Paramètres!$A$1:$I$89,3,0)*0.475*44/12</f>
        <v>1.5381293428688532</v>
      </c>
      <c r="CM61" s="23">
        <f>EXP(-LN(2)/2)*CM60+(1-EXP(-LN(2)/2))/(LN(2)/2)*CG61*CJ61*VLOOKUP('Données projet'!$B$12,Paramètres!$A$1:$I$89,3,0)*0.475*44/12</f>
        <v>6.7231362224672825E-2</v>
      </c>
      <c r="CN61" s="24">
        <f t="shared" si="12"/>
        <v>64.433356568302656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9.4</v>
      </c>
      <c r="CT61" s="13">
        <f>IF('Données projet'!$A$140&gt;35,CT60+CS61-DB60,IF(A61&lt;'Données projet'!$A$140,$CQ$205^A61,IF(A61='Données projet'!$A$140,'Données projet'!$B$140,CT60+CS61-DB60)))</f>
        <v>254.2</v>
      </c>
      <c r="CU61" s="18">
        <f>CT61*VLOOKUP('Données projet'!$B$13,Paramètres!$A$1:$I$89,3,0)*VLOOKUP('Données projet'!$B$13,Paramètres!$A$1:$I$89,5,0)</f>
        <v>230.00015999999997</v>
      </c>
      <c r="CV61" s="14">
        <f t="shared" si="41"/>
        <v>56.282716126880423</v>
      </c>
      <c r="CW61" s="22">
        <f t="shared" si="13"/>
        <v>498.60934258765002</v>
      </c>
      <c r="CX61" s="62">
        <f t="shared" si="14"/>
        <v>741.44793736432302</v>
      </c>
      <c r="CY61" s="62">
        <f ca="1">AVERAGE(OFFSET($CX$3,0,0,'Données projet'!$E$13+1,1))-AVERAGE(OFFSET($H$3,0,0,'Données projet'!$E$13+1,1))</f>
        <v>499.92116338695428</v>
      </c>
      <c r="CZ61" s="62">
        <f t="shared" si="42"/>
        <v>316.79403154855652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1.4413667239830605</v>
      </c>
      <c r="DH61" s="23">
        <f>EXP(-LN(2)/2)*DH60+(1-EXP(-LN(2)/2))/(LN(2)/2)*DB61*DE61*VLOOKUP('Données projet'!$B$13,Paramètres!$A$1:$I$89,3,0)*0.475*44/12</f>
        <v>1.8053775096852162E-4</v>
      </c>
      <c r="DI61" s="24">
        <f t="shared" si="15"/>
        <v>1.441547261734029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135.66666666666666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211.70619219850786</v>
      </c>
      <c r="T62" s="62">
        <f t="shared" si="34"/>
        <v>426.883837098247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1.9895196601282805E-13</v>
      </c>
      <c r="AJ62" s="14">
        <f>AI62*VLOOKUP('Données projet'!$B$10,Paramètres!$A$1:$I$89,3,0)*VLOOKUP('Données projet'!$B$10,Paramètres!$A$1:$I$89,5,0)</f>
        <v>1.8001173884840681E-13</v>
      </c>
      <c r="AK62" s="14">
        <f t="shared" si="35"/>
        <v>2.5254331426407198E-12</v>
      </c>
      <c r="AL62" s="22">
        <f t="shared" si="4"/>
        <v>4.7119831685935622E-12</v>
      </c>
      <c r="AM62" s="62">
        <f t="shared" si="5"/>
        <v>243.71456560131239</v>
      </c>
      <c r="AN62" s="62">
        <f ca="1">AVERAGE(OFFSET($AM$3,0,0,'Données projet'!$E$10+1,1))-AVERAGE(OFFSET($H$3,0,0,'Données projet'!$E$10+1,1))</f>
        <v>327.07074355218322</v>
      </c>
      <c r="AO62" s="62">
        <f t="shared" si="36"/>
        <v>462.01668587029087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4.6945696862221196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4.6945696862221196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</v>
      </c>
      <c r="BD62" s="13">
        <f>IF('Données projet'!$A$88&gt;35,BD61+BC62-BL61,IF(A62&lt;'Données projet'!$A$88,$BA$205^A62,IF(A62='Données projet'!$A$88,'Données projet'!$B$88,BD61+BC62-BL61)))</f>
        <v>214.00000000000003</v>
      </c>
      <c r="BE62" s="14">
        <f>BD62*VLOOKUP('Données projet'!$B$11,Paramètres!$A$1:$I$89,3,0)*VLOOKUP('Données projet'!$B$11,Paramètres!$A$1:$I$89,5,0)</f>
        <v>186.95040000000006</v>
      </c>
      <c r="BF62" s="14">
        <f t="shared" si="37"/>
        <v>46.865095976617653</v>
      </c>
      <c r="BG62" s="22">
        <f t="shared" si="7"/>
        <v>407.22865549260922</v>
      </c>
      <c r="BH62" s="62">
        <f t="shared" si="8"/>
        <v>650.94322109391692</v>
      </c>
      <c r="BI62" s="62">
        <f ca="1">AVERAGE(OFFSET($BH$3,0,0,'Données projet'!$E$11+1,1))-AVERAGE(OFFSET($H$3,0,0,'Données projet'!$E$11+1,1))</f>
        <v>378.51861272969165</v>
      </c>
      <c r="BJ62" s="62">
        <f t="shared" si="38"/>
        <v>387.42368617035459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6.4056206983653876</v>
      </c>
      <c r="BR62" s="23">
        <f>EXP(-LN(2)/2)*BR61+(1-EXP(-LN(2)/2))/(LN(2)/2)*BL62*BO62*VLOOKUP('Données projet'!$B$11,Paramètres!$A$1:$I$89,3,0)*0.475*44/12</f>
        <v>7.7445781916826598E-4</v>
      </c>
      <c r="BS62" s="24">
        <f t="shared" si="9"/>
        <v>6.4063951561845558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5.6843418860808015E-14</v>
      </c>
      <c r="BZ62" s="14">
        <f>BY62*VLOOKUP('Données projet'!$B$12,Paramètres!$A$1:$I$89,3,0)*VLOOKUP('Données projet'!$B$12,Paramètres!$A$1:$I$89,5,0)</f>
        <v>3.3992364478763198E-14</v>
      </c>
      <c r="CA62" s="14">
        <f t="shared" si="39"/>
        <v>5.790027782444094E-13</v>
      </c>
      <c r="CB62" s="22">
        <f t="shared" si="10"/>
        <v>1.0676332069095257E-12</v>
      </c>
      <c r="CC62" s="62">
        <f t="shared" si="11"/>
        <v>243.71456560130875</v>
      </c>
      <c r="CD62" s="62">
        <f ca="1">AVERAGE(OFFSET($CC$3,0,0,'Données projet'!$E$12+1,1))-AVERAGE(OFFSET($H$3,0,0,'Données projet'!$E$12+1,1))</f>
        <v>225.71928466161592</v>
      </c>
      <c r="CE62" s="62">
        <f t="shared" si="40"/>
        <v>385.98818770742025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61.595977185625166</v>
      </c>
      <c r="CL62" s="23">
        <f>EXP(-LN(2)/25)*CL61+(1-EXP(-LN(2)/25))/(LN(2)/25)*Calculateur!CG62*Calculateur!CI62*VLOOKUP('Données projet'!$B$12,Paramètres!$A$1:$I$89,3,0)*0.475*44/12</f>
        <v>1.4960691151013976</v>
      </c>
      <c r="CM62" s="23">
        <f>EXP(-LN(2)/2)*CM61+(1-EXP(-LN(2)/2))/(LN(2)/2)*CG62*CJ62*VLOOKUP('Données projet'!$B$12,Paramètres!$A$1:$I$89,3,0)*0.475*44/12</f>
        <v>4.7539752137475244E-2</v>
      </c>
      <c r="CN62" s="24">
        <f t="shared" si="12"/>
        <v>63.13958605286404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9.4</v>
      </c>
      <c r="CT62" s="13">
        <f>IF('Données projet'!$A$140&gt;35,CT61+CS62-DB61,IF(A62&lt;'Données projet'!$A$140,$CQ$205^A62,IF(A62='Données projet'!$A$140,'Données projet'!$B$140,CT61+CS62-DB61)))</f>
        <v>263.59999999999997</v>
      </c>
      <c r="CU62" s="18">
        <f>CT62*VLOOKUP('Données projet'!$B$13,Paramètres!$A$1:$I$89,3,0)*VLOOKUP('Données projet'!$B$13,Paramètres!$A$1:$I$89,5,0)</f>
        <v>238.50527999999997</v>
      </c>
      <c r="CV62" s="14">
        <f t="shared" si="41"/>
        <v>58.117817352909881</v>
      </c>
      <c r="CW62" s="22">
        <f t="shared" si="13"/>
        <v>516.61856122298457</v>
      </c>
      <c r="CX62" s="62">
        <f t="shared" si="14"/>
        <v>760.33312682429221</v>
      </c>
      <c r="CY62" s="62">
        <f ca="1">AVERAGE(OFFSET($CX$3,0,0,'Données projet'!$E$13+1,1))-AVERAGE(OFFSET($H$3,0,0,'Données projet'!$E$13+1,1))</f>
        <v>499.92116338695428</v>
      </c>
      <c r="CZ62" s="62">
        <f t="shared" si="42"/>
        <v>316.79403154855652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1.401952475117562</v>
      </c>
      <c r="DH62" s="23">
        <f>EXP(-LN(2)/2)*DH61+(1-EXP(-LN(2)/2))/(LN(2)/2)*DB62*DE62*VLOOKUP('Données projet'!$B$13,Paramètres!$A$1:$I$89,3,0)*0.475*44/12</f>
        <v>1.2765946797000982E-4</v>
      </c>
      <c r="DI62" s="24">
        <f t="shared" si="15"/>
        <v>1.402080134585532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135.66666666666666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211.70619219850786</v>
      </c>
      <c r="T63" s="62">
        <f t="shared" si="34"/>
        <v>426.883837098247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1.9895196601282805E-13</v>
      </c>
      <c r="AJ63" s="14">
        <f>AI63*VLOOKUP('Données projet'!$B$10,Paramètres!$A$1:$I$89,3,0)*VLOOKUP('Données projet'!$B$10,Paramètres!$A$1:$I$89,5,0)</f>
        <v>1.8001173884840681E-13</v>
      </c>
      <c r="AK63" s="14">
        <f t="shared" si="35"/>
        <v>2.5254331426407198E-12</v>
      </c>
      <c r="AL63" s="22">
        <f t="shared" si="4"/>
        <v>4.7119831685935622E-12</v>
      </c>
      <c r="AM63" s="62">
        <f t="shared" si="5"/>
        <v>244.57534029051709</v>
      </c>
      <c r="AN63" s="62">
        <f ca="1">AVERAGE(OFFSET($AM$3,0,0,'Données projet'!$E$10+1,1))-AVERAGE(OFFSET($H$3,0,0,'Données projet'!$E$10+1,1))</f>
        <v>327.07074355218322</v>
      </c>
      <c r="AO63" s="62">
        <f t="shared" si="36"/>
        <v>462.01668587029087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4.602512038080075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4.602512038080075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220</v>
      </c>
      <c r="BB63" s="13">
        <f>VLOOKUP(A63,'Données projet'!$A$87:$I$107,9,0)</f>
        <v>6</v>
      </c>
      <c r="BC63" s="13">
        <f t="array" ref="BC63">INDEX(BB:BB,MIN(IF(ISNUMBER(BB63:BB259),ROW(BB63:BB259),"")))</f>
        <v>6</v>
      </c>
      <c r="BD63" s="13">
        <f>IF('Données projet'!$A$88&gt;35,BD62+BC63-BL62,IF(A63&lt;'Données projet'!$A$88,$BA$205^A63,IF(A63='Données projet'!$A$88,'Données projet'!$B$88,BD62+BC63-BL62)))</f>
        <v>220.00000000000003</v>
      </c>
      <c r="BE63" s="14">
        <f>BD63*VLOOKUP('Données projet'!$B$11,Paramètres!$A$1:$I$89,3,0)*VLOOKUP('Données projet'!$B$11,Paramètres!$A$1:$I$89,5,0)</f>
        <v>192.19200000000006</v>
      </c>
      <c r="BF63" s="14">
        <f t="shared" si="37"/>
        <v>48.02424892193244</v>
      </c>
      <c r="BG63" s="22">
        <f t="shared" si="7"/>
        <v>418.37663353903241</v>
      </c>
      <c r="BH63" s="62">
        <f t="shared" si="8"/>
        <v>662.95197382954484</v>
      </c>
      <c r="BI63" s="62">
        <f ca="1">AVERAGE(OFFSET($BH$3,0,0,'Données projet'!$E$11+1,1))-AVERAGE(OFFSET($H$3,0,0,'Données projet'!$E$11+1,1))</f>
        <v>378.51861272969165</v>
      </c>
      <c r="BJ63" s="62">
        <f t="shared" si="38"/>
        <v>387.42368617035459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6.2304586635116337</v>
      </c>
      <c r="BR63" s="23">
        <f>EXP(-LN(2)/2)*BR62+(1-EXP(-LN(2)/2))/(LN(2)/2)*BL63*BO63*VLOOKUP('Données projet'!$B$11,Paramètres!$A$1:$I$89,3,0)*0.475*44/12</f>
        <v>5.4762437567682583E-4</v>
      </c>
      <c r="BS63" s="24">
        <f t="shared" si="9"/>
        <v>6.2310062878873103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5.6843418860808015E-14</v>
      </c>
      <c r="BZ63" s="14">
        <f>BY63*VLOOKUP('Données projet'!$B$12,Paramètres!$A$1:$I$89,3,0)*VLOOKUP('Données projet'!$B$12,Paramètres!$A$1:$I$89,5,0)</f>
        <v>3.3992364478763198E-14</v>
      </c>
      <c r="CA63" s="14">
        <f t="shared" si="39"/>
        <v>5.790027782444094E-13</v>
      </c>
      <c r="CB63" s="22">
        <f t="shared" si="10"/>
        <v>1.0676332069095257E-12</v>
      </c>
      <c r="CC63" s="62">
        <f t="shared" si="11"/>
        <v>244.57534029051345</v>
      </c>
      <c r="CD63" s="62">
        <f ca="1">AVERAGE(OFFSET($CC$3,0,0,'Données projet'!$E$12+1,1))-AVERAGE(OFFSET($H$3,0,0,'Données projet'!$E$12+1,1))</f>
        <v>225.71928466161592</v>
      </c>
      <c r="CE63" s="62">
        <f t="shared" si="40"/>
        <v>385.98818770742025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60.388117642851427</v>
      </c>
      <c r="CL63" s="23">
        <f>EXP(-LN(2)/25)*CL62+(1-EXP(-LN(2)/25))/(LN(2)/25)*Calculateur!CG63*Calculateur!CI63*VLOOKUP('Données projet'!$B$12,Paramètres!$A$1:$I$89,3,0)*0.475*44/12</f>
        <v>1.4551590264740943</v>
      </c>
      <c r="CM63" s="23">
        <f>EXP(-LN(2)/2)*CM62+(1-EXP(-LN(2)/2))/(LN(2)/2)*CG63*CJ63*VLOOKUP('Données projet'!$B$12,Paramètres!$A$1:$I$89,3,0)*0.475*44/12</f>
        <v>3.3615681112336412E-2</v>
      </c>
      <c r="CN63" s="24">
        <f t="shared" si="12"/>
        <v>61.876892350437856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273</v>
      </c>
      <c r="CR63" s="13">
        <f>VLOOKUP(A63,'Données projet'!$A$139:$I$159,9,0)</f>
        <v>9.4</v>
      </c>
      <c r="CS63" s="13">
        <f t="array" ref="CS63">INDEX(CR:CR,MIN(IF(ISNUMBER(CR63:CR259),ROW(CR63:CR259),"")))</f>
        <v>9.4</v>
      </c>
      <c r="CT63" s="13">
        <f>IF('Données projet'!$A$140&gt;35,CT62+CS63-DB62,IF(A63&lt;'Données projet'!$A$140,$CQ$205^A63,IF(A63='Données projet'!$A$140,'Données projet'!$B$140,CT62+CS63-DB62)))</f>
        <v>272.99999999999994</v>
      </c>
      <c r="CU63" s="18">
        <f>CT63*VLOOKUP('Données projet'!$B$13,Paramètres!$A$1:$I$89,3,0)*VLOOKUP('Données projet'!$B$13,Paramètres!$A$1:$I$89,5,0)</f>
        <v>247.01039999999992</v>
      </c>
      <c r="CV63" s="14">
        <f t="shared" si="41"/>
        <v>59.945315462121812</v>
      </c>
      <c r="CW63" s="22">
        <f t="shared" si="13"/>
        <v>534.61453776319524</v>
      </c>
      <c r="CX63" s="62">
        <f t="shared" si="14"/>
        <v>779.18987805370762</v>
      </c>
      <c r="CY63" s="62">
        <f ca="1">AVERAGE(OFFSET($CX$3,0,0,'Données projet'!$E$13+1,1))-AVERAGE(OFFSET($H$3,0,0,'Données projet'!$E$13+1,1))</f>
        <v>499.92116338695428</v>
      </c>
      <c r="CZ63" s="62">
        <f t="shared" si="42"/>
        <v>316.79403154855652</v>
      </c>
      <c r="DA63" s="16">
        <f>IF(ISNA(VLOOKUP(A63,'Données projet'!$A$139:$I$159,3,0)),0,VLOOKUP(A63,'Données projet'!$A$139:$I$159,3,0))</f>
        <v>9</v>
      </c>
      <c r="DB63" s="16">
        <f>IF(ISNA(VLOOKUP(A63,'Données projet'!$A$139:$I$159,4,0)),0,VLOOKUP(A63,'Données projet'!$A$139:$I$159,4,0))</f>
        <v>28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1.363616010959996</v>
      </c>
      <c r="DH63" s="23">
        <f>EXP(-LN(2)/2)*DH62+(1-EXP(-LN(2)/2))/(LN(2)/2)*DB63*DE63*VLOOKUP('Données projet'!$B$13,Paramètres!$A$1:$I$89,3,0)*0.475*44/12</f>
        <v>9.0268875484260808E-5</v>
      </c>
      <c r="DI63" s="24">
        <f t="shared" si="15"/>
        <v>1.3637062798354802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135.66666666666666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211.70619219850786</v>
      </c>
      <c r="T64" s="62">
        <f t="shared" si="34"/>
        <v>426.883837098247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1.9895196601282805E-13</v>
      </c>
      <c r="AJ64" s="14">
        <f>AI64*VLOOKUP('Données projet'!$B$10,Paramètres!$A$1:$I$89,3,0)*VLOOKUP('Données projet'!$B$10,Paramètres!$A$1:$I$89,5,0)</f>
        <v>1.8001173884840681E-13</v>
      </c>
      <c r="AK64" s="14">
        <f t="shared" si="35"/>
        <v>2.5254331426407198E-12</v>
      </c>
      <c r="AL64" s="22">
        <f t="shared" si="4"/>
        <v>4.7119831685935622E-12</v>
      </c>
      <c r="AM64" s="62">
        <f t="shared" si="5"/>
        <v>245.42118246326794</v>
      </c>
      <c r="AN64" s="62">
        <f ca="1">AVERAGE(OFFSET($AM$3,0,0,'Données projet'!$E$10+1,1))-AVERAGE(OFFSET($H$3,0,0,'Données projet'!$E$10+1,1))</f>
        <v>327.07074355218322</v>
      </c>
      <c r="AO64" s="62">
        <f t="shared" si="36"/>
        <v>462.01668587029087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4.5122595842684747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4.5122595842684747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203.20000000000002</v>
      </c>
      <c r="BE64" s="14">
        <f>BD64*VLOOKUP('Données projet'!$B$11,Paramètres!$A$1:$I$89,3,0)*VLOOKUP('Données projet'!$B$11,Paramètres!$A$1:$I$89,5,0)</f>
        <v>177.51552000000004</v>
      </c>
      <c r="BF64" s="14">
        <f t="shared" si="37"/>
        <v>44.768988809542904</v>
      </c>
      <c r="BG64" s="22">
        <f t="shared" si="7"/>
        <v>387.145519509954</v>
      </c>
      <c r="BH64" s="62">
        <f t="shared" si="8"/>
        <v>632.56670197321728</v>
      </c>
      <c r="BI64" s="62">
        <f ca="1">AVERAGE(OFFSET($BH$3,0,0,'Données projet'!$E$11+1,1))-AVERAGE(OFFSET($H$3,0,0,'Données projet'!$E$11+1,1))</f>
        <v>378.51861272969165</v>
      </c>
      <c r="BJ64" s="62">
        <f t="shared" si="38"/>
        <v>387.42368617035459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6.0600864437123265</v>
      </c>
      <c r="BR64" s="23">
        <f>EXP(-LN(2)/2)*BR63+(1-EXP(-LN(2)/2))/(LN(2)/2)*BL64*BO64*VLOOKUP('Données projet'!$B$11,Paramètres!$A$1:$I$89,3,0)*0.475*44/12</f>
        <v>3.8722890958413299E-4</v>
      </c>
      <c r="BS64" s="24">
        <f t="shared" si="9"/>
        <v>6.0604736726219111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5.6843418860808015E-14</v>
      </c>
      <c r="BZ64" s="14">
        <f>BY64*VLOOKUP('Données projet'!$B$12,Paramètres!$A$1:$I$89,3,0)*VLOOKUP('Données projet'!$B$12,Paramètres!$A$1:$I$89,5,0)</f>
        <v>3.3992364478763198E-14</v>
      </c>
      <c r="CA64" s="14">
        <f t="shared" si="39"/>
        <v>5.790027782444094E-13</v>
      </c>
      <c r="CB64" s="22">
        <f t="shared" si="10"/>
        <v>1.0676332069095257E-12</v>
      </c>
      <c r="CC64" s="62">
        <f t="shared" si="11"/>
        <v>245.4211824632643</v>
      </c>
      <c r="CD64" s="62">
        <f ca="1">AVERAGE(OFFSET($CC$3,0,0,'Données projet'!$E$12+1,1))-AVERAGE(OFFSET($H$3,0,0,'Données projet'!$E$12+1,1))</f>
        <v>225.71928466161592</v>
      </c>
      <c r="CE64" s="62">
        <f t="shared" si="40"/>
        <v>385.98818770742025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59.203943488989907</v>
      </c>
      <c r="CL64" s="23">
        <f>EXP(-LN(2)/25)*CL63+(1-EXP(-LN(2)/25))/(LN(2)/25)*Calculateur!CG64*Calculateur!CI64*VLOOKUP('Données projet'!$B$12,Paramètres!$A$1:$I$89,3,0)*0.475*44/12</f>
        <v>1.4153676263716728</v>
      </c>
      <c r="CM64" s="23">
        <f>EXP(-LN(2)/2)*CM63+(1-EXP(-LN(2)/2))/(LN(2)/2)*CG64*CJ64*VLOOKUP('Données projet'!$B$12,Paramètres!$A$1:$I$89,3,0)*0.475*44/12</f>
        <v>2.3769876068737622E-2</v>
      </c>
      <c r="CN64" s="24">
        <f t="shared" si="12"/>
        <v>60.643080991430324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8.8000000000000007</v>
      </c>
      <c r="CT64" s="13">
        <f>IF('Données projet'!$A$140&gt;35,CT63+CS64-DB63,IF(A64&lt;'Données projet'!$A$140,$CQ$205^A64,IF(A64='Données projet'!$A$140,'Données projet'!$B$140,CT63+CS64-DB63)))</f>
        <v>253.79999999999995</v>
      </c>
      <c r="CU64" s="18">
        <f>CT64*VLOOKUP('Données projet'!$B$13,Paramètres!$A$1:$I$89,3,0)*VLOOKUP('Données projet'!$B$13,Paramètres!$A$1:$I$89,5,0)</f>
        <v>229.63823999999994</v>
      </c>
      <c r="CV64" s="14">
        <f t="shared" si="41"/>
        <v>56.204453396569633</v>
      </c>
      <c r="CW64" s="22">
        <f t="shared" si="13"/>
        <v>497.84269099902531</v>
      </c>
      <c r="CX64" s="62">
        <f t="shared" si="14"/>
        <v>743.26387346228853</v>
      </c>
      <c r="CY64" s="62">
        <f ca="1">AVERAGE(OFFSET($CX$3,0,0,'Données projet'!$E$13+1,1))-AVERAGE(OFFSET($H$3,0,0,'Données projet'!$E$13+1,1))</f>
        <v>499.92116338695428</v>
      </c>
      <c r="CZ64" s="62">
        <f t="shared" si="42"/>
        <v>316.79403154855652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1.3263278594308454</v>
      </c>
      <c r="DH64" s="23">
        <f>EXP(-LN(2)/2)*DH63+(1-EXP(-LN(2)/2))/(LN(2)/2)*DB64*DE64*VLOOKUP('Données projet'!$B$13,Paramètres!$A$1:$I$89,3,0)*0.475*44/12</f>
        <v>6.3829733985004911E-5</v>
      </c>
      <c r="DI64" s="24">
        <f t="shared" si="15"/>
        <v>1.3263916891648304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135.66666666666666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211.70619219850786</v>
      </c>
      <c r="T65" s="62">
        <f t="shared" si="34"/>
        <v>426.883837098247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1.9895196601282805E-13</v>
      </c>
      <c r="AJ65" s="14">
        <f>AI65*VLOOKUP('Données projet'!$B$10,Paramètres!$A$1:$I$89,3,0)*VLOOKUP('Données projet'!$B$10,Paramètres!$A$1:$I$89,5,0)</f>
        <v>1.8001173884840681E-13</v>
      </c>
      <c r="AK65" s="14">
        <f t="shared" si="35"/>
        <v>2.5254331426407198E-12</v>
      </c>
      <c r="AL65" s="22">
        <f t="shared" si="4"/>
        <v>4.7119831685935622E-12</v>
      </c>
      <c r="AM65" s="62">
        <f t="shared" si="5"/>
        <v>246.25235116534139</v>
      </c>
      <c r="AN65" s="62">
        <f ca="1">AVERAGE(OFFSET($AM$3,0,0,'Données projet'!$E$10+1,1))-AVERAGE(OFFSET($H$3,0,0,'Données projet'!$E$10+1,1))</f>
        <v>327.07074355218322</v>
      </c>
      <c r="AO65" s="62">
        <f t="shared" si="36"/>
        <v>462.01668587029087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4.4237769260275588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4.4237769260275588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208.4</v>
      </c>
      <c r="BE65" s="14">
        <f>BD65*VLOOKUP('Données projet'!$B$11,Paramètres!$A$1:$I$89,3,0)*VLOOKUP('Données projet'!$B$11,Paramètres!$A$1:$I$89,5,0)</f>
        <v>182.05824000000001</v>
      </c>
      <c r="BF65" s="14">
        <f t="shared" si="37"/>
        <v>45.779803189729343</v>
      </c>
      <c r="BG65" s="22">
        <f t="shared" si="7"/>
        <v>396.81792522211191</v>
      </c>
      <c r="BH65" s="62">
        <f t="shared" si="8"/>
        <v>643.07027638744853</v>
      </c>
      <c r="BI65" s="62">
        <f ca="1">AVERAGE(OFFSET($BH$3,0,0,'Données projet'!$E$11+1,1))-AVERAGE(OFFSET($H$3,0,0,'Données projet'!$E$11+1,1))</f>
        <v>378.51861272969165</v>
      </c>
      <c r="BJ65" s="62">
        <f t="shared" si="38"/>
        <v>387.42368617035459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5.8943730612229173</v>
      </c>
      <c r="BR65" s="23">
        <f>EXP(-LN(2)/2)*BR64+(1-EXP(-LN(2)/2))/(LN(2)/2)*BL65*BO65*VLOOKUP('Données projet'!$B$11,Paramètres!$A$1:$I$89,3,0)*0.475*44/12</f>
        <v>2.7381218783841291E-4</v>
      </c>
      <c r="BS65" s="24">
        <f t="shared" si="9"/>
        <v>5.894646873410756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5.6843418860808015E-14</v>
      </c>
      <c r="BZ65" s="14">
        <f>BY65*VLOOKUP('Données projet'!$B$12,Paramètres!$A$1:$I$89,3,0)*VLOOKUP('Données projet'!$B$12,Paramètres!$A$1:$I$89,5,0)</f>
        <v>3.3992364478763198E-14</v>
      </c>
      <c r="CA65" s="14">
        <f t="shared" si="39"/>
        <v>5.790027782444094E-13</v>
      </c>
      <c r="CB65" s="22">
        <f t="shared" si="10"/>
        <v>1.0676332069095257E-12</v>
      </c>
      <c r="CC65" s="62">
        <f t="shared" si="11"/>
        <v>246.25235116533776</v>
      </c>
      <c r="CD65" s="62">
        <f ca="1">AVERAGE(OFFSET($CC$3,0,0,'Données projet'!$E$12+1,1))-AVERAGE(OFFSET($H$3,0,0,'Données projet'!$E$12+1,1))</f>
        <v>225.71928466161592</v>
      </c>
      <c r="CE65" s="62">
        <f t="shared" si="40"/>
        <v>385.98818770742025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58.042990268010691</v>
      </c>
      <c r="CL65" s="23">
        <f>EXP(-LN(2)/25)*CL64+(1-EXP(-LN(2)/25))/(LN(2)/25)*Calculateur!CG65*Calculateur!CI65*VLOOKUP('Données projet'!$B$12,Paramètres!$A$1:$I$89,3,0)*0.475*44/12</f>
        <v>1.3766643241975909</v>
      </c>
      <c r="CM65" s="23">
        <f>EXP(-LN(2)/2)*CM64+(1-EXP(-LN(2)/2))/(LN(2)/2)*CG65*CJ65*VLOOKUP('Données projet'!$B$12,Paramètres!$A$1:$I$89,3,0)*0.475*44/12</f>
        <v>1.6807840556168206E-2</v>
      </c>
      <c r="CN65" s="24">
        <f t="shared" si="12"/>
        <v>59.436462432764451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8.8000000000000007</v>
      </c>
      <c r="CT65" s="13">
        <f>IF('Données projet'!$A$140&gt;35,CT64+CS65-DB64,IF(A65&lt;'Données projet'!$A$140,$CQ$205^A65,IF(A65='Données projet'!$A$140,'Données projet'!$B$140,CT64+CS65-DB64)))</f>
        <v>262.59999999999997</v>
      </c>
      <c r="CU65" s="18">
        <f>CT65*VLOOKUP('Données projet'!$B$13,Paramètres!$A$1:$I$89,3,0)*VLOOKUP('Données projet'!$B$13,Paramètres!$A$1:$I$89,5,0)</f>
        <v>237.60047999999995</v>
      </c>
      <c r="CV65" s="14">
        <f t="shared" si="41"/>
        <v>57.922960533442058</v>
      </c>
      <c r="CW65" s="22">
        <f t="shared" si="13"/>
        <v>514.70332559574479</v>
      </c>
      <c r="CX65" s="62">
        <f t="shared" si="14"/>
        <v>760.95567676108146</v>
      </c>
      <c r="CY65" s="62">
        <f ca="1">AVERAGE(OFFSET($CX$3,0,0,'Données projet'!$E$13+1,1))-AVERAGE(OFFSET($H$3,0,0,'Données projet'!$E$13+1,1))</f>
        <v>499.92116338695428</v>
      </c>
      <c r="CZ65" s="62">
        <f t="shared" si="42"/>
        <v>316.79403154855652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1.2900593543661583</v>
      </c>
      <c r="DH65" s="23">
        <f>EXP(-LN(2)/2)*DH64+(1-EXP(-LN(2)/2))/(LN(2)/2)*DB65*DE65*VLOOKUP('Données projet'!$B$13,Paramètres!$A$1:$I$89,3,0)*0.475*44/12</f>
        <v>4.5134437742130404E-5</v>
      </c>
      <c r="DI65" s="24">
        <f t="shared" si="15"/>
        <v>1.2901044888039004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135.66666666666666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211.70619219850786</v>
      </c>
      <c r="T66" s="62">
        <f t="shared" si="34"/>
        <v>426.883837098247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1.9895196601282805E-13</v>
      </c>
      <c r="AJ66" s="14">
        <f>AI66*VLOOKUP('Données projet'!$B$10,Paramètres!$A$1:$I$89,3,0)*VLOOKUP('Données projet'!$B$10,Paramètres!$A$1:$I$89,5,0)</f>
        <v>1.8001173884840681E-13</v>
      </c>
      <c r="AK66" s="14">
        <f t="shared" si="35"/>
        <v>2.5254331426407198E-12</v>
      </c>
      <c r="AL66" s="22">
        <f t="shared" si="4"/>
        <v>4.7119831685935622E-12</v>
      </c>
      <c r="AM66" s="62">
        <f t="shared" si="5"/>
        <v>247.0691009486487</v>
      </c>
      <c r="AN66" s="62">
        <f ca="1">AVERAGE(OFFSET($AM$3,0,0,'Données projet'!$E$10+1,1))-AVERAGE(OFFSET($H$3,0,0,'Données projet'!$E$10+1,1))</f>
        <v>327.07074355218322</v>
      </c>
      <c r="AO66" s="62">
        <f t="shared" si="36"/>
        <v>462.01668587029087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4.3370293587456548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4.3370293587456548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213.6</v>
      </c>
      <c r="BE66" s="14">
        <f>BD66*VLOOKUP('Données projet'!$B$11,Paramètres!$A$1:$I$89,3,0)*VLOOKUP('Données projet'!$B$11,Paramètres!$A$1:$I$89,5,0)</f>
        <v>186.60096000000001</v>
      </c>
      <c r="BF66" s="14">
        <f t="shared" si="37"/>
        <v>46.787685683664144</v>
      </c>
      <c r="BG66" s="22">
        <f t="shared" si="7"/>
        <v>406.48522456571504</v>
      </c>
      <c r="BH66" s="62">
        <f t="shared" si="8"/>
        <v>653.55432551435899</v>
      </c>
      <c r="BI66" s="62">
        <f ca="1">AVERAGE(OFFSET($BH$3,0,0,'Données projet'!$E$11+1,1))-AVERAGE(OFFSET($H$3,0,0,'Données projet'!$E$11+1,1))</f>
        <v>378.51861272969165</v>
      </c>
      <c r="BJ66" s="62">
        <f t="shared" si="38"/>
        <v>387.42368617035459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5.7331911198921688</v>
      </c>
      <c r="BR66" s="23">
        <f>EXP(-LN(2)/2)*BR65+(1-EXP(-LN(2)/2))/(LN(2)/2)*BL66*BO66*VLOOKUP('Données projet'!$B$11,Paramètres!$A$1:$I$89,3,0)*0.475*44/12</f>
        <v>1.9361445479206649E-4</v>
      </c>
      <c r="BS66" s="24">
        <f t="shared" si="9"/>
        <v>5.7333847343469611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5.6843418860808015E-14</v>
      </c>
      <c r="BZ66" s="14">
        <f>BY66*VLOOKUP('Données projet'!$B$12,Paramètres!$A$1:$I$89,3,0)*VLOOKUP('Données projet'!$B$12,Paramètres!$A$1:$I$89,5,0)</f>
        <v>3.3992364478763198E-14</v>
      </c>
      <c r="CA66" s="14">
        <f t="shared" si="39"/>
        <v>5.790027782444094E-13</v>
      </c>
      <c r="CB66" s="22">
        <f t="shared" si="10"/>
        <v>1.0676332069095257E-12</v>
      </c>
      <c r="CC66" s="62">
        <f t="shared" si="11"/>
        <v>247.06910094864506</v>
      </c>
      <c r="CD66" s="62">
        <f ca="1">AVERAGE(OFFSET($CC$3,0,0,'Données projet'!$E$12+1,1))-AVERAGE(OFFSET($H$3,0,0,'Données projet'!$E$12+1,1))</f>
        <v>225.71928466161592</v>
      </c>
      <c r="CE66" s="62">
        <f t="shared" si="40"/>
        <v>385.98818770742025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56.904802631583337</v>
      </c>
      <c r="CL66" s="23">
        <f>EXP(-LN(2)/25)*CL65+(1-EXP(-LN(2)/25))/(LN(2)/25)*Calculateur!CG66*Calculateur!CI66*VLOOKUP('Données projet'!$B$12,Paramètres!$A$1:$I$89,3,0)*0.475*44/12</f>
        <v>1.3390193658567773</v>
      </c>
      <c r="CM66" s="23">
        <f>EXP(-LN(2)/2)*CM65+(1-EXP(-LN(2)/2))/(LN(2)/2)*CG66*CJ66*VLOOKUP('Données projet'!$B$12,Paramètres!$A$1:$I$89,3,0)*0.475*44/12</f>
        <v>1.1884938034368811E-2</v>
      </c>
      <c r="CN66" s="24">
        <f t="shared" si="12"/>
        <v>58.255706935474485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8.8000000000000007</v>
      </c>
      <c r="CT66" s="13">
        <f>IF('Données projet'!$A$140&gt;35,CT65+CS66-DB65,IF(A66&lt;'Données projet'!$A$140,$CQ$205^A66,IF(A66='Données projet'!$A$140,'Données projet'!$B$140,CT65+CS66-DB65)))</f>
        <v>271.39999999999998</v>
      </c>
      <c r="CU66" s="18">
        <f>CT66*VLOOKUP('Données projet'!$B$13,Paramètres!$A$1:$I$89,3,0)*VLOOKUP('Données projet'!$B$13,Paramètres!$A$1:$I$89,5,0)</f>
        <v>245.56271999999998</v>
      </c>
      <c r="CV66" s="14">
        <f t="shared" si="41"/>
        <v>59.634776048276898</v>
      </c>
      <c r="CW66" s="22">
        <f t="shared" si="13"/>
        <v>531.55230561741564</v>
      </c>
      <c r="CX66" s="62">
        <f t="shared" si="14"/>
        <v>778.62140656605959</v>
      </c>
      <c r="CY66" s="62">
        <f ca="1">AVERAGE(OFFSET($CX$3,0,0,'Données projet'!$E$13+1,1))-AVERAGE(OFFSET($H$3,0,0,'Données projet'!$E$13+1,1))</f>
        <v>499.92116338695428</v>
      </c>
      <c r="CZ66" s="62">
        <f t="shared" si="42"/>
        <v>316.79403154855652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1.2547826134797426</v>
      </c>
      <c r="DH66" s="23">
        <f>EXP(-LN(2)/2)*DH65+(1-EXP(-LN(2)/2))/(LN(2)/2)*DB66*DE66*VLOOKUP('Données projet'!$B$13,Paramètres!$A$1:$I$89,3,0)*0.475*44/12</f>
        <v>3.1914866992502455E-5</v>
      </c>
      <c r="DI66" s="24">
        <f t="shared" si="15"/>
        <v>1.2548145283467351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135.66666666666666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211.70619219850786</v>
      </c>
      <c r="T67" s="62">
        <f t="shared" si="34"/>
        <v>426.883837098247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1.9895196601282805E-13</v>
      </c>
      <c r="AJ67" s="14">
        <f>AI67*VLOOKUP('Données projet'!$B$10,Paramètres!$A$1:$I$89,3,0)*VLOOKUP('Données projet'!$B$10,Paramètres!$A$1:$I$89,5,0)</f>
        <v>1.8001173884840681E-13</v>
      </c>
      <c r="AK67" s="14">
        <f t="shared" si="35"/>
        <v>2.5254331426407198E-12</v>
      </c>
      <c r="AL67" s="22">
        <f t="shared" si="4"/>
        <v>4.7119831685935622E-12</v>
      </c>
      <c r="AM67" s="62">
        <f t="shared" si="5"/>
        <v>247.87168194919454</v>
      </c>
      <c r="AN67" s="62">
        <f ca="1">AVERAGE(OFFSET($AM$3,0,0,'Données projet'!$E$10+1,1))-AVERAGE(OFFSET($H$3,0,0,'Données projet'!$E$10+1,1))</f>
        <v>327.07074355218322</v>
      </c>
      <c r="AO67" s="62">
        <f t="shared" si="36"/>
        <v>462.01668587029087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4.2519828583473567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4.2519828583473567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218.79999999999998</v>
      </c>
      <c r="BE67" s="14">
        <f>BD67*VLOOKUP('Données projet'!$B$11,Paramètres!$A$1:$I$89,3,0)*VLOOKUP('Données projet'!$B$11,Paramètres!$A$1:$I$89,5,0)</f>
        <v>191.14368000000002</v>
      </c>
      <c r="BF67" s="14">
        <f t="shared" si="37"/>
        <v>47.792715878069586</v>
      </c>
      <c r="BG67" s="22">
        <f t="shared" si="7"/>
        <v>416.14755615430454</v>
      </c>
      <c r="BH67" s="62">
        <f t="shared" si="8"/>
        <v>664.01923810349433</v>
      </c>
      <c r="BI67" s="62">
        <f ca="1">AVERAGE(OFFSET($BH$3,0,0,'Données projet'!$E$11+1,1))-AVERAGE(OFFSET($H$3,0,0,'Données projet'!$E$11+1,1))</f>
        <v>378.51861272969165</v>
      </c>
      <c r="BJ67" s="62">
        <f t="shared" si="38"/>
        <v>387.42368617035459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5.5764167072232995</v>
      </c>
      <c r="BR67" s="23">
        <f>EXP(-LN(2)/2)*BR66+(1-EXP(-LN(2)/2))/(LN(2)/2)*BL67*BO67*VLOOKUP('Données projet'!$B$11,Paramètres!$A$1:$I$89,3,0)*0.475*44/12</f>
        <v>1.3690609391920646E-4</v>
      </c>
      <c r="BS67" s="24">
        <f t="shared" si="9"/>
        <v>5.5765536133172189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5.6843418860808015E-14</v>
      </c>
      <c r="BZ67" s="14">
        <f>BY67*VLOOKUP('Données projet'!$B$12,Paramètres!$A$1:$I$89,3,0)*VLOOKUP('Données projet'!$B$12,Paramètres!$A$1:$I$89,5,0)</f>
        <v>3.3992364478763198E-14</v>
      </c>
      <c r="CA67" s="14">
        <f t="shared" si="39"/>
        <v>5.790027782444094E-13</v>
      </c>
      <c r="CB67" s="22">
        <f t="shared" si="10"/>
        <v>1.0676332069095257E-12</v>
      </c>
      <c r="CC67" s="62">
        <f t="shared" si="11"/>
        <v>247.8716819491909</v>
      </c>
      <c r="CD67" s="62">
        <f ca="1">AVERAGE(OFFSET($CC$3,0,0,'Données projet'!$E$12+1,1))-AVERAGE(OFFSET($H$3,0,0,'Données projet'!$E$12+1,1))</f>
        <v>225.71928466161592</v>
      </c>
      <c r="CE67" s="62">
        <f t="shared" si="40"/>
        <v>385.98818770742025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55.788934160480416</v>
      </c>
      <c r="CL67" s="23">
        <f>EXP(-LN(2)/25)*CL66+(1-EXP(-LN(2)/25))/(LN(2)/25)*Calculateur!CG67*Calculateur!CI67*VLOOKUP('Données projet'!$B$12,Paramètres!$A$1:$I$89,3,0)*0.475*44/12</f>
        <v>1.3024038108814555</v>
      </c>
      <c r="CM67" s="23">
        <f>EXP(-LN(2)/2)*CM66+(1-EXP(-LN(2)/2))/(LN(2)/2)*CG67*CJ67*VLOOKUP('Données projet'!$B$12,Paramètres!$A$1:$I$89,3,0)*0.475*44/12</f>
        <v>8.4039202780841031E-3</v>
      </c>
      <c r="CN67" s="24">
        <f t="shared" si="12"/>
        <v>57.099741891639958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8.8000000000000007</v>
      </c>
      <c r="CT67" s="13">
        <f>IF('Données projet'!$A$140&gt;35,CT66+CS67-DB66,IF(A67&lt;'Données projet'!$A$140,$CQ$205^A67,IF(A67='Données projet'!$A$140,'Données projet'!$B$140,CT66+CS67-DB66)))</f>
        <v>280.2</v>
      </c>
      <c r="CU67" s="18">
        <f>CT67*VLOOKUP('Données projet'!$B$13,Paramètres!$A$1:$I$89,3,0)*VLOOKUP('Données projet'!$B$13,Paramètres!$A$1:$I$89,5,0)</f>
        <v>253.52495999999999</v>
      </c>
      <c r="CV67" s="14">
        <f t="shared" si="41"/>
        <v>61.340141798422209</v>
      </c>
      <c r="CW67" s="22">
        <f t="shared" si="13"/>
        <v>548.39005229891859</v>
      </c>
      <c r="CX67" s="62">
        <f t="shared" si="14"/>
        <v>796.26173424810838</v>
      </c>
      <c r="CY67" s="62">
        <f ca="1">AVERAGE(OFFSET($CX$3,0,0,'Données projet'!$E$13+1,1))-AVERAGE(OFFSET($H$3,0,0,'Données projet'!$E$13+1,1))</f>
        <v>499.92116338695428</v>
      </c>
      <c r="CZ67" s="62">
        <f t="shared" si="42"/>
        <v>316.79403154855652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1.2204705169279892</v>
      </c>
      <c r="DH67" s="23">
        <f>EXP(-LN(2)/2)*DH66+(1-EXP(-LN(2)/2))/(LN(2)/2)*DB67*DE67*VLOOKUP('Données projet'!$B$13,Paramètres!$A$1:$I$89,3,0)*0.475*44/12</f>
        <v>2.2567218871065202E-5</v>
      </c>
      <c r="DI67" s="24">
        <f t="shared" si="15"/>
        <v>1.2204930841468604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135.66666666666666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211.70619219850786</v>
      </c>
      <c r="T68" s="62">
        <f t="shared" si="34"/>
        <v>426.883837098247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1.9895196601282805E-13</v>
      </c>
      <c r="AJ68" s="14">
        <f>AI68*VLOOKUP('Données projet'!$B$10,Paramètres!$A$1:$I$89,3,0)*VLOOKUP('Données projet'!$B$10,Paramètres!$A$1:$I$89,5,0)</f>
        <v>1.8001173884840681E-13</v>
      </c>
      <c r="AK68" s="14">
        <f t="shared" si="35"/>
        <v>2.5254331426407198E-12</v>
      </c>
      <c r="AL68" s="22">
        <f t="shared" ref="AL68:AL131" si="58">(AJ68+AK68)*0.475*44/12</f>
        <v>4.7119831685935622E-12</v>
      </c>
      <c r="AM68" s="62">
        <f t="shared" ref="AM68:AM131" si="59">AL68+(AD68+AE68)*44/12</f>
        <v>248.66033996368327</v>
      </c>
      <c r="AN68" s="62">
        <f ca="1">AVERAGE(OFFSET($AM$3,0,0,'Données projet'!$E$10+1,1))-AVERAGE(OFFSET($H$3,0,0,'Données projet'!$E$10+1,1))</f>
        <v>327.07074355218322</v>
      </c>
      <c r="AO68" s="62">
        <f t="shared" si="36"/>
        <v>462.01668587029087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4.1686040679486265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4.1686040679486265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224</v>
      </c>
      <c r="BB68" s="13">
        <f>VLOOKUP(A68,'Données projet'!$A$87:$I$107,9,0)</f>
        <v>5.2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223.99999999999997</v>
      </c>
      <c r="BE68" s="14">
        <f>BD68*VLOOKUP('Données projet'!$B$11,Paramètres!$A$1:$I$89,3,0)*VLOOKUP('Données projet'!$B$11,Paramètres!$A$1:$I$89,5,0)</f>
        <v>195.68639999999999</v>
      </c>
      <c r="BF68" s="14">
        <f t="shared" si="37"/>
        <v>48.794969360985156</v>
      </c>
      <c r="BG68" s="22">
        <f t="shared" ref="BG68:BG131" si="61">(BE68+BF68)*0.475*44/12</f>
        <v>425.80505163704908</v>
      </c>
      <c r="BH68" s="62">
        <f t="shared" ref="BH68:BH131" si="62">BG68+(AY68+AZ68)*44/12</f>
        <v>674.46539160072757</v>
      </c>
      <c r="BI68" s="62">
        <f ca="1">AVERAGE(OFFSET($BH$3,0,0,'Données projet'!$E$11+1,1))-AVERAGE(OFFSET($H$3,0,0,'Données projet'!$E$11+1,1))</f>
        <v>378.51861272969165</v>
      </c>
      <c r="BJ68" s="62">
        <f t="shared" si="38"/>
        <v>387.42368617035459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5.4239292991132686</v>
      </c>
      <c r="BR68" s="23">
        <f>EXP(-LN(2)/2)*BR67+(1-EXP(-LN(2)/2))/(LN(2)/2)*BL68*BO68*VLOOKUP('Données projet'!$B$11,Paramètres!$A$1:$I$89,3,0)*0.475*44/12</f>
        <v>9.6807227396033247E-5</v>
      </c>
      <c r="BS68" s="24">
        <f t="shared" ref="BS68:BS131" si="63">SUM(BP68:BR68)</f>
        <v>5.4240261063406647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5.6843418860808015E-14</v>
      </c>
      <c r="BZ68" s="14">
        <f>BY68*VLOOKUP('Données projet'!$B$12,Paramètres!$A$1:$I$89,3,0)*VLOOKUP('Données projet'!$B$12,Paramètres!$A$1:$I$89,5,0)</f>
        <v>3.3992364478763198E-14</v>
      </c>
      <c r="CA68" s="14">
        <f t="shared" si="39"/>
        <v>5.790027782444094E-13</v>
      </c>
      <c r="CB68" s="22">
        <f t="shared" ref="CB68:CB131" si="64">(BZ68+CA68)*0.475*44/12</f>
        <v>1.0676332069095257E-12</v>
      </c>
      <c r="CC68" s="62">
        <f t="shared" ref="CC68:CC131" si="65">CB68+(BT68+BU68)*44/12</f>
        <v>248.66033996367963</v>
      </c>
      <c r="CD68" s="62">
        <f ca="1">AVERAGE(OFFSET($CC$3,0,0,'Données projet'!$E$12+1,1))-AVERAGE(OFFSET($H$3,0,0,'Données projet'!$E$12+1,1))</f>
        <v>225.71928466161592</v>
      </c>
      <c r="CE68" s="62">
        <f t="shared" si="40"/>
        <v>385.98818770742025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54.694947189483258</v>
      </c>
      <c r="CL68" s="23">
        <f>EXP(-LN(2)/25)*CL67+(1-EXP(-LN(2)/25))/(LN(2)/25)*Calculateur!CG68*Calculateur!CI68*VLOOKUP('Données projet'!$B$12,Paramètres!$A$1:$I$89,3,0)*0.475*44/12</f>
        <v>1.2667895101824624</v>
      </c>
      <c r="CM68" s="23">
        <f>EXP(-LN(2)/2)*CM67+(1-EXP(-LN(2)/2))/(LN(2)/2)*CG68*CJ68*VLOOKUP('Données projet'!$B$12,Paramètres!$A$1:$I$89,3,0)*0.475*44/12</f>
        <v>5.9424690171844055E-3</v>
      </c>
      <c r="CN68" s="24">
        <f t="shared" ref="CN68:CN131" si="66">SUM(CK68:CM68)</f>
        <v>55.967679168682906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289</v>
      </c>
      <c r="CR68" s="13">
        <f>VLOOKUP(A68,'Données projet'!$A$139:$I$159,9,0)</f>
        <v>8.8000000000000007</v>
      </c>
      <c r="CS68" s="13">
        <f t="array" ref="CS68">INDEX(CR:CR,MIN(IF(ISNUMBER(CR68:CR264),ROW(CR68:CR264),"")))</f>
        <v>8.8000000000000007</v>
      </c>
      <c r="CT68" s="13">
        <f>IF('Données projet'!$A$140&gt;35,CT67+CS68-DB67,IF(A68&lt;'Données projet'!$A$140,$CQ$205^A68,IF(A68='Données projet'!$A$140,'Données projet'!$B$140,CT67+CS68-DB67)))</f>
        <v>289</v>
      </c>
      <c r="CU68" s="18">
        <f>CT68*VLOOKUP('Données projet'!$B$13,Paramètres!$A$1:$I$89,3,0)*VLOOKUP('Données projet'!$B$13,Paramètres!$A$1:$I$89,5,0)</f>
        <v>261.48719999999997</v>
      </c>
      <c r="CV68" s="14">
        <f t="shared" si="41"/>
        <v>63.039283586802391</v>
      </c>
      <c r="CW68" s="22">
        <f t="shared" ref="CW68:CW131" si="67">(CU68+CV68)*0.475*44/12</f>
        <v>565.21695891368086</v>
      </c>
      <c r="CX68" s="62">
        <f t="shared" ref="CX68:CX131" si="68">CW68+(CO68+CP68)*44/12</f>
        <v>813.87729887735941</v>
      </c>
      <c r="CY68" s="62">
        <f ca="1">AVERAGE(OFFSET($CX$3,0,0,'Données projet'!$E$13+1,1))-AVERAGE(OFFSET($H$3,0,0,'Données projet'!$E$13+1,1))</f>
        <v>499.92116338695428</v>
      </c>
      <c r="CZ68" s="62">
        <f t="shared" si="42"/>
        <v>316.79403154855652</v>
      </c>
      <c r="DA68" s="16">
        <f>IF(ISNA(VLOOKUP(A68,'Données projet'!$A$139:$I$159,3,0)),0,VLOOKUP(A68,'Données projet'!$A$139:$I$159,3,0))</f>
        <v>10</v>
      </c>
      <c r="DB68" s="16">
        <f>IF(ISNA(VLOOKUP(A68,'Données projet'!$A$139:$I$159,4,0)),0,VLOOKUP(A68,'Données projet'!$A$139:$I$159,4,0))</f>
        <v>28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1.1870966864608383</v>
      </c>
      <c r="DH68" s="23">
        <f>EXP(-LN(2)/2)*DH67+(1-EXP(-LN(2)/2))/(LN(2)/2)*DB68*DE68*VLOOKUP('Données projet'!$B$13,Paramètres!$A$1:$I$89,3,0)*0.475*44/12</f>
        <v>1.5957433496251228E-5</v>
      </c>
      <c r="DI68" s="24">
        <f t="shared" ref="DI68:DI131" si="69">SUM(DF68:DH68)</f>
        <v>1.1871126438943347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135.66666666666666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211.70619219850786</v>
      </c>
      <c r="T69" s="62">
        <f t="shared" ref="T69:T132" si="88">$T$3</f>
        <v>426.883837098247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1.9895196601282805E-13</v>
      </c>
      <c r="AJ69" s="14">
        <f>AI69*VLOOKUP('Données projet'!$B$10,Paramètres!$A$1:$I$89,3,0)*VLOOKUP('Données projet'!$B$10,Paramètres!$A$1:$I$89,5,0)</f>
        <v>1.8001173884840681E-13</v>
      </c>
      <c r="AK69" s="14">
        <f t="shared" ref="AK69:AK132" si="89">EXP(-1.0587+0.8836*LN(AJ69)+0.284)</f>
        <v>2.5254331426407198E-12</v>
      </c>
      <c r="AL69" s="22">
        <f t="shared" si="58"/>
        <v>4.7119831685935622E-12</v>
      </c>
      <c r="AM69" s="62">
        <f t="shared" si="59"/>
        <v>249.43531652479584</v>
      </c>
      <c r="AN69" s="62">
        <f ca="1">AVERAGE(OFFSET($AM$3,0,0,'Données projet'!$E$10+1,1))-AVERAGE(OFFSET($H$3,0,0,'Données projet'!$E$10+1,1))</f>
        <v>327.07074355218322</v>
      </c>
      <c r="AO69" s="62">
        <f t="shared" ref="AO69:AO132" si="90">$AO$3</f>
        <v>462.01668587029087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4.0868602847735751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4.0868602847735751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4.5999999999999996</v>
      </c>
      <c r="BD69" s="13">
        <f>IF('Données projet'!$A$88&gt;35,BD68+BC69-BL68,IF(A69&lt;'Données projet'!$A$88,$BA$205^A69,IF(A69='Données projet'!$A$88,'Données projet'!$B$88,BD68+BC69-BL68)))</f>
        <v>208.59999999999997</v>
      </c>
      <c r="BE69" s="14">
        <f>BD69*VLOOKUP('Données projet'!$B$11,Paramètres!$A$1:$I$89,3,0)*VLOOKUP('Données projet'!$B$11,Paramètres!$A$1:$I$89,5,0)</f>
        <v>182.23295999999999</v>
      </c>
      <c r="BF69" s="14">
        <f t="shared" ref="BF69:BF132" si="91">EXP(-1.0587+0.8836*LN(BE69)+0.284)</f>
        <v>45.818621592366291</v>
      </c>
      <c r="BG69" s="22">
        <f t="shared" si="61"/>
        <v>397.18983794003793</v>
      </c>
      <c r="BH69" s="62">
        <f t="shared" si="62"/>
        <v>646.62515446482905</v>
      </c>
      <c r="BI69" s="62">
        <f ca="1">AVERAGE(OFFSET($BH$3,0,0,'Données projet'!$E$11+1,1))-AVERAGE(OFFSET($H$3,0,0,'Données projet'!$E$11+1,1))</f>
        <v>378.51861272969165</v>
      </c>
      <c r="BJ69" s="62">
        <f t="shared" ref="BJ69:BJ132" si="92">$BJ$3</f>
        <v>387.42368617035459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5.2756116671969711</v>
      </c>
      <c r="BR69" s="23">
        <f>EXP(-LN(2)/2)*BR68+(1-EXP(-LN(2)/2))/(LN(2)/2)*BL69*BO69*VLOOKUP('Données projet'!$B$11,Paramètres!$A$1:$I$89,3,0)*0.475*44/12</f>
        <v>6.8453046959603229E-5</v>
      </c>
      <c r="BS69" s="24">
        <f t="shared" si="63"/>
        <v>5.2756801202439307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5.6843418860808015E-14</v>
      </c>
      <c r="BZ69" s="14">
        <f>BY69*VLOOKUP('Données projet'!$B$12,Paramètres!$A$1:$I$89,3,0)*VLOOKUP('Données projet'!$B$12,Paramètres!$A$1:$I$89,5,0)</f>
        <v>3.3992364478763198E-14</v>
      </c>
      <c r="CA69" s="14">
        <f t="shared" ref="CA69:CA132" si="93">EXP(-1.0587+0.8836*LN(BZ69)+0.284)</f>
        <v>5.790027782444094E-13</v>
      </c>
      <c r="CB69" s="22">
        <f t="shared" si="64"/>
        <v>1.0676332069095257E-12</v>
      </c>
      <c r="CC69" s="62">
        <f t="shared" si="65"/>
        <v>249.4353165247922</v>
      </c>
      <c r="CD69" s="62">
        <f ca="1">AVERAGE(OFFSET($CC$3,0,0,'Données projet'!$E$12+1,1))-AVERAGE(OFFSET($H$3,0,0,'Données projet'!$E$12+1,1))</f>
        <v>225.71928466161592</v>
      </c>
      <c r="CE69" s="62">
        <f t="shared" ref="CE69:CE132" si="94">$CE$3</f>
        <v>385.98818770742025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53.62241263572119</v>
      </c>
      <c r="CL69" s="23">
        <f>EXP(-LN(2)/25)*CL68+(1-EXP(-LN(2)/25))/(LN(2)/25)*Calculateur!CG69*Calculateur!CI69*VLOOKUP('Données projet'!$B$12,Paramètres!$A$1:$I$89,3,0)*0.475*44/12</f>
        <v>1.232149084408958</v>
      </c>
      <c r="CM69" s="23">
        <f>EXP(-LN(2)/2)*CM68+(1-EXP(-LN(2)/2))/(LN(2)/2)*CG69*CJ69*VLOOKUP('Données projet'!$B$12,Paramètres!$A$1:$I$89,3,0)*0.475*44/12</f>
        <v>4.2019601390420516E-3</v>
      </c>
      <c r="CN69" s="24">
        <f t="shared" si="66"/>
        <v>54.858763680269192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8.1999999999999993</v>
      </c>
      <c r="CT69" s="13">
        <f>IF('Données projet'!$A$140&gt;35,CT68+CS69-DB68,IF(A69&lt;'Données projet'!$A$140,$CQ$205^A69,IF(A69='Données projet'!$A$140,'Données projet'!$B$140,CT68+CS69-DB68)))</f>
        <v>269.2</v>
      </c>
      <c r="CU69" s="18">
        <f>CT69*VLOOKUP('Données projet'!$B$13,Paramètres!$A$1:$I$89,3,0)*VLOOKUP('Données projet'!$B$13,Paramètres!$A$1:$I$89,5,0)</f>
        <v>243.57216</v>
      </c>
      <c r="CV69" s="14">
        <f t="shared" ref="CV69:CV132" si="95">EXP(-1.0587+0.8836*LN(CU69)+0.284)</f>
        <v>59.207435995642292</v>
      </c>
      <c r="CW69" s="22">
        <f t="shared" si="67"/>
        <v>527.34112969241028</v>
      </c>
      <c r="CX69" s="62">
        <f t="shared" si="68"/>
        <v>776.7764462172014</v>
      </c>
      <c r="CY69" s="62">
        <f ca="1">AVERAGE(OFFSET($CX$3,0,0,'Données projet'!$E$13+1,1))-AVERAGE(OFFSET($H$3,0,0,'Données projet'!$E$13+1,1))</f>
        <v>499.92116338695428</v>
      </c>
      <c r="CZ69" s="62">
        <f t="shared" ref="CZ69:CZ132" si="96">$CZ$3</f>
        <v>316.79403154855652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1.1546354651428652</v>
      </c>
      <c r="DH69" s="23">
        <f>EXP(-LN(2)/2)*DH68+(1-EXP(-LN(2)/2))/(LN(2)/2)*DB69*DE69*VLOOKUP('Données projet'!$B$13,Paramètres!$A$1:$I$89,3,0)*0.475*44/12</f>
        <v>1.1283609435532601E-5</v>
      </c>
      <c r="DI69" s="24">
        <f t="shared" si="69"/>
        <v>1.1546467487523007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135.66666666666666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211.70619219850786</v>
      </c>
      <c r="T70" s="62">
        <f t="shared" si="88"/>
        <v>426.883837098247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1.9895196601282805E-13</v>
      </c>
      <c r="AJ70" s="14">
        <f>AI70*VLOOKUP('Données projet'!$B$10,Paramètres!$A$1:$I$89,3,0)*VLOOKUP('Données projet'!$B$10,Paramètres!$A$1:$I$89,5,0)</f>
        <v>1.8001173884840681E-13</v>
      </c>
      <c r="AK70" s="14">
        <f t="shared" si="89"/>
        <v>2.5254331426407198E-12</v>
      </c>
      <c r="AL70" s="22">
        <f t="shared" si="58"/>
        <v>4.7119831685935622E-12</v>
      </c>
      <c r="AM70" s="62">
        <f t="shared" si="59"/>
        <v>250.19684897516109</v>
      </c>
      <c r="AN70" s="62">
        <f ca="1">AVERAGE(OFFSET($AM$3,0,0,'Données projet'!$E$10+1,1))-AVERAGE(OFFSET($H$3,0,0,'Données projet'!$E$10+1,1))</f>
        <v>327.07074355218322</v>
      </c>
      <c r="AO70" s="62">
        <f t="shared" si="90"/>
        <v>462.01668587029087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4.0067194473278018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4.0067194473278018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4.5999999999999996</v>
      </c>
      <c r="BD70" s="13">
        <f>IF('Données projet'!$A$88&gt;35,BD69+BC70-BL69,IF(A70&lt;'Données projet'!$A$88,$BA$205^A70,IF(A70='Données projet'!$A$88,'Données projet'!$B$88,BD69+BC70-BL69)))</f>
        <v>213.19999999999996</v>
      </c>
      <c r="BE70" s="14">
        <f>BD70*VLOOKUP('Données projet'!$B$11,Paramètres!$A$1:$I$89,3,0)*VLOOKUP('Données projet'!$B$11,Paramètres!$A$1:$I$89,5,0)</f>
        <v>186.25152</v>
      </c>
      <c r="BF70" s="14">
        <f t="shared" si="91"/>
        <v>46.71025851515671</v>
      </c>
      <c r="BG70" s="22">
        <f t="shared" si="61"/>
        <v>405.74176424723129</v>
      </c>
      <c r="BH70" s="62">
        <f t="shared" si="62"/>
        <v>655.93861322238763</v>
      </c>
      <c r="BI70" s="62">
        <f ca="1">AVERAGE(OFFSET($BH$3,0,0,'Données projet'!$E$11+1,1))-AVERAGE(OFFSET($H$3,0,0,'Données projet'!$E$11+1,1))</f>
        <v>378.51861272969165</v>
      </c>
      <c r="BJ70" s="62">
        <f t="shared" si="92"/>
        <v>387.42368617035459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5.1313497887251103</v>
      </c>
      <c r="BR70" s="23">
        <f>EXP(-LN(2)/2)*BR69+(1-EXP(-LN(2)/2))/(LN(2)/2)*BL70*BO70*VLOOKUP('Données projet'!$B$11,Paramètres!$A$1:$I$89,3,0)*0.475*44/12</f>
        <v>4.8403613698016624E-5</v>
      </c>
      <c r="BS70" s="24">
        <f t="shared" si="63"/>
        <v>5.1313981923388079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5.6843418860808015E-14</v>
      </c>
      <c r="BZ70" s="14">
        <f>BY70*VLOOKUP('Données projet'!$B$12,Paramètres!$A$1:$I$89,3,0)*VLOOKUP('Données projet'!$B$12,Paramètres!$A$1:$I$89,5,0)</f>
        <v>3.3992364478763198E-14</v>
      </c>
      <c r="CA70" s="14">
        <f t="shared" si="93"/>
        <v>5.790027782444094E-13</v>
      </c>
      <c r="CB70" s="22">
        <f t="shared" si="64"/>
        <v>1.0676332069095257E-12</v>
      </c>
      <c r="CC70" s="62">
        <f t="shared" si="65"/>
        <v>250.19684897515745</v>
      </c>
      <c r="CD70" s="62">
        <f ca="1">AVERAGE(OFFSET($CC$3,0,0,'Données projet'!$E$12+1,1))-AVERAGE(OFFSET($H$3,0,0,'Données projet'!$E$12+1,1))</f>
        <v>225.71928466161592</v>
      </c>
      <c r="CE70" s="62">
        <f t="shared" si="94"/>
        <v>385.98818770742025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52.570909830376912</v>
      </c>
      <c r="CL70" s="23">
        <f>EXP(-LN(2)/25)*CL69+(1-EXP(-LN(2)/25))/(LN(2)/25)*Calculateur!CG70*Calculateur!CI70*VLOOKUP('Données projet'!$B$12,Paramètres!$A$1:$I$89,3,0)*0.475*44/12</f>
        <v>1.1984559028998909</v>
      </c>
      <c r="CM70" s="23">
        <f>EXP(-LN(2)/2)*CM69+(1-EXP(-LN(2)/2))/(LN(2)/2)*CG70*CJ70*VLOOKUP('Données projet'!$B$12,Paramètres!$A$1:$I$89,3,0)*0.475*44/12</f>
        <v>2.9712345085922028E-3</v>
      </c>
      <c r="CN70" s="24">
        <f t="shared" si="66"/>
        <v>53.772336967785392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8.1999999999999993</v>
      </c>
      <c r="CT70" s="13">
        <f>IF('Données projet'!$A$140&gt;35,CT69+CS70-DB69,IF(A70&lt;'Données projet'!$A$140,$CQ$205^A70,IF(A70='Données projet'!$A$140,'Données projet'!$B$140,CT69+CS70-DB69)))</f>
        <v>277.39999999999998</v>
      </c>
      <c r="CU70" s="18">
        <f>CT70*VLOOKUP('Données projet'!$B$13,Paramètres!$A$1:$I$89,3,0)*VLOOKUP('Données projet'!$B$13,Paramètres!$A$1:$I$89,5,0)</f>
        <v>250.99151999999995</v>
      </c>
      <c r="CV70" s="14">
        <f t="shared" si="95"/>
        <v>60.798211000769406</v>
      </c>
      <c r="CW70" s="22">
        <f t="shared" si="67"/>
        <v>543.03378149300659</v>
      </c>
      <c r="CX70" s="62">
        <f t="shared" si="68"/>
        <v>793.23063046816299</v>
      </c>
      <c r="CY70" s="62">
        <f ca="1">AVERAGE(OFFSET($CX$3,0,0,'Données projet'!$E$13+1,1))-AVERAGE(OFFSET($H$3,0,0,'Données projet'!$E$13+1,1))</f>
        <v>499.92116338695428</v>
      </c>
      <c r="CZ70" s="62">
        <f t="shared" si="96"/>
        <v>316.79403154855652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1.1230618976288933</v>
      </c>
      <c r="DH70" s="23">
        <f>EXP(-LN(2)/2)*DH69+(1-EXP(-LN(2)/2))/(LN(2)/2)*DB70*DE70*VLOOKUP('Données projet'!$B$13,Paramètres!$A$1:$I$89,3,0)*0.475*44/12</f>
        <v>7.9787167481256138E-6</v>
      </c>
      <c r="DI70" s="24">
        <f t="shared" si="69"/>
        <v>1.1230698763456415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135.66666666666666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211.70619219850786</v>
      </c>
      <c r="T71" s="62">
        <f t="shared" si="88"/>
        <v>426.883837098247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1.9895196601282805E-13</v>
      </c>
      <c r="AJ71" s="14">
        <f>AI71*VLOOKUP('Données projet'!$B$10,Paramètres!$A$1:$I$89,3,0)*VLOOKUP('Données projet'!$B$10,Paramètres!$A$1:$I$89,5,0)</f>
        <v>1.8001173884840681E-13</v>
      </c>
      <c r="AK71" s="14">
        <f t="shared" si="89"/>
        <v>2.5254331426407198E-12</v>
      </c>
      <c r="AL71" s="22">
        <f t="shared" si="58"/>
        <v>4.7119831685935622E-12</v>
      </c>
      <c r="AM71" s="62">
        <f t="shared" si="59"/>
        <v>250.9451705400439</v>
      </c>
      <c r="AN71" s="62">
        <f ca="1">AVERAGE(OFFSET($AM$3,0,0,'Données projet'!$E$10+1,1))-AVERAGE(OFFSET($H$3,0,0,'Données projet'!$E$10+1,1))</f>
        <v>327.07074355218322</v>
      </c>
      <c r="AO71" s="62">
        <f t="shared" si="90"/>
        <v>462.01668587029087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3.9281501228232556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3.9281501228232556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4.5999999999999996</v>
      </c>
      <c r="BD71" s="13">
        <f>IF('Données projet'!$A$88&gt;35,BD70+BC71-BL70,IF(A71&lt;'Données projet'!$A$88,$BA$205^A71,IF(A71='Données projet'!$A$88,'Données projet'!$B$88,BD70+BC71-BL70)))</f>
        <v>217.79999999999995</v>
      </c>
      <c r="BE71" s="14">
        <f>BD71*VLOOKUP('Données projet'!$B$11,Paramètres!$A$1:$I$89,3,0)*VLOOKUP('Données projet'!$B$11,Paramètres!$A$1:$I$89,5,0)</f>
        <v>190.27007999999998</v>
      </c>
      <c r="BF71" s="14">
        <f t="shared" si="91"/>
        <v>47.599658767320413</v>
      </c>
      <c r="BG71" s="22">
        <f t="shared" si="61"/>
        <v>414.28979501974965</v>
      </c>
      <c r="BH71" s="62">
        <f t="shared" si="62"/>
        <v>665.23496555978886</v>
      </c>
      <c r="BI71" s="62">
        <f ca="1">AVERAGE(OFFSET($BH$3,0,0,'Données projet'!$E$11+1,1))-AVERAGE(OFFSET($H$3,0,0,'Données projet'!$E$11+1,1))</f>
        <v>378.51861272969165</v>
      </c>
      <c r="BJ71" s="62">
        <f t="shared" si="92"/>
        <v>387.42368617035459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4.9910327589064645</v>
      </c>
      <c r="BR71" s="23">
        <f>EXP(-LN(2)/2)*BR70+(1-EXP(-LN(2)/2))/(LN(2)/2)*BL71*BO71*VLOOKUP('Données projet'!$B$11,Paramètres!$A$1:$I$89,3,0)*0.475*44/12</f>
        <v>3.4226523479801614E-5</v>
      </c>
      <c r="BS71" s="24">
        <f t="shared" si="63"/>
        <v>4.9910669854299439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5.6843418860808015E-14</v>
      </c>
      <c r="BZ71" s="14">
        <f>BY71*VLOOKUP('Données projet'!$B$12,Paramètres!$A$1:$I$89,3,0)*VLOOKUP('Données projet'!$B$12,Paramètres!$A$1:$I$89,5,0)</f>
        <v>3.3992364478763198E-14</v>
      </c>
      <c r="CA71" s="14">
        <f t="shared" si="93"/>
        <v>5.790027782444094E-13</v>
      </c>
      <c r="CB71" s="22">
        <f t="shared" si="64"/>
        <v>1.0676332069095257E-12</v>
      </c>
      <c r="CC71" s="62">
        <f t="shared" si="65"/>
        <v>250.94517054004027</v>
      </c>
      <c r="CD71" s="62">
        <f ca="1">AVERAGE(OFFSET($CC$3,0,0,'Données projet'!$E$12+1,1))-AVERAGE(OFFSET($H$3,0,0,'Données projet'!$E$12+1,1))</f>
        <v>225.71928466161592</v>
      </c>
      <c r="CE71" s="62">
        <f t="shared" si="94"/>
        <v>385.98818770742025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51.540026353692056</v>
      </c>
      <c r="CL71" s="23">
        <f>EXP(-LN(2)/25)*CL70+(1-EXP(-LN(2)/25))/(LN(2)/25)*Calculateur!CG71*Calculateur!CI71*VLOOKUP('Données projet'!$B$12,Paramètres!$A$1:$I$89,3,0)*0.475*44/12</f>
        <v>1.1656840632110366</v>
      </c>
      <c r="CM71" s="23">
        <f>EXP(-LN(2)/2)*CM70+(1-EXP(-LN(2)/2))/(LN(2)/2)*CG71*CJ71*VLOOKUP('Données projet'!$B$12,Paramètres!$A$1:$I$89,3,0)*0.475*44/12</f>
        <v>2.1009800695210258E-3</v>
      </c>
      <c r="CN71" s="24">
        <f t="shared" si="66"/>
        <v>52.707811396972616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8.1999999999999993</v>
      </c>
      <c r="CT71" s="13">
        <f>IF('Données projet'!$A$140&gt;35,CT70+CS71-DB70,IF(A71&lt;'Données projet'!$A$140,$CQ$205^A71,IF(A71='Données projet'!$A$140,'Données projet'!$B$140,CT70+CS71-DB70)))</f>
        <v>285.59999999999997</v>
      </c>
      <c r="CU71" s="18">
        <f>CT71*VLOOKUP('Données projet'!$B$13,Paramètres!$A$1:$I$89,3,0)*VLOOKUP('Données projet'!$B$13,Paramètres!$A$1:$I$89,5,0)</f>
        <v>258.41087999999996</v>
      </c>
      <c r="CV71" s="14">
        <f t="shared" si="95"/>
        <v>62.383521020316756</v>
      </c>
      <c r="CW71" s="22">
        <f t="shared" si="67"/>
        <v>558.71691511038489</v>
      </c>
      <c r="CX71" s="62">
        <f t="shared" si="68"/>
        <v>809.66208565042405</v>
      </c>
      <c r="CY71" s="62">
        <f ca="1">AVERAGE(OFFSET($CX$3,0,0,'Données projet'!$E$13+1,1))-AVERAGE(OFFSET($H$3,0,0,'Données projet'!$E$13+1,1))</f>
        <v>499.92116338695428</v>
      </c>
      <c r="CZ71" s="62">
        <f t="shared" si="96"/>
        <v>316.79403154855652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1.0923517109789729</v>
      </c>
      <c r="DH71" s="23">
        <f>EXP(-LN(2)/2)*DH70+(1-EXP(-LN(2)/2))/(LN(2)/2)*DB71*DE71*VLOOKUP('Données projet'!$B$13,Paramètres!$A$1:$I$89,3,0)*0.475*44/12</f>
        <v>5.6418047177663005E-6</v>
      </c>
      <c r="DI71" s="24">
        <f t="shared" si="69"/>
        <v>1.0923573527836907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135.66666666666666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211.70619219850786</v>
      </c>
      <c r="T72" s="62">
        <f t="shared" si="88"/>
        <v>426.883837098247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1.9895196601282805E-13</v>
      </c>
      <c r="AJ72" s="14">
        <f>AI72*VLOOKUP('Données projet'!$B$10,Paramètres!$A$1:$I$89,3,0)*VLOOKUP('Données projet'!$B$10,Paramètres!$A$1:$I$89,5,0)</f>
        <v>1.8001173884840681E-13</v>
      </c>
      <c r="AK72" s="14">
        <f t="shared" si="89"/>
        <v>2.5254331426407198E-12</v>
      </c>
      <c r="AL72" s="22">
        <f t="shared" si="58"/>
        <v>4.7119831685935622E-12</v>
      </c>
      <c r="AM72" s="62">
        <f t="shared" si="59"/>
        <v>251.68051039877255</v>
      </c>
      <c r="AN72" s="62">
        <f ca="1">AVERAGE(OFFSET($AM$3,0,0,'Données projet'!$E$10+1,1))-AVERAGE(OFFSET($H$3,0,0,'Données projet'!$E$10+1,1))</f>
        <v>327.07074355218322</v>
      </c>
      <c r="AO72" s="62">
        <f t="shared" si="90"/>
        <v>462.01668587029087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3.8511214948496875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3.8511214948496875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4.5999999999999996</v>
      </c>
      <c r="BD72" s="13">
        <f>IF('Données projet'!$A$88&gt;35,BD71+BC72-BL71,IF(A72&lt;'Données projet'!$A$88,$BA$205^A72,IF(A72='Données projet'!$A$88,'Données projet'!$B$88,BD71+BC72-BL71)))</f>
        <v>222.39999999999995</v>
      </c>
      <c r="BE72" s="14">
        <f>BD72*VLOOKUP('Données projet'!$B$11,Paramètres!$A$1:$I$89,3,0)*VLOOKUP('Données projet'!$B$11,Paramètres!$A$1:$I$89,5,0)</f>
        <v>194.28863999999999</v>
      </c>
      <c r="BF72" s="14">
        <f t="shared" si="91"/>
        <v>48.486875029770822</v>
      </c>
      <c r="BG72" s="22">
        <f t="shared" si="61"/>
        <v>422.83402201018413</v>
      </c>
      <c r="BH72" s="62">
        <f t="shared" si="62"/>
        <v>674.51453240895194</v>
      </c>
      <c r="BI72" s="62">
        <f ca="1">AVERAGE(OFFSET($BH$3,0,0,'Données projet'!$E$11+1,1))-AVERAGE(OFFSET($H$3,0,0,'Données projet'!$E$11+1,1))</f>
        <v>378.51861272969165</v>
      </c>
      <c r="BJ72" s="62">
        <f t="shared" si="92"/>
        <v>387.42368617035459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4.854552705647162</v>
      </c>
      <c r="BR72" s="23">
        <f>EXP(-LN(2)/2)*BR71+(1-EXP(-LN(2)/2))/(LN(2)/2)*BL72*BO72*VLOOKUP('Données projet'!$B$11,Paramètres!$A$1:$I$89,3,0)*0.475*44/12</f>
        <v>2.4201806849008312E-5</v>
      </c>
      <c r="BS72" s="24">
        <f t="shared" si="63"/>
        <v>4.8545769074540113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5.6843418860808015E-14</v>
      </c>
      <c r="BZ72" s="14">
        <f>BY72*VLOOKUP('Données projet'!$B$12,Paramètres!$A$1:$I$89,3,0)*VLOOKUP('Données projet'!$B$12,Paramètres!$A$1:$I$89,5,0)</f>
        <v>3.3992364478763198E-14</v>
      </c>
      <c r="CA72" s="14">
        <f t="shared" si="93"/>
        <v>5.790027782444094E-13</v>
      </c>
      <c r="CB72" s="22">
        <f t="shared" si="64"/>
        <v>1.0676332069095257E-12</v>
      </c>
      <c r="CC72" s="62">
        <f t="shared" si="65"/>
        <v>251.68051039876892</v>
      </c>
      <c r="CD72" s="62">
        <f ca="1">AVERAGE(OFFSET($CC$3,0,0,'Données projet'!$E$12+1,1))-AVERAGE(OFFSET($H$3,0,0,'Données projet'!$E$12+1,1))</f>
        <v>225.71928466161592</v>
      </c>
      <c r="CE72" s="62">
        <f t="shared" si="94"/>
        <v>385.98818770742025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50.529357873208156</v>
      </c>
      <c r="CL72" s="23">
        <f>EXP(-LN(2)/25)*CL71+(1-EXP(-LN(2)/25))/(LN(2)/25)*Calculateur!CG72*Calculateur!CI72*VLOOKUP('Données projet'!$B$12,Paramètres!$A$1:$I$89,3,0)*0.475*44/12</f>
        <v>1.1338083712018701</v>
      </c>
      <c r="CM72" s="23">
        <f>EXP(-LN(2)/2)*CM71+(1-EXP(-LN(2)/2))/(LN(2)/2)*CG72*CJ72*VLOOKUP('Données projet'!$B$12,Paramètres!$A$1:$I$89,3,0)*0.475*44/12</f>
        <v>1.4856172542961014E-3</v>
      </c>
      <c r="CN72" s="24">
        <f t="shared" si="66"/>
        <v>51.664651861664325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8.1999999999999993</v>
      </c>
      <c r="CT72" s="13">
        <f>IF('Données projet'!$A$140&gt;35,CT71+CS72-DB71,IF(A72&lt;'Données projet'!$A$140,$CQ$205^A72,IF(A72='Données projet'!$A$140,'Données projet'!$B$140,CT71+CS72-DB71)))</f>
        <v>293.79999999999995</v>
      </c>
      <c r="CU72" s="18">
        <f>CT72*VLOOKUP('Données projet'!$B$13,Paramètres!$A$1:$I$89,3,0)*VLOOKUP('Données projet'!$B$13,Paramètres!$A$1:$I$89,5,0)</f>
        <v>265.83023999999995</v>
      </c>
      <c r="CV72" s="14">
        <f t="shared" si="95"/>
        <v>63.963540982526439</v>
      </c>
      <c r="CW72" s="22">
        <f t="shared" si="67"/>
        <v>574.39083521123348</v>
      </c>
      <c r="CX72" s="62">
        <f t="shared" si="68"/>
        <v>826.07134561000134</v>
      </c>
      <c r="CY72" s="62">
        <f ca="1">AVERAGE(OFFSET($CX$3,0,0,'Données projet'!$E$13+1,1))-AVERAGE(OFFSET($H$3,0,0,'Données projet'!$E$13+1,1))</f>
        <v>499.92116338695428</v>
      </c>
      <c r="CZ72" s="62">
        <f t="shared" si="96"/>
        <v>316.79403154855652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1.062481295997973</v>
      </c>
      <c r="DH72" s="23">
        <f>EXP(-LN(2)/2)*DH71+(1-EXP(-LN(2)/2))/(LN(2)/2)*DB72*DE72*VLOOKUP('Données projet'!$B$13,Paramètres!$A$1:$I$89,3,0)*0.475*44/12</f>
        <v>3.9893583740628069E-6</v>
      </c>
      <c r="DI72" s="24">
        <f t="shared" si="69"/>
        <v>1.0624852853563471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135.66666666666666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211.70619219850786</v>
      </c>
      <c r="T73" s="62">
        <f t="shared" si="88"/>
        <v>426.883837098247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1.9895196601282805E-13</v>
      </c>
      <c r="AJ73" s="14">
        <f>AI73*VLOOKUP('Données projet'!$B$10,Paramètres!$A$1:$I$89,3,0)*VLOOKUP('Données projet'!$B$10,Paramètres!$A$1:$I$89,5,0)</f>
        <v>1.8001173884840681E-13</v>
      </c>
      <c r="AK73" s="14">
        <f t="shared" si="89"/>
        <v>2.5254331426407198E-12</v>
      </c>
      <c r="AL73" s="22">
        <f t="shared" si="58"/>
        <v>4.7119831685935622E-12</v>
      </c>
      <c r="AM73" s="62">
        <f t="shared" si="59"/>
        <v>252.40309375492578</v>
      </c>
      <c r="AN73" s="62">
        <f ca="1">AVERAGE(OFFSET($AM$3,0,0,'Données projet'!$E$10+1,1))-AVERAGE(OFFSET($H$3,0,0,'Données projet'!$E$10+1,1))</f>
        <v>327.07074355218322</v>
      </c>
      <c r="AO73" s="62">
        <f t="shared" si="90"/>
        <v>462.01668587029087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3.7756033512878573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3.7756033512878573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227</v>
      </c>
      <c r="BB73" s="13">
        <f>VLOOKUP(A73,'Données projet'!$A$87:$I$107,9,0)</f>
        <v>4.5999999999999996</v>
      </c>
      <c r="BC73" s="13">
        <f t="array" ref="BC73">INDEX(BB:BB,MIN(IF(ISNUMBER(BB73:BB269),ROW(BB73:BB269),"")))</f>
        <v>4.5999999999999996</v>
      </c>
      <c r="BD73" s="13">
        <f>IF('Données projet'!$A$88&gt;35,BD72+BC73-BL72,IF(A73&lt;'Données projet'!$A$88,$BA$205^A73,IF(A73='Données projet'!$A$88,'Données projet'!$B$88,BD72+BC73-BL72)))</f>
        <v>226.99999999999994</v>
      </c>
      <c r="BE73" s="14">
        <f>BD73*VLOOKUP('Données projet'!$B$11,Paramètres!$A$1:$I$89,3,0)*VLOOKUP('Données projet'!$B$11,Paramètres!$A$1:$I$89,5,0)</f>
        <v>198.30719999999997</v>
      </c>
      <c r="BF73" s="14">
        <f t="shared" si="91"/>
        <v>49.371957679623371</v>
      </c>
      <c r="BG73" s="22">
        <f t="shared" si="61"/>
        <v>431.37453295867726</v>
      </c>
      <c r="BH73" s="62">
        <f t="shared" si="62"/>
        <v>683.77762671359835</v>
      </c>
      <c r="BI73" s="62">
        <f ca="1">AVERAGE(OFFSET($BH$3,0,0,'Données projet'!$E$11+1,1))-AVERAGE(OFFSET($H$3,0,0,'Données projet'!$E$11+1,1))</f>
        <v>378.51861272969165</v>
      </c>
      <c r="BJ73" s="62">
        <f t="shared" si="92"/>
        <v>387.42368617035459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17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4.7218047066214091</v>
      </c>
      <c r="BR73" s="23">
        <f>EXP(-LN(2)/2)*BR72+(1-EXP(-LN(2)/2))/(LN(2)/2)*BL73*BO73*VLOOKUP('Données projet'!$B$11,Paramètres!$A$1:$I$89,3,0)*0.475*44/12</f>
        <v>1.7113261739900807E-5</v>
      </c>
      <c r="BS73" s="24">
        <f t="shared" si="63"/>
        <v>4.7218218198831492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5.6843418860808015E-14</v>
      </c>
      <c r="BZ73" s="14">
        <f>BY73*VLOOKUP('Données projet'!$B$12,Paramètres!$A$1:$I$89,3,0)*VLOOKUP('Données projet'!$B$12,Paramètres!$A$1:$I$89,5,0)</f>
        <v>3.3992364478763198E-14</v>
      </c>
      <c r="CA73" s="14">
        <f t="shared" si="93"/>
        <v>5.790027782444094E-13</v>
      </c>
      <c r="CB73" s="22">
        <f t="shared" si="64"/>
        <v>1.0676332069095257E-12</v>
      </c>
      <c r="CC73" s="62">
        <f t="shared" si="65"/>
        <v>252.40309375492214</v>
      </c>
      <c r="CD73" s="62">
        <f ca="1">AVERAGE(OFFSET($CC$3,0,0,'Données projet'!$E$12+1,1))-AVERAGE(OFFSET($H$3,0,0,'Données projet'!$E$12+1,1))</f>
        <v>225.71928466161592</v>
      </c>
      <c r="CE73" s="62">
        <f t="shared" si="94"/>
        <v>385.98818770742025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49.538507985179635</v>
      </c>
      <c r="CL73" s="23">
        <f>EXP(-LN(2)/25)*CL72+(1-EXP(-LN(2)/25))/(LN(2)/25)*Calculateur!CG73*Calculateur!CI73*VLOOKUP('Données projet'!$B$12,Paramètres!$A$1:$I$89,3,0)*0.475*44/12</f>
        <v>1.1028043216669641</v>
      </c>
      <c r="CM73" s="23">
        <f>EXP(-LN(2)/2)*CM72+(1-EXP(-LN(2)/2))/(LN(2)/2)*CG73*CJ73*VLOOKUP('Données projet'!$B$12,Paramètres!$A$1:$I$89,3,0)*0.475*44/12</f>
        <v>1.0504900347605129E-3</v>
      </c>
      <c r="CN73" s="24">
        <f t="shared" si="66"/>
        <v>50.642362796881358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302</v>
      </c>
      <c r="CR73" s="13">
        <f>VLOOKUP(A73,'Données projet'!$A$139:$I$159,9,0)</f>
        <v>8.1999999999999993</v>
      </c>
      <c r="CS73" s="13">
        <f t="array" ref="CS73">INDEX(CR:CR,MIN(IF(ISNUMBER(CR73:CR269),ROW(CR73:CR269),"")))</f>
        <v>8.1999999999999993</v>
      </c>
      <c r="CT73" s="13">
        <f>IF('Données projet'!$A$140&gt;35,CT72+CS73-DB72,IF(A73&lt;'Données projet'!$A$140,$CQ$205^A73,IF(A73='Données projet'!$A$140,'Données projet'!$B$140,CT72+CS73-DB72)))</f>
        <v>301.99999999999994</v>
      </c>
      <c r="CU73" s="18">
        <f>CT73*VLOOKUP('Données projet'!$B$13,Paramètres!$A$1:$I$89,3,0)*VLOOKUP('Données projet'!$B$13,Paramètres!$A$1:$I$89,5,0)</f>
        <v>273.24959999999999</v>
      </c>
      <c r="CV73" s="14">
        <f t="shared" si="95"/>
        <v>65.538435495514321</v>
      </c>
      <c r="CW73" s="22">
        <f t="shared" si="67"/>
        <v>590.05582848802067</v>
      </c>
      <c r="CX73" s="62">
        <f t="shared" si="68"/>
        <v>842.45892224294175</v>
      </c>
      <c r="CY73" s="62">
        <f ca="1">AVERAGE(OFFSET($CX$3,0,0,'Données projet'!$E$13+1,1))-AVERAGE(OFFSET($H$3,0,0,'Données projet'!$E$13+1,1))</f>
        <v>499.92116338695428</v>
      </c>
      <c r="CZ73" s="62">
        <f t="shared" si="96"/>
        <v>316.79403154855652</v>
      </c>
      <c r="DA73" s="16">
        <f>IF(ISNA(VLOOKUP(A73,'Données projet'!$A$139:$I$159,3,0)),0,VLOOKUP(A73,'Données projet'!$A$139:$I$159,3,0))</f>
        <v>11</v>
      </c>
      <c r="DB73" s="16">
        <f>IF(ISNA(VLOOKUP(A73,'Données projet'!$A$139:$I$159,4,0)),0,VLOOKUP(A73,'Données projet'!$A$139:$I$159,4,0))</f>
        <v>28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1.0334276890854455</v>
      </c>
      <c r="DH73" s="23">
        <f>EXP(-LN(2)/2)*DH72+(1-EXP(-LN(2)/2))/(LN(2)/2)*DB73*DE73*VLOOKUP('Données projet'!$B$13,Paramètres!$A$1:$I$89,3,0)*0.475*44/12</f>
        <v>2.8209023588831503E-6</v>
      </c>
      <c r="DI73" s="24">
        <f t="shared" si="69"/>
        <v>1.0334305099878043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135.66666666666666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211.70619219850786</v>
      </c>
      <c r="T74" s="62">
        <f t="shared" si="88"/>
        <v>426.883837098247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1.9895196601282805E-13</v>
      </c>
      <c r="AJ74" s="14">
        <f>AI74*VLOOKUP('Données projet'!$B$10,Paramètres!$A$1:$I$89,3,0)*VLOOKUP('Données projet'!$B$10,Paramètres!$A$1:$I$89,5,0)</f>
        <v>1.8001173884840681E-13</v>
      </c>
      <c r="AK74" s="14">
        <f t="shared" si="89"/>
        <v>2.5254331426407198E-12</v>
      </c>
      <c r="AL74" s="22">
        <f t="shared" si="58"/>
        <v>4.7119831685935622E-12</v>
      </c>
      <c r="AM74" s="62">
        <f t="shared" si="59"/>
        <v>253.11314190530419</v>
      </c>
      <c r="AN74" s="62">
        <f ca="1">AVERAGE(OFFSET($AM$3,0,0,'Données projet'!$E$10+1,1))-AVERAGE(OFFSET($H$3,0,0,'Données projet'!$E$10+1,1))</f>
        <v>327.07074355218322</v>
      </c>
      <c r="AO74" s="62">
        <f t="shared" si="90"/>
        <v>462.01668587029087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3.7015660724597552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3.7015660724597552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</v>
      </c>
      <c r="BD74" s="13">
        <f>IF('Données projet'!$A$88&gt;35,BD73+BC74-BL73,IF(A74&lt;'Données projet'!$A$88,$BA$205^A74,IF(A74='Données projet'!$A$88,'Données projet'!$B$88,BD73+BC74-BL73)))</f>
        <v>213.99999999999994</v>
      </c>
      <c r="BE74" s="14">
        <f>BD74*VLOOKUP('Données projet'!$B$11,Paramètres!$A$1:$I$89,3,0)*VLOOKUP('Données projet'!$B$11,Paramètres!$A$1:$I$89,5,0)</f>
        <v>186.95039999999997</v>
      </c>
      <c r="BF74" s="14">
        <f t="shared" si="91"/>
        <v>46.865095976617653</v>
      </c>
      <c r="BG74" s="22">
        <f t="shared" si="61"/>
        <v>407.22865549260905</v>
      </c>
      <c r="BH74" s="62">
        <f t="shared" si="62"/>
        <v>660.34179739790852</v>
      </c>
      <c r="BI74" s="62">
        <f ca="1">AVERAGE(OFFSET($BH$3,0,0,'Données projet'!$E$11+1,1))-AVERAGE(OFFSET($H$3,0,0,'Données projet'!$E$11+1,1))</f>
        <v>378.51861272969165</v>
      </c>
      <c r="BJ74" s="62">
        <f t="shared" si="92"/>
        <v>387.42368617035459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4.5926867086099286</v>
      </c>
      <c r="BR74" s="23">
        <f>EXP(-LN(2)/2)*BR73+(1-EXP(-LN(2)/2))/(LN(2)/2)*BL74*BO74*VLOOKUP('Données projet'!$B$11,Paramètres!$A$1:$I$89,3,0)*0.475*44/12</f>
        <v>1.2100903424504156E-5</v>
      </c>
      <c r="BS74" s="24">
        <f t="shared" si="63"/>
        <v>4.5926988095133527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5.6843418860808015E-14</v>
      </c>
      <c r="BZ74" s="14">
        <f>BY74*VLOOKUP('Données projet'!$B$12,Paramètres!$A$1:$I$89,3,0)*VLOOKUP('Données projet'!$B$12,Paramètres!$A$1:$I$89,5,0)</f>
        <v>3.3992364478763198E-14</v>
      </c>
      <c r="CA74" s="14">
        <f t="shared" si="93"/>
        <v>5.790027782444094E-13</v>
      </c>
      <c r="CB74" s="22">
        <f t="shared" si="64"/>
        <v>1.0676332069095257E-12</v>
      </c>
      <c r="CC74" s="62">
        <f t="shared" si="65"/>
        <v>253.11314190530055</v>
      </c>
      <c r="CD74" s="62">
        <f ca="1">AVERAGE(OFFSET($CC$3,0,0,'Données projet'!$E$12+1,1))-AVERAGE(OFFSET($H$3,0,0,'Données projet'!$E$12+1,1))</f>
        <v>225.71928466161592</v>
      </c>
      <c r="CE74" s="62">
        <f t="shared" si="94"/>
        <v>385.98818770742025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48.567088059096598</v>
      </c>
      <c r="CL74" s="23">
        <f>EXP(-LN(2)/25)*CL73+(1-EXP(-LN(2)/25))/(LN(2)/25)*Calculateur!CG74*Calculateur!CI74*VLOOKUP('Données projet'!$B$12,Paramètres!$A$1:$I$89,3,0)*0.475*44/12</f>
        <v>1.0726480794970221</v>
      </c>
      <c r="CM74" s="23">
        <f>EXP(-LN(2)/2)*CM73+(1-EXP(-LN(2)/2))/(LN(2)/2)*CG74*CJ74*VLOOKUP('Données projet'!$B$12,Paramètres!$A$1:$I$89,3,0)*0.475*44/12</f>
        <v>7.4280862714805069E-4</v>
      </c>
      <c r="CN74" s="24">
        <f t="shared" si="66"/>
        <v>49.640478947220764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7.6</v>
      </c>
      <c r="CT74" s="13">
        <f>IF('Données projet'!$A$140&gt;35,CT73+CS74-DB73,IF(A74&lt;'Données projet'!$A$140,$CQ$205^A74,IF(A74='Données projet'!$A$140,'Données projet'!$B$140,CT73+CS74-DB73)))</f>
        <v>281.59999999999997</v>
      </c>
      <c r="CU74" s="18">
        <f>CT74*VLOOKUP('Données projet'!$B$13,Paramètres!$A$1:$I$89,3,0)*VLOOKUP('Données projet'!$B$13,Paramètres!$A$1:$I$89,5,0)</f>
        <v>254.79167999999996</v>
      </c>
      <c r="CV74" s="14">
        <f t="shared" si="95"/>
        <v>61.610870508448471</v>
      </c>
      <c r="CW74" s="22">
        <f t="shared" si="67"/>
        <v>551.067775468881</v>
      </c>
      <c r="CX74" s="62">
        <f t="shared" si="68"/>
        <v>804.18091737418047</v>
      </c>
      <c r="CY74" s="62">
        <f ca="1">AVERAGE(OFFSET($CX$3,0,0,'Données projet'!$E$13+1,1))-AVERAGE(OFFSET($H$3,0,0,'Données projet'!$E$13+1,1))</f>
        <v>499.92116338695428</v>
      </c>
      <c r="CZ74" s="62">
        <f t="shared" si="96"/>
        <v>316.79403154855652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1.0051685545818037</v>
      </c>
      <c r="DH74" s="23">
        <f>EXP(-LN(2)/2)*DH73+(1-EXP(-LN(2)/2))/(LN(2)/2)*DB74*DE74*VLOOKUP('Données projet'!$B$13,Paramètres!$A$1:$I$89,3,0)*0.475*44/12</f>
        <v>1.9946791870314035E-6</v>
      </c>
      <c r="DI74" s="24">
        <f t="shared" si="69"/>
        <v>1.0051705492609906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135.66666666666666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211.70619219850786</v>
      </c>
      <c r="T75" s="62">
        <f t="shared" si="88"/>
        <v>426.883837098247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1.9895196601282805E-13</v>
      </c>
      <c r="AJ75" s="14">
        <f>AI75*VLOOKUP('Données projet'!$B$10,Paramètres!$A$1:$I$89,3,0)*VLOOKUP('Données projet'!$B$10,Paramètres!$A$1:$I$89,5,0)</f>
        <v>1.8001173884840681E-13</v>
      </c>
      <c r="AK75" s="14">
        <f t="shared" si="89"/>
        <v>2.5254331426407198E-12</v>
      </c>
      <c r="AL75" s="22">
        <f t="shared" si="58"/>
        <v>4.7119831685935622E-12</v>
      </c>
      <c r="AM75" s="62">
        <f t="shared" si="59"/>
        <v>253.81087230770339</v>
      </c>
      <c r="AN75" s="62">
        <f ca="1">AVERAGE(OFFSET($AM$3,0,0,'Données projet'!$E$10+1,1))-AVERAGE(OFFSET($H$3,0,0,'Données projet'!$E$10+1,1))</f>
        <v>327.07074355218322</v>
      </c>
      <c r="AO75" s="62">
        <f t="shared" si="90"/>
        <v>462.01668587029087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3.6289806195111911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3.6289806195111911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</v>
      </c>
      <c r="BD75" s="13">
        <f>IF('Données projet'!$A$88&gt;35,BD74+BC75-BL74,IF(A75&lt;'Données projet'!$A$88,$BA$205^A75,IF(A75='Données projet'!$A$88,'Données projet'!$B$88,BD74+BC75-BL74)))</f>
        <v>217.99999999999994</v>
      </c>
      <c r="BE75" s="14">
        <f>BD75*VLOOKUP('Données projet'!$B$11,Paramètres!$A$1:$I$89,3,0)*VLOOKUP('Données projet'!$B$11,Paramètres!$A$1:$I$89,5,0)</f>
        <v>190.44479999999999</v>
      </c>
      <c r="BF75" s="14">
        <f t="shared" si="91"/>
        <v>47.638278428909231</v>
      </c>
      <c r="BG75" s="22">
        <f t="shared" si="61"/>
        <v>414.66136159701688</v>
      </c>
      <c r="BH75" s="62">
        <f t="shared" si="62"/>
        <v>668.47223390471549</v>
      </c>
      <c r="BI75" s="62">
        <f ca="1">AVERAGE(OFFSET($BH$3,0,0,'Données projet'!$E$11+1,1))-AVERAGE(OFFSET($H$3,0,0,'Données projet'!$E$11+1,1))</f>
        <v>378.51861272969165</v>
      </c>
      <c r="BJ75" s="62">
        <f t="shared" si="92"/>
        <v>387.42368617035459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4.4670994490440927</v>
      </c>
      <c r="BR75" s="23">
        <f>EXP(-LN(2)/2)*BR74+(1-EXP(-LN(2)/2))/(LN(2)/2)*BL75*BO75*VLOOKUP('Données projet'!$B$11,Paramètres!$A$1:$I$89,3,0)*0.475*44/12</f>
        <v>8.5566308699504036E-6</v>
      </c>
      <c r="BS75" s="24">
        <f t="shared" si="63"/>
        <v>4.4671080056749624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5.6843418860808015E-14</v>
      </c>
      <c r="BZ75" s="14">
        <f>BY75*VLOOKUP('Données projet'!$B$12,Paramètres!$A$1:$I$89,3,0)*VLOOKUP('Données projet'!$B$12,Paramètres!$A$1:$I$89,5,0)</f>
        <v>3.3992364478763198E-14</v>
      </c>
      <c r="CA75" s="14">
        <f t="shared" si="93"/>
        <v>5.790027782444094E-13</v>
      </c>
      <c r="CB75" s="22">
        <f t="shared" si="64"/>
        <v>1.0676332069095257E-12</v>
      </c>
      <c r="CC75" s="62">
        <f t="shared" si="65"/>
        <v>253.81087230769975</v>
      </c>
      <c r="CD75" s="62">
        <f ca="1">AVERAGE(OFFSET($CC$3,0,0,'Données projet'!$E$12+1,1))-AVERAGE(OFFSET($H$3,0,0,'Données projet'!$E$12+1,1))</f>
        <v>225.71928466161592</v>
      </c>
      <c r="CE75" s="62">
        <f t="shared" si="94"/>
        <v>385.98818770742025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47.614717085256402</v>
      </c>
      <c r="CL75" s="23">
        <f>EXP(-LN(2)/25)*CL74+(1-EXP(-LN(2)/25))/(LN(2)/25)*Calculateur!CG75*Calculateur!CI75*VLOOKUP('Données projet'!$B$12,Paramètres!$A$1:$I$89,3,0)*0.475*44/12</f>
        <v>1.0433164613550652</v>
      </c>
      <c r="CM75" s="23">
        <f>EXP(-LN(2)/2)*CM74+(1-EXP(-LN(2)/2))/(LN(2)/2)*CG75*CJ75*VLOOKUP('Données projet'!$B$12,Paramètres!$A$1:$I$89,3,0)*0.475*44/12</f>
        <v>5.2524501738025644E-4</v>
      </c>
      <c r="CN75" s="24">
        <f t="shared" si="66"/>
        <v>48.658558791628842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7.6</v>
      </c>
      <c r="CT75" s="13">
        <f>IF('Données projet'!$A$140&gt;35,CT74+CS75-DB74,IF(A75&lt;'Données projet'!$A$140,$CQ$205^A75,IF(A75='Données projet'!$A$140,'Données projet'!$B$140,CT74+CS75-DB74)))</f>
        <v>289.2</v>
      </c>
      <c r="CU75" s="18">
        <f>CT75*VLOOKUP('Données projet'!$B$13,Paramètres!$A$1:$I$89,3,0)*VLOOKUP('Données projet'!$B$13,Paramètres!$A$1:$I$89,5,0)</f>
        <v>261.66816</v>
      </c>
      <c r="CV75" s="14">
        <f t="shared" si="95"/>
        <v>63.077829793082856</v>
      </c>
      <c r="CW75" s="22">
        <f t="shared" si="67"/>
        <v>565.5992655562859</v>
      </c>
      <c r="CX75" s="62">
        <f t="shared" si="68"/>
        <v>819.41013786398457</v>
      </c>
      <c r="CY75" s="62">
        <f ca="1">AVERAGE(OFFSET($CX$3,0,0,'Données projet'!$E$13+1,1))-AVERAGE(OFFSET($H$3,0,0,'Données projet'!$E$13+1,1))</f>
        <v>499.92116338695428</v>
      </c>
      <c r="CZ75" s="62">
        <f t="shared" si="96"/>
        <v>316.79403154855652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0.97768216759724724</v>
      </c>
      <c r="DH75" s="23">
        <f>EXP(-LN(2)/2)*DH74+(1-EXP(-LN(2)/2))/(LN(2)/2)*DB75*DE75*VLOOKUP('Données projet'!$B$13,Paramètres!$A$1:$I$89,3,0)*0.475*44/12</f>
        <v>1.4104511794415751E-6</v>
      </c>
      <c r="DI75" s="24">
        <f t="shared" si="69"/>
        <v>0.97768357804842665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135.66666666666666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211.70619219850786</v>
      </c>
      <c r="T76" s="62">
        <f t="shared" si="88"/>
        <v>426.883837098247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1.9895196601282805E-13</v>
      </c>
      <c r="AJ76" s="14">
        <f>AI76*VLOOKUP('Données projet'!$B$10,Paramètres!$A$1:$I$89,3,0)*VLOOKUP('Données projet'!$B$10,Paramètres!$A$1:$I$89,5,0)</f>
        <v>1.8001173884840681E-13</v>
      </c>
      <c r="AK76" s="14">
        <f t="shared" si="89"/>
        <v>2.5254331426407198E-12</v>
      </c>
      <c r="AL76" s="22">
        <f t="shared" si="58"/>
        <v>4.7119831685935622E-12</v>
      </c>
      <c r="AM76" s="62">
        <f t="shared" si="59"/>
        <v>254.4964986475124</v>
      </c>
      <c r="AN76" s="62">
        <f ca="1">AVERAGE(OFFSET($AM$3,0,0,'Données projet'!$E$10+1,1))-AVERAGE(OFFSET($H$3,0,0,'Données projet'!$E$10+1,1))</f>
        <v>327.07074355218322</v>
      </c>
      <c r="AO76" s="62">
        <f t="shared" si="90"/>
        <v>462.01668587029087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3.5578185230221937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3.5578185230221937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</v>
      </c>
      <c r="BD76" s="13">
        <f>IF('Données projet'!$A$88&gt;35,BD75+BC76-BL75,IF(A76&lt;'Données projet'!$A$88,$BA$205^A76,IF(A76='Données projet'!$A$88,'Données projet'!$B$88,BD75+BC76-BL75)))</f>
        <v>221.99999999999994</v>
      </c>
      <c r="BE76" s="14">
        <f>BD76*VLOOKUP('Données projet'!$B$11,Paramètres!$A$1:$I$89,3,0)*VLOOKUP('Données projet'!$B$11,Paramètres!$A$1:$I$89,5,0)</f>
        <v>193.93919999999997</v>
      </c>
      <c r="BF76" s="14">
        <f t="shared" si="91"/>
        <v>48.409811198069342</v>
      </c>
      <c r="BG76" s="22">
        <f t="shared" si="61"/>
        <v>422.091194503304</v>
      </c>
      <c r="BH76" s="62">
        <f t="shared" si="62"/>
        <v>676.58769315081167</v>
      </c>
      <c r="BI76" s="62">
        <f ca="1">AVERAGE(OFFSET($BH$3,0,0,'Données projet'!$E$11+1,1))-AVERAGE(OFFSET($H$3,0,0,'Données projet'!$E$11+1,1))</f>
        <v>378.51861272969165</v>
      </c>
      <c r="BJ76" s="62">
        <f t="shared" si="92"/>
        <v>387.42368617035459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4.3449463796954317</v>
      </c>
      <c r="BR76" s="23">
        <f>EXP(-LN(2)/2)*BR75+(1-EXP(-LN(2)/2))/(LN(2)/2)*BL76*BO76*VLOOKUP('Données projet'!$B$11,Paramètres!$A$1:$I$89,3,0)*0.475*44/12</f>
        <v>6.0504517122520779E-6</v>
      </c>
      <c r="BS76" s="24">
        <f t="shared" si="63"/>
        <v>4.3449524301471438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5.6843418860808015E-14</v>
      </c>
      <c r="BZ76" s="14">
        <f>BY76*VLOOKUP('Données projet'!$B$12,Paramètres!$A$1:$I$89,3,0)*VLOOKUP('Données projet'!$B$12,Paramètres!$A$1:$I$89,5,0)</f>
        <v>3.3992364478763198E-14</v>
      </c>
      <c r="CA76" s="14">
        <f t="shared" si="93"/>
        <v>5.790027782444094E-13</v>
      </c>
      <c r="CB76" s="22">
        <f t="shared" si="64"/>
        <v>1.0676332069095257E-12</v>
      </c>
      <c r="CC76" s="62">
        <f t="shared" si="65"/>
        <v>254.49649864750876</v>
      </c>
      <c r="CD76" s="62">
        <f ca="1">AVERAGE(OFFSET($CC$3,0,0,'Données projet'!$E$12+1,1))-AVERAGE(OFFSET($H$3,0,0,'Données projet'!$E$12+1,1))</f>
        <v>225.71928466161592</v>
      </c>
      <c r="CE76" s="62">
        <f t="shared" si="94"/>
        <v>385.98818770742025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46.681021525324276</v>
      </c>
      <c r="CL76" s="23">
        <f>EXP(-LN(2)/25)*CL75+(1-EXP(-LN(2)/25))/(LN(2)/25)*Calculateur!CG76*Calculateur!CI76*VLOOKUP('Données projet'!$B$12,Paramètres!$A$1:$I$89,3,0)*0.475*44/12</f>
        <v>1.0147869178536828</v>
      </c>
      <c r="CM76" s="23">
        <f>EXP(-LN(2)/2)*CM75+(1-EXP(-LN(2)/2))/(LN(2)/2)*CG76*CJ76*VLOOKUP('Données projet'!$B$12,Paramètres!$A$1:$I$89,3,0)*0.475*44/12</f>
        <v>3.7140431357402534E-4</v>
      </c>
      <c r="CN76" s="24">
        <f t="shared" si="66"/>
        <v>47.696179847491535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7.6</v>
      </c>
      <c r="CT76" s="13">
        <f>IF('Données projet'!$A$140&gt;35,CT75+CS76-DB75,IF(A76&lt;'Données projet'!$A$140,$CQ$205^A76,IF(A76='Données projet'!$A$140,'Données projet'!$B$140,CT75+CS76-DB75)))</f>
        <v>296.8</v>
      </c>
      <c r="CU76" s="18">
        <f>CT76*VLOOKUP('Données projet'!$B$13,Paramètres!$A$1:$I$89,3,0)*VLOOKUP('Données projet'!$B$13,Paramètres!$A$1:$I$89,5,0)</f>
        <v>268.54464000000002</v>
      </c>
      <c r="CV76" s="14">
        <f t="shared" si="95"/>
        <v>64.54030807605065</v>
      </c>
      <c r="CW76" s="22">
        <f t="shared" si="67"/>
        <v>580.12295123245474</v>
      </c>
      <c r="CX76" s="62">
        <f t="shared" si="68"/>
        <v>834.61944987996242</v>
      </c>
      <c r="CY76" s="62">
        <f ca="1">AVERAGE(OFFSET($CX$3,0,0,'Données projet'!$E$13+1,1))-AVERAGE(OFFSET($H$3,0,0,'Données projet'!$E$13+1,1))</f>
        <v>499.92116338695428</v>
      </c>
      <c r="CZ76" s="62">
        <f t="shared" si="96"/>
        <v>316.79403154855652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0.95094739731022981</v>
      </c>
      <c r="DH76" s="23">
        <f>EXP(-LN(2)/2)*DH75+(1-EXP(-LN(2)/2))/(LN(2)/2)*DB76*DE76*VLOOKUP('Données projet'!$B$13,Paramètres!$A$1:$I$89,3,0)*0.475*44/12</f>
        <v>9.9733959351570173E-7</v>
      </c>
      <c r="DI76" s="24">
        <f t="shared" si="69"/>
        <v>0.95094839464982328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135.66666666666666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211.70619219850786</v>
      </c>
      <c r="T77" s="62">
        <f t="shared" si="88"/>
        <v>426.883837098247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1.9895196601282805E-13</v>
      </c>
      <c r="AJ77" s="14">
        <f>AI77*VLOOKUP('Données projet'!$B$10,Paramètres!$A$1:$I$89,3,0)*VLOOKUP('Données projet'!$B$10,Paramètres!$A$1:$I$89,5,0)</f>
        <v>1.8001173884840681E-13</v>
      </c>
      <c r="AK77" s="14">
        <f t="shared" si="89"/>
        <v>2.5254331426407198E-12</v>
      </c>
      <c r="AL77" s="22">
        <f t="shared" si="58"/>
        <v>4.7119831685935622E-12</v>
      </c>
      <c r="AM77" s="62">
        <f t="shared" si="59"/>
        <v>255.17023090315666</v>
      </c>
      <c r="AN77" s="62">
        <f ca="1">AVERAGE(OFFSET($AM$3,0,0,'Données projet'!$E$10+1,1))-AVERAGE(OFFSET($H$3,0,0,'Données projet'!$E$10+1,1))</f>
        <v>327.07074355218322</v>
      </c>
      <c r="AO77" s="62">
        <f t="shared" si="90"/>
        <v>462.01668587029087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3.4880518718407525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3.4880518718407525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</v>
      </c>
      <c r="BD77" s="13">
        <f>IF('Données projet'!$A$88&gt;35,BD76+BC77-BL76,IF(A77&lt;'Données projet'!$A$88,$BA$205^A77,IF(A77='Données projet'!$A$88,'Données projet'!$B$88,BD76+BC77-BL76)))</f>
        <v>225.99999999999994</v>
      </c>
      <c r="BE77" s="14">
        <f>BD77*VLOOKUP('Données projet'!$B$11,Paramètres!$A$1:$I$89,3,0)*VLOOKUP('Données projet'!$B$11,Paramètres!$A$1:$I$89,5,0)</f>
        <v>197.43359999999996</v>
      </c>
      <c r="BF77" s="14">
        <f t="shared" si="91"/>
        <v>49.179727436837609</v>
      </c>
      <c r="BG77" s="22">
        <f t="shared" si="61"/>
        <v>429.51821195249204</v>
      </c>
      <c r="BH77" s="62">
        <f t="shared" si="62"/>
        <v>684.68844285564398</v>
      </c>
      <c r="BI77" s="62">
        <f ca="1">AVERAGE(OFFSET($BH$3,0,0,'Données projet'!$E$11+1,1))-AVERAGE(OFFSET($H$3,0,0,'Données projet'!$E$11+1,1))</f>
        <v>378.51861272969165</v>
      </c>
      <c r="BJ77" s="62">
        <f t="shared" si="92"/>
        <v>387.42368617035459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4.2261335924518608</v>
      </c>
      <c r="BR77" s="23">
        <f>EXP(-LN(2)/2)*BR76+(1-EXP(-LN(2)/2))/(LN(2)/2)*BL77*BO77*VLOOKUP('Données projet'!$B$11,Paramètres!$A$1:$I$89,3,0)*0.475*44/12</f>
        <v>4.2783154349752018E-6</v>
      </c>
      <c r="BS77" s="24">
        <f t="shared" si="63"/>
        <v>4.2261378707672961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5.6843418860808015E-14</v>
      </c>
      <c r="BZ77" s="14">
        <f>BY77*VLOOKUP('Données projet'!$B$12,Paramètres!$A$1:$I$89,3,0)*VLOOKUP('Données projet'!$B$12,Paramètres!$A$1:$I$89,5,0)</f>
        <v>3.3992364478763198E-14</v>
      </c>
      <c r="CA77" s="14">
        <f t="shared" si="93"/>
        <v>5.790027782444094E-13</v>
      </c>
      <c r="CB77" s="22">
        <f t="shared" si="64"/>
        <v>1.0676332069095257E-12</v>
      </c>
      <c r="CC77" s="62">
        <f t="shared" si="65"/>
        <v>255.17023090315303</v>
      </c>
      <c r="CD77" s="62">
        <f ca="1">AVERAGE(OFFSET($CC$3,0,0,'Données projet'!$E$12+1,1))-AVERAGE(OFFSET($H$3,0,0,'Données projet'!$E$12+1,1))</f>
        <v>225.71928466161592</v>
      </c>
      <c r="CE77" s="62">
        <f t="shared" si="94"/>
        <v>385.98818770742025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45.765635165824364</v>
      </c>
      <c r="CL77" s="23">
        <f>EXP(-LN(2)/25)*CL76+(1-EXP(-LN(2)/25))/(LN(2)/25)*Calculateur!CG77*Calculateur!CI77*VLOOKUP('Données projet'!$B$12,Paramètres!$A$1:$I$89,3,0)*0.475*44/12</f>
        <v>0.98703751621964919</v>
      </c>
      <c r="CM77" s="23">
        <f>EXP(-LN(2)/2)*CM76+(1-EXP(-LN(2)/2))/(LN(2)/2)*CG77*CJ77*VLOOKUP('Données projet'!$B$12,Paramètres!$A$1:$I$89,3,0)*0.475*44/12</f>
        <v>2.6262250869012822E-4</v>
      </c>
      <c r="CN77" s="24">
        <f t="shared" si="66"/>
        <v>46.752935304552707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7.6</v>
      </c>
      <c r="CT77" s="13">
        <f>IF('Données projet'!$A$140&gt;35,CT76+CS77-DB76,IF(A77&lt;'Données projet'!$A$140,$CQ$205^A77,IF(A77='Données projet'!$A$140,'Données projet'!$B$140,CT76+CS77-DB76)))</f>
        <v>304.40000000000003</v>
      </c>
      <c r="CU77" s="18">
        <f>CT77*VLOOKUP('Données projet'!$B$13,Paramètres!$A$1:$I$89,3,0)*VLOOKUP('Données projet'!$B$13,Paramètres!$A$1:$I$89,5,0)</f>
        <v>275.42112000000003</v>
      </c>
      <c r="CV77" s="14">
        <f t="shared" si="95"/>
        <v>65.998433293601067</v>
      </c>
      <c r="CW77" s="22">
        <f t="shared" si="67"/>
        <v>594.63905531968851</v>
      </c>
      <c r="CX77" s="62">
        <f t="shared" si="68"/>
        <v>849.80928622284046</v>
      </c>
      <c r="CY77" s="62">
        <f ca="1">AVERAGE(OFFSET($CX$3,0,0,'Données projet'!$E$13+1,1))-AVERAGE(OFFSET($H$3,0,0,'Données projet'!$E$13+1,1))</f>
        <v>499.92116338695428</v>
      </c>
      <c r="CZ77" s="62">
        <f t="shared" si="96"/>
        <v>316.79403154855652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0.92494369072263138</v>
      </c>
      <c r="DH77" s="23">
        <f>EXP(-LN(2)/2)*DH76+(1-EXP(-LN(2)/2))/(LN(2)/2)*DB77*DE77*VLOOKUP('Données projet'!$B$13,Paramètres!$A$1:$I$89,3,0)*0.475*44/12</f>
        <v>7.0522558972078757E-7</v>
      </c>
      <c r="DI77" s="24">
        <f t="shared" si="69"/>
        <v>0.92494439594822109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135.66666666666666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211.70619219850786</v>
      </c>
      <c r="T78" s="62">
        <f t="shared" si="88"/>
        <v>426.883837098247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1.9895196601282805E-13</v>
      </c>
      <c r="AJ78" s="14">
        <f>AI78*VLOOKUP('Données projet'!$B$10,Paramètres!$A$1:$I$89,3,0)*VLOOKUP('Données projet'!$B$10,Paramètres!$A$1:$I$89,5,0)</f>
        <v>1.8001173884840681E-13</v>
      </c>
      <c r="AK78" s="14">
        <f t="shared" si="89"/>
        <v>2.5254331426407198E-12</v>
      </c>
      <c r="AL78" s="22">
        <f t="shared" si="58"/>
        <v>4.7119831685935622E-12</v>
      </c>
      <c r="AM78" s="62">
        <f t="shared" si="59"/>
        <v>255.83227541040509</v>
      </c>
      <c r="AN78" s="62">
        <f ca="1">AVERAGE(OFFSET($AM$3,0,0,'Données projet'!$E$10+1,1))-AVERAGE(OFFSET($H$3,0,0,'Données projet'!$E$10+1,1))</f>
        <v>327.07074355218322</v>
      </c>
      <c r="AO78" s="62">
        <f t="shared" si="90"/>
        <v>462.01668587029087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3.419653302135524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3.419653302135524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230</v>
      </c>
      <c r="BB78" s="13">
        <f>VLOOKUP(A78,'Données projet'!$A$87:$I$107,9,0)</f>
        <v>4</v>
      </c>
      <c r="BC78" s="13">
        <f t="array" ref="BC78">INDEX(BB:BB,MIN(IF(ISNUMBER(BB78:BB274),ROW(BB78:BB274),"")))</f>
        <v>4</v>
      </c>
      <c r="BD78" s="13">
        <f>IF('Données projet'!$A$88&gt;35,BD77+BC78-BL77,IF(A78&lt;'Données projet'!$A$88,$BA$205^A78,IF(A78='Données projet'!$A$88,'Données projet'!$B$88,BD77+BC78-BL77)))</f>
        <v>229.99999999999994</v>
      </c>
      <c r="BE78" s="14">
        <f>BD78*VLOOKUP('Données projet'!$B$11,Paramètres!$A$1:$I$89,3,0)*VLOOKUP('Données projet'!$B$11,Paramètres!$A$1:$I$89,5,0)</f>
        <v>200.92799999999997</v>
      </c>
      <c r="BF78" s="14">
        <f t="shared" si="91"/>
        <v>49.948059057189042</v>
      </c>
      <c r="BG78" s="22">
        <f t="shared" si="61"/>
        <v>436.94246952460418</v>
      </c>
      <c r="BH78" s="62">
        <f t="shared" si="62"/>
        <v>692.77474493500449</v>
      </c>
      <c r="BI78" s="62">
        <f ca="1">AVERAGE(OFFSET($BH$3,0,0,'Données projet'!$E$11+1,1))-AVERAGE(OFFSET($H$3,0,0,'Données projet'!$E$11+1,1))</f>
        <v>378.51861272969165</v>
      </c>
      <c r="BJ78" s="62">
        <f t="shared" si="92"/>
        <v>387.42368617035459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15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4.1105697471235576</v>
      </c>
      <c r="BR78" s="23">
        <f>EXP(-LN(2)/2)*BR77+(1-EXP(-LN(2)/2))/(LN(2)/2)*BL78*BO78*VLOOKUP('Données projet'!$B$11,Paramètres!$A$1:$I$89,3,0)*0.475*44/12</f>
        <v>3.025225856126039E-6</v>
      </c>
      <c r="BS78" s="24">
        <f t="shared" si="63"/>
        <v>4.1105727723494141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5.6843418860808015E-14</v>
      </c>
      <c r="BZ78" s="14">
        <f>BY78*VLOOKUP('Données projet'!$B$12,Paramètres!$A$1:$I$89,3,0)*VLOOKUP('Données projet'!$B$12,Paramètres!$A$1:$I$89,5,0)</f>
        <v>3.3992364478763198E-14</v>
      </c>
      <c r="CA78" s="14">
        <f t="shared" si="93"/>
        <v>5.790027782444094E-13</v>
      </c>
      <c r="CB78" s="22">
        <f t="shared" si="64"/>
        <v>1.0676332069095257E-12</v>
      </c>
      <c r="CC78" s="62">
        <f t="shared" si="65"/>
        <v>255.83227541040145</v>
      </c>
      <c r="CD78" s="62">
        <f ca="1">AVERAGE(OFFSET($CC$3,0,0,'Données projet'!$E$12+1,1))-AVERAGE(OFFSET($H$3,0,0,'Données projet'!$E$12+1,1))</f>
        <v>225.71928466161592</v>
      </c>
      <c r="CE78" s="62">
        <f t="shared" si="94"/>
        <v>385.98818770742025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44.868198974503692</v>
      </c>
      <c r="CL78" s="23">
        <f>EXP(-LN(2)/25)*CL77+(1-EXP(-LN(2)/25))/(LN(2)/25)*Calculateur!CG78*Calculateur!CI78*VLOOKUP('Données projet'!$B$12,Paramètres!$A$1:$I$89,3,0)*0.475*44/12</f>
        <v>0.96004692343257581</v>
      </c>
      <c r="CM78" s="23">
        <f>EXP(-LN(2)/2)*CM77+(1-EXP(-LN(2)/2))/(LN(2)/2)*CG78*CJ78*VLOOKUP('Données projet'!$B$12,Paramètres!$A$1:$I$89,3,0)*0.475*44/12</f>
        <v>1.8570215678701267E-4</v>
      </c>
      <c r="CN78" s="24">
        <f t="shared" si="66"/>
        <v>45.828431600093054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312</v>
      </c>
      <c r="CR78" s="13">
        <f>VLOOKUP(A78,'Données projet'!$A$139:$I$159,9,0)</f>
        <v>7.6</v>
      </c>
      <c r="CS78" s="13">
        <f t="array" ref="CS78">INDEX(CR:CR,MIN(IF(ISNUMBER(CR78:CR274),ROW(CR78:CR274),"")))</f>
        <v>7.6</v>
      </c>
      <c r="CT78" s="13">
        <f>IF('Données projet'!$A$140&gt;35,CT77+CS78-DB77,IF(A78&lt;'Données projet'!$A$140,$CQ$205^A78,IF(A78='Données projet'!$A$140,'Données projet'!$B$140,CT77+CS78-DB77)))</f>
        <v>312.00000000000006</v>
      </c>
      <c r="CU78" s="18">
        <f>CT78*VLOOKUP('Données projet'!$B$13,Paramètres!$A$1:$I$89,3,0)*VLOOKUP('Données projet'!$B$13,Paramètres!$A$1:$I$89,5,0)</f>
        <v>282.29760000000005</v>
      </c>
      <c r="CV78" s="14">
        <f t="shared" si="95"/>
        <v>67.452326629470178</v>
      </c>
      <c r="CW78" s="22">
        <f t="shared" si="67"/>
        <v>609.14778887966054</v>
      </c>
      <c r="CX78" s="62">
        <f t="shared" si="68"/>
        <v>864.98006429006091</v>
      </c>
      <c r="CY78" s="62">
        <f ca="1">AVERAGE(OFFSET($CX$3,0,0,'Données projet'!$E$13+1,1))-AVERAGE(OFFSET($H$3,0,0,'Données projet'!$E$13+1,1))</f>
        <v>499.92116338695428</v>
      </c>
      <c r="CZ78" s="62">
        <f t="shared" si="96"/>
        <v>316.79403154855652</v>
      </c>
      <c r="DA78" s="16">
        <f>IF(ISNA(VLOOKUP(A78,'Données projet'!$A$139:$I$159,3,0)),0,VLOOKUP(A78,'Données projet'!$A$139:$I$159,3,0))</f>
        <v>12</v>
      </c>
      <c r="DB78" s="16">
        <f>IF(ISNA(VLOOKUP(A78,'Données projet'!$A$139:$I$159,4,0)),0,VLOOKUP(A78,'Données projet'!$A$139:$I$159,4,0))</f>
        <v>28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0.89965105685914637</v>
      </c>
      <c r="DH78" s="23">
        <f>EXP(-LN(2)/2)*DH77+(1-EXP(-LN(2)/2))/(LN(2)/2)*DB78*DE78*VLOOKUP('Données projet'!$B$13,Paramètres!$A$1:$I$89,3,0)*0.475*44/12</f>
        <v>4.9866979675785087E-7</v>
      </c>
      <c r="DI78" s="24">
        <f t="shared" si="69"/>
        <v>0.89965155552894316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135.66666666666666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211.70619219850786</v>
      </c>
      <c r="T79" s="62">
        <f t="shared" si="88"/>
        <v>426.883837098247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1.9895196601282805E-13</v>
      </c>
      <c r="AJ79" s="14">
        <f>AI79*VLOOKUP('Données projet'!$B$10,Paramètres!$A$1:$I$89,3,0)*VLOOKUP('Données projet'!$B$10,Paramètres!$A$1:$I$89,5,0)</f>
        <v>1.8001173884840681E-13</v>
      </c>
      <c r="AK79" s="14">
        <f t="shared" si="89"/>
        <v>2.5254331426407198E-12</v>
      </c>
      <c r="AL79" s="22">
        <f t="shared" si="58"/>
        <v>4.7119831685935622E-12</v>
      </c>
      <c r="AM79" s="62">
        <f t="shared" si="59"/>
        <v>256.4828349255626</v>
      </c>
      <c r="AN79" s="62">
        <f ca="1">AVERAGE(OFFSET($AM$3,0,0,'Données projet'!$E$10+1,1))-AVERAGE(OFFSET($H$3,0,0,'Données projet'!$E$10+1,1))</f>
        <v>327.07074355218322</v>
      </c>
      <c r="AO79" s="62">
        <f t="shared" si="90"/>
        <v>462.01668587029087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3.3525959866632067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3.3525959866632067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3.6</v>
      </c>
      <c r="BD79" s="13">
        <f>IF('Données projet'!$A$88&gt;35,BD78+BC79-BL78,IF(A79&lt;'Données projet'!$A$88,$BA$205^A79,IF(A79='Données projet'!$A$88,'Données projet'!$B$88,BD78+BC79-BL78)))</f>
        <v>218.59999999999994</v>
      </c>
      <c r="BE79" s="14">
        <f>BD79*VLOOKUP('Données projet'!$B$11,Paramètres!$A$1:$I$89,3,0)*VLOOKUP('Données projet'!$B$11,Paramètres!$A$1:$I$89,5,0)</f>
        <v>190.96895999999998</v>
      </c>
      <c r="BF79" s="14">
        <f t="shared" si="91"/>
        <v>47.754112686935557</v>
      </c>
      <c r="BG79" s="22">
        <f t="shared" si="61"/>
        <v>415.77601826307938</v>
      </c>
      <c r="BH79" s="62">
        <f t="shared" si="62"/>
        <v>672.2588531886372</v>
      </c>
      <c r="BI79" s="62">
        <f ca="1">AVERAGE(OFFSET($BH$3,0,0,'Données projet'!$E$11+1,1))-AVERAGE(OFFSET($H$3,0,0,'Données projet'!$E$11+1,1))</f>
        <v>378.51861272969165</v>
      </c>
      <c r="BJ79" s="62">
        <f t="shared" si="92"/>
        <v>387.42368617035459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3.9981660012229958</v>
      </c>
      <c r="BR79" s="23">
        <f>EXP(-LN(2)/2)*BR78+(1-EXP(-LN(2)/2))/(LN(2)/2)*BL79*BO79*VLOOKUP('Données projet'!$B$11,Paramètres!$A$1:$I$89,3,0)*0.475*44/12</f>
        <v>2.1391577174876009E-6</v>
      </c>
      <c r="BS79" s="24">
        <f t="shared" si="63"/>
        <v>3.9981681403807134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5.6843418860808015E-14</v>
      </c>
      <c r="BZ79" s="14">
        <f>BY79*VLOOKUP('Données projet'!$B$12,Paramètres!$A$1:$I$89,3,0)*VLOOKUP('Données projet'!$B$12,Paramètres!$A$1:$I$89,5,0)</f>
        <v>3.3992364478763198E-14</v>
      </c>
      <c r="CA79" s="14">
        <f t="shared" si="93"/>
        <v>5.790027782444094E-13</v>
      </c>
      <c r="CB79" s="22">
        <f t="shared" si="64"/>
        <v>1.0676332069095257E-12</v>
      </c>
      <c r="CC79" s="62">
        <f t="shared" si="65"/>
        <v>256.48283492555896</v>
      </c>
      <c r="CD79" s="62">
        <f ca="1">AVERAGE(OFFSET($CC$3,0,0,'Données projet'!$E$12+1,1))-AVERAGE(OFFSET($H$3,0,0,'Données projet'!$E$12+1,1))</f>
        <v>225.71928466161592</v>
      </c>
      <c r="CE79" s="62">
        <f t="shared" si="94"/>
        <v>385.98818770742025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43.988360959512789</v>
      </c>
      <c r="CL79" s="23">
        <f>EXP(-LN(2)/25)*CL78+(1-EXP(-LN(2)/25))/(LN(2)/25)*Calculateur!CG79*Calculateur!CI79*VLOOKUP('Données projet'!$B$12,Paramètres!$A$1:$I$89,3,0)*0.475*44/12</f>
        <v>0.93379438982463858</v>
      </c>
      <c r="CM79" s="23">
        <f>EXP(-LN(2)/2)*CM78+(1-EXP(-LN(2)/2))/(LN(2)/2)*CG79*CJ79*VLOOKUP('Données projet'!$B$12,Paramètres!$A$1:$I$89,3,0)*0.475*44/12</f>
        <v>1.3131125434506411E-4</v>
      </c>
      <c r="CN79" s="24">
        <f t="shared" si="66"/>
        <v>44.922286660591773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7.2</v>
      </c>
      <c r="CT79" s="13">
        <f>IF('Données projet'!$A$140&gt;35,CT78+CS79-DB78,IF(A79&lt;'Données projet'!$A$140,$CQ$205^A79,IF(A79='Données projet'!$A$140,'Données projet'!$B$140,CT78+CS79-DB78)))</f>
        <v>291.20000000000005</v>
      </c>
      <c r="CU79" s="18">
        <f>CT79*VLOOKUP('Données projet'!$B$13,Paramètres!$A$1:$I$89,3,0)*VLOOKUP('Données projet'!$B$13,Paramètres!$A$1:$I$89,5,0)</f>
        <v>263.47776000000005</v>
      </c>
      <c r="CV79" s="14">
        <f t="shared" si="95"/>
        <v>63.46312159763346</v>
      </c>
      <c r="CW79" s="22">
        <f t="shared" si="67"/>
        <v>569.42203544921165</v>
      </c>
      <c r="CX79" s="62">
        <f t="shared" si="68"/>
        <v>825.90487037476953</v>
      </c>
      <c r="CY79" s="62">
        <f ca="1">AVERAGE(OFFSET($CX$3,0,0,'Données projet'!$E$13+1,1))-AVERAGE(OFFSET($H$3,0,0,'Données projet'!$E$13+1,1))</f>
        <v>499.92116338695428</v>
      </c>
      <c r="CZ79" s="62">
        <f t="shared" si="96"/>
        <v>316.79403154855652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0.87505005139874015</v>
      </c>
      <c r="DH79" s="23">
        <f>EXP(-LN(2)/2)*DH78+(1-EXP(-LN(2)/2))/(LN(2)/2)*DB79*DE79*VLOOKUP('Données projet'!$B$13,Paramètres!$A$1:$I$89,3,0)*0.475*44/12</f>
        <v>3.5261279486039378E-7</v>
      </c>
      <c r="DI79" s="24">
        <f t="shared" si="69"/>
        <v>0.875050404011535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135.66666666666666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211.70619219850786</v>
      </c>
      <c r="T80" s="62">
        <f t="shared" si="88"/>
        <v>426.883837098247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1.9895196601282805E-13</v>
      </c>
      <c r="AJ80" s="14">
        <f>AI80*VLOOKUP('Données projet'!$B$10,Paramètres!$A$1:$I$89,3,0)*VLOOKUP('Données projet'!$B$10,Paramètres!$A$1:$I$89,5,0)</f>
        <v>1.8001173884840681E-13</v>
      </c>
      <c r="AK80" s="14">
        <f t="shared" si="89"/>
        <v>2.5254331426407198E-12</v>
      </c>
      <c r="AL80" s="22">
        <f t="shared" si="58"/>
        <v>4.7119831685935622E-12</v>
      </c>
      <c r="AM80" s="62">
        <f t="shared" si="59"/>
        <v>257.12210868756529</v>
      </c>
      <c r="AN80" s="62">
        <f ca="1">AVERAGE(OFFSET($AM$3,0,0,'Données projet'!$E$10+1,1))-AVERAGE(OFFSET($H$3,0,0,'Données projet'!$E$10+1,1))</f>
        <v>327.07074355218322</v>
      </c>
      <c r="AO80" s="62">
        <f t="shared" si="90"/>
        <v>462.01668587029087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3.2868536242463779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3.2868536242463779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3.6</v>
      </c>
      <c r="BD80" s="13">
        <f>IF('Données projet'!$A$88&gt;35,BD79+BC80-BL79,IF(A80&lt;'Données projet'!$A$88,$BA$205^A80,IF(A80='Données projet'!$A$88,'Données projet'!$B$88,BD79+BC80-BL79)))</f>
        <v>222.19999999999993</v>
      </c>
      <c r="BE80" s="14">
        <f>BD80*VLOOKUP('Données projet'!$B$11,Paramètres!$A$1:$I$89,3,0)*VLOOKUP('Données projet'!$B$11,Paramètres!$A$1:$I$89,5,0)</f>
        <v>194.11391999999998</v>
      </c>
      <c r="BF80" s="14">
        <f t="shared" si="91"/>
        <v>48.44834513242396</v>
      </c>
      <c r="BG80" s="22">
        <f t="shared" si="61"/>
        <v>422.46261177230502</v>
      </c>
      <c r="BH80" s="62">
        <f t="shared" si="62"/>
        <v>679.58472045986559</v>
      </c>
      <c r="BI80" s="62">
        <f ca="1">AVERAGE(OFFSET($BH$3,0,0,'Données projet'!$E$11+1,1))-AVERAGE(OFFSET($H$3,0,0,'Données projet'!$E$11+1,1))</f>
        <v>378.51861272969165</v>
      </c>
      <c r="BJ80" s="62">
        <f t="shared" si="92"/>
        <v>387.42368617035459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3.8888359416651408</v>
      </c>
      <c r="BR80" s="23">
        <f>EXP(-LN(2)/2)*BR79+(1-EXP(-LN(2)/2))/(LN(2)/2)*BL80*BO80*VLOOKUP('Données projet'!$B$11,Paramètres!$A$1:$I$89,3,0)*0.475*44/12</f>
        <v>1.5126129280630195E-6</v>
      </c>
      <c r="BS80" s="24">
        <f t="shared" si="63"/>
        <v>3.888837454278069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5.6843418860808015E-14</v>
      </c>
      <c r="BZ80" s="14">
        <f>BY80*VLOOKUP('Données projet'!$B$12,Paramètres!$A$1:$I$89,3,0)*VLOOKUP('Données projet'!$B$12,Paramètres!$A$1:$I$89,5,0)</f>
        <v>3.3992364478763198E-14</v>
      </c>
      <c r="CA80" s="14">
        <f t="shared" si="93"/>
        <v>5.790027782444094E-13</v>
      </c>
      <c r="CB80" s="22">
        <f t="shared" si="64"/>
        <v>1.0676332069095257E-12</v>
      </c>
      <c r="CC80" s="62">
        <f t="shared" si="65"/>
        <v>257.12210868756165</v>
      </c>
      <c r="CD80" s="62">
        <f ca="1">AVERAGE(OFFSET($CC$3,0,0,'Données projet'!$E$12+1,1))-AVERAGE(OFFSET($H$3,0,0,'Données projet'!$E$12+1,1))</f>
        <v>225.71928466161592</v>
      </c>
      <c r="CE80" s="62">
        <f t="shared" si="94"/>
        <v>385.98818770742025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43.125776031347662</v>
      </c>
      <c r="CL80" s="23">
        <f>EXP(-LN(2)/25)*CL79+(1-EXP(-LN(2)/25))/(LN(2)/25)*Calculateur!CG80*Calculateur!CI80*VLOOKUP('Données projet'!$B$12,Paramètres!$A$1:$I$89,3,0)*0.475*44/12</f>
        <v>0.90825973312877106</v>
      </c>
      <c r="CM80" s="23">
        <f>EXP(-LN(2)/2)*CM79+(1-EXP(-LN(2)/2))/(LN(2)/2)*CG80*CJ80*VLOOKUP('Données projet'!$B$12,Paramètres!$A$1:$I$89,3,0)*0.475*44/12</f>
        <v>9.2851078393506336E-5</v>
      </c>
      <c r="CN80" s="24">
        <f t="shared" si="66"/>
        <v>44.034128615554827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7.2</v>
      </c>
      <c r="CT80" s="13">
        <f>IF('Données projet'!$A$140&gt;35,CT79+CS80-DB79,IF(A80&lt;'Données projet'!$A$140,$CQ$205^A80,IF(A80='Données projet'!$A$140,'Données projet'!$B$140,CT79+CS80-DB79)))</f>
        <v>298.40000000000003</v>
      </c>
      <c r="CU80" s="18">
        <f>CT80*VLOOKUP('Données projet'!$B$13,Paramètres!$A$1:$I$89,3,0)*VLOOKUP('Données projet'!$B$13,Paramètres!$A$1:$I$89,5,0)</f>
        <v>269.99232000000001</v>
      </c>
      <c r="CV80" s="14">
        <f t="shared" si="95"/>
        <v>64.847639395310296</v>
      </c>
      <c r="CW80" s="22">
        <f t="shared" si="67"/>
        <v>583.17959594683214</v>
      </c>
      <c r="CX80" s="62">
        <f t="shared" si="68"/>
        <v>840.30170463439276</v>
      </c>
      <c r="CY80" s="62">
        <f ca="1">AVERAGE(OFFSET($CX$3,0,0,'Données projet'!$E$13+1,1))-AVERAGE(OFFSET($H$3,0,0,'Données projet'!$E$13+1,1))</f>
        <v>499.92116338695428</v>
      </c>
      <c r="CZ80" s="62">
        <f t="shared" si="96"/>
        <v>316.79403154855652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0.85112176172635934</v>
      </c>
      <c r="DH80" s="23">
        <f>EXP(-LN(2)/2)*DH79+(1-EXP(-LN(2)/2))/(LN(2)/2)*DB80*DE80*VLOOKUP('Données projet'!$B$13,Paramètres!$A$1:$I$89,3,0)*0.475*44/12</f>
        <v>2.4933489837892543E-7</v>
      </c>
      <c r="DI80" s="24">
        <f t="shared" si="69"/>
        <v>0.85112201106125773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135.66666666666666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211.70619219850786</v>
      </c>
      <c r="T81" s="62">
        <f t="shared" si="88"/>
        <v>426.883837098247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1.9895196601282805E-13</v>
      </c>
      <c r="AJ81" s="14">
        <f>AI81*VLOOKUP('Données projet'!$B$10,Paramètres!$A$1:$I$89,3,0)*VLOOKUP('Données projet'!$B$10,Paramètres!$A$1:$I$89,5,0)</f>
        <v>1.8001173884840681E-13</v>
      </c>
      <c r="AK81" s="14">
        <f t="shared" si="89"/>
        <v>2.5254331426407198E-12</v>
      </c>
      <c r="AL81" s="22">
        <f t="shared" si="58"/>
        <v>4.7119831685935622E-12</v>
      </c>
      <c r="AM81" s="62">
        <f t="shared" si="59"/>
        <v>257.7502924789992</v>
      </c>
      <c r="AN81" s="62">
        <f ca="1">AVERAGE(OFFSET($AM$3,0,0,'Données projet'!$E$10+1,1))-AVERAGE(OFFSET($H$3,0,0,'Données projet'!$E$10+1,1))</f>
        <v>327.07074355218322</v>
      </c>
      <c r="AO81" s="62">
        <f t="shared" si="90"/>
        <v>462.01668587029087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3.2224004294576614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3.2224004294576614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3.6</v>
      </c>
      <c r="BD81" s="13">
        <f>IF('Données projet'!$A$88&gt;35,BD80+BC81-BL80,IF(A81&lt;'Données projet'!$A$88,$BA$205^A81,IF(A81='Données projet'!$A$88,'Données projet'!$B$88,BD80+BC81-BL80)))</f>
        <v>225.79999999999993</v>
      </c>
      <c r="BE81" s="14">
        <f>BD81*VLOOKUP('Données projet'!$B$11,Paramètres!$A$1:$I$89,3,0)*VLOOKUP('Données projet'!$B$11,Paramètres!$A$1:$I$89,5,0)</f>
        <v>197.25887999999995</v>
      </c>
      <c r="BF81" s="14">
        <f t="shared" si="91"/>
        <v>49.141269519991567</v>
      </c>
      <c r="BG81" s="22">
        <f t="shared" si="61"/>
        <v>429.14692708065189</v>
      </c>
      <c r="BH81" s="62">
        <f t="shared" si="62"/>
        <v>686.89721955964637</v>
      </c>
      <c r="BI81" s="62">
        <f ca="1">AVERAGE(OFFSET($BH$3,0,0,'Données projet'!$E$11+1,1))-AVERAGE(OFFSET($H$3,0,0,'Données projet'!$E$11+1,1))</f>
        <v>378.51861272969165</v>
      </c>
      <c r="BJ81" s="62">
        <f t="shared" si="92"/>
        <v>387.42368617035459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3.7824955183353133</v>
      </c>
      <c r="BR81" s="23">
        <f>EXP(-LN(2)/2)*BR80+(1-EXP(-LN(2)/2))/(LN(2)/2)*BL81*BO81*VLOOKUP('Données projet'!$B$11,Paramètres!$A$1:$I$89,3,0)*0.475*44/12</f>
        <v>1.0695788587438004E-6</v>
      </c>
      <c r="BS81" s="24">
        <f t="shared" si="63"/>
        <v>3.7824965879141721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5.6843418860808015E-14</v>
      </c>
      <c r="BZ81" s="14">
        <f>BY81*VLOOKUP('Données projet'!$B$12,Paramètres!$A$1:$I$89,3,0)*VLOOKUP('Données projet'!$B$12,Paramètres!$A$1:$I$89,5,0)</f>
        <v>3.3992364478763198E-14</v>
      </c>
      <c r="CA81" s="14">
        <f t="shared" si="93"/>
        <v>5.790027782444094E-13</v>
      </c>
      <c r="CB81" s="22">
        <f t="shared" si="64"/>
        <v>1.0676332069095257E-12</v>
      </c>
      <c r="CC81" s="62">
        <f t="shared" si="65"/>
        <v>257.75029247899556</v>
      </c>
      <c r="CD81" s="62">
        <f ca="1">AVERAGE(OFFSET($CC$3,0,0,'Données projet'!$E$12+1,1))-AVERAGE(OFFSET($H$3,0,0,'Données projet'!$E$12+1,1))</f>
        <v>225.71928466161592</v>
      </c>
      <c r="CE81" s="62">
        <f t="shared" si="94"/>
        <v>385.98818770742025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42.280105867498996</v>
      </c>
      <c r="CL81" s="23">
        <f>EXP(-LN(2)/25)*CL80+(1-EXP(-LN(2)/25))/(LN(2)/25)*Calculateur!CG81*Calculateur!CI81*VLOOKUP('Données projet'!$B$12,Paramètres!$A$1:$I$89,3,0)*0.475*44/12</f>
        <v>0.88342332296306136</v>
      </c>
      <c r="CM81" s="23">
        <f>EXP(-LN(2)/2)*CM80+(1-EXP(-LN(2)/2))/(LN(2)/2)*CG81*CJ81*VLOOKUP('Données projet'!$B$12,Paramètres!$A$1:$I$89,3,0)*0.475*44/12</f>
        <v>6.5655627172532056E-5</v>
      </c>
      <c r="CN81" s="24">
        <f t="shared" si="66"/>
        <v>43.163594846089232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7.2</v>
      </c>
      <c r="CT81" s="13">
        <f>IF('Données projet'!$A$140&gt;35,CT80+CS81-DB80,IF(A81&lt;'Données projet'!$A$140,$CQ$205^A81,IF(A81='Données projet'!$A$140,'Données projet'!$B$140,CT80+CS81-DB80)))</f>
        <v>305.60000000000002</v>
      </c>
      <c r="CU81" s="18">
        <f>CT81*VLOOKUP('Données projet'!$B$13,Paramètres!$A$1:$I$89,3,0)*VLOOKUP('Données projet'!$B$13,Paramètres!$A$1:$I$89,5,0)</f>
        <v>276.50687999999997</v>
      </c>
      <c r="CV81" s="14">
        <f t="shared" si="95"/>
        <v>66.228273722513677</v>
      </c>
      <c r="CW81" s="22">
        <f t="shared" si="67"/>
        <v>596.93039273337797</v>
      </c>
      <c r="CX81" s="62">
        <f t="shared" si="68"/>
        <v>854.68068521237251</v>
      </c>
      <c r="CY81" s="62">
        <f ca="1">AVERAGE(OFFSET($CX$3,0,0,'Données projet'!$E$13+1,1))-AVERAGE(OFFSET($H$3,0,0,'Données projet'!$E$13+1,1))</f>
        <v>499.92116338695428</v>
      </c>
      <c r="CZ81" s="62">
        <f t="shared" si="96"/>
        <v>316.79403154855652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0.82784779239340389</v>
      </c>
      <c r="DH81" s="23">
        <f>EXP(-LN(2)/2)*DH80+(1-EXP(-LN(2)/2))/(LN(2)/2)*DB81*DE81*VLOOKUP('Données projet'!$B$13,Paramètres!$A$1:$I$89,3,0)*0.475*44/12</f>
        <v>1.7630639743019689E-7</v>
      </c>
      <c r="DI81" s="24">
        <f t="shared" si="69"/>
        <v>0.82784796869980137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135.66666666666666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211.70619219850786</v>
      </c>
      <c r="T82" s="62">
        <f t="shared" si="88"/>
        <v>426.883837098247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1.9895196601282805E-13</v>
      </c>
      <c r="AJ82" s="14">
        <f>AI82*VLOOKUP('Données projet'!$B$10,Paramètres!$A$1:$I$89,3,0)*VLOOKUP('Données projet'!$B$10,Paramètres!$A$1:$I$89,5,0)</f>
        <v>1.8001173884840681E-13</v>
      </c>
      <c r="AK82" s="14">
        <f t="shared" si="89"/>
        <v>2.5254331426407198E-12</v>
      </c>
      <c r="AL82" s="22">
        <f t="shared" si="58"/>
        <v>4.7119831685935622E-12</v>
      </c>
      <c r="AM82" s="62">
        <f t="shared" si="59"/>
        <v>258.36757868606037</v>
      </c>
      <c r="AN82" s="62">
        <f ca="1">AVERAGE(OFFSET($AM$3,0,0,'Données projet'!$E$10+1,1))-AVERAGE(OFFSET($H$3,0,0,'Données projet'!$E$10+1,1))</f>
        <v>327.07074355218322</v>
      </c>
      <c r="AO82" s="62">
        <f t="shared" si="90"/>
        <v>462.01668587029087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3.1592111225061847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3.1592111225061847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3.6</v>
      </c>
      <c r="BD82" s="13">
        <f>IF('Données projet'!$A$88&gt;35,BD81+BC82-BL81,IF(A82&lt;'Données projet'!$A$88,$BA$205^A82,IF(A82='Données projet'!$A$88,'Données projet'!$B$88,BD81+BC82-BL81)))</f>
        <v>229.39999999999992</v>
      </c>
      <c r="BE82" s="14">
        <f>BD82*VLOOKUP('Données projet'!$B$11,Paramètres!$A$1:$I$89,3,0)*VLOOKUP('Données projet'!$B$11,Paramètres!$A$1:$I$89,5,0)</f>
        <v>200.40383999999997</v>
      </c>
      <c r="BF82" s="14">
        <f t="shared" si="91"/>
        <v>49.832909112305636</v>
      </c>
      <c r="BG82" s="22">
        <f t="shared" si="61"/>
        <v>435.82900470393224</v>
      </c>
      <c r="BH82" s="62">
        <f t="shared" si="62"/>
        <v>694.19658338998784</v>
      </c>
      <c r="BI82" s="62">
        <f ca="1">AVERAGE(OFFSET($BH$3,0,0,'Données projet'!$E$11+1,1))-AVERAGE(OFFSET($H$3,0,0,'Données projet'!$E$11+1,1))</f>
        <v>378.51861272969165</v>
      </c>
      <c r="BJ82" s="62">
        <f t="shared" si="92"/>
        <v>387.42368617035459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3.67906297947364</v>
      </c>
      <c r="BR82" s="23">
        <f>EXP(-LN(2)/2)*BR81+(1-EXP(-LN(2)/2))/(LN(2)/2)*BL82*BO82*VLOOKUP('Données projet'!$B$11,Paramètres!$A$1:$I$89,3,0)*0.475*44/12</f>
        <v>7.5630646403150974E-7</v>
      </c>
      <c r="BS82" s="24">
        <f t="shared" si="63"/>
        <v>3.6790637357801041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5.6843418860808015E-14</v>
      </c>
      <c r="BZ82" s="14">
        <f>BY82*VLOOKUP('Données projet'!$B$12,Paramètres!$A$1:$I$89,3,0)*VLOOKUP('Données projet'!$B$12,Paramètres!$A$1:$I$89,5,0)</f>
        <v>3.3992364478763198E-14</v>
      </c>
      <c r="CA82" s="14">
        <f t="shared" si="93"/>
        <v>5.790027782444094E-13</v>
      </c>
      <c r="CB82" s="22">
        <f t="shared" si="64"/>
        <v>1.0676332069095257E-12</v>
      </c>
      <c r="CC82" s="62">
        <f t="shared" si="65"/>
        <v>258.36757868605673</v>
      </c>
      <c r="CD82" s="62">
        <f ca="1">AVERAGE(OFFSET($CC$3,0,0,'Données projet'!$E$12+1,1))-AVERAGE(OFFSET($H$3,0,0,'Données projet'!$E$12+1,1))</f>
        <v>225.71928466161592</v>
      </c>
      <c r="CE82" s="62">
        <f t="shared" si="94"/>
        <v>385.98818770742025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41.451018779755536</v>
      </c>
      <c r="CL82" s="23">
        <f>EXP(-LN(2)/25)*CL81+(1-EXP(-LN(2)/25))/(LN(2)/25)*Calculateur!CG82*Calculateur!CI82*VLOOKUP('Données projet'!$B$12,Paramètres!$A$1:$I$89,3,0)*0.475*44/12</f>
        <v>0.85926606573942299</v>
      </c>
      <c r="CM82" s="23">
        <f>EXP(-LN(2)/2)*CM81+(1-EXP(-LN(2)/2))/(LN(2)/2)*CG82*CJ82*VLOOKUP('Données projet'!$B$12,Paramètres!$A$1:$I$89,3,0)*0.475*44/12</f>
        <v>4.6425539196753168E-5</v>
      </c>
      <c r="CN82" s="24">
        <f t="shared" si="66"/>
        <v>42.310331271034158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7.2</v>
      </c>
      <c r="CT82" s="13">
        <f>IF('Données projet'!$A$140&gt;35,CT81+CS82-DB81,IF(A82&lt;'Données projet'!$A$140,$CQ$205^A82,IF(A82='Données projet'!$A$140,'Données projet'!$B$140,CT81+CS82-DB81)))</f>
        <v>312.8</v>
      </c>
      <c r="CU82" s="18">
        <f>CT82*VLOOKUP('Données projet'!$B$13,Paramètres!$A$1:$I$89,3,0)*VLOOKUP('Données projet'!$B$13,Paramètres!$A$1:$I$89,5,0)</f>
        <v>283.02144000000004</v>
      </c>
      <c r="CV82" s="14">
        <f t="shared" si="95"/>
        <v>67.605126603830598</v>
      </c>
      <c r="CW82" s="22">
        <f t="shared" si="67"/>
        <v>610.67460350167164</v>
      </c>
      <c r="CX82" s="62">
        <f t="shared" si="68"/>
        <v>869.04218218772735</v>
      </c>
      <c r="CY82" s="62">
        <f ca="1">AVERAGE(OFFSET($CX$3,0,0,'Données projet'!$E$13+1,1))-AVERAGE(OFFSET($H$3,0,0,'Données projet'!$E$13+1,1))</f>
        <v>499.92116338695428</v>
      </c>
      <c r="CZ82" s="62">
        <f t="shared" si="96"/>
        <v>316.79403154855652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0.80521025097578292</v>
      </c>
      <c r="DH82" s="23">
        <f>EXP(-LN(2)/2)*DH81+(1-EXP(-LN(2)/2))/(LN(2)/2)*DB82*DE82*VLOOKUP('Données projet'!$B$13,Paramètres!$A$1:$I$89,3,0)*0.475*44/12</f>
        <v>1.2466744918946272E-7</v>
      </c>
      <c r="DI82" s="24">
        <f t="shared" si="69"/>
        <v>0.80521037564323206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135.66666666666666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211.70619219850786</v>
      </c>
      <c r="T83" s="62">
        <f t="shared" si="88"/>
        <v>426.883837098247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1.9895196601282805E-13</v>
      </c>
      <c r="AJ83" s="14">
        <f>AI83*VLOOKUP('Données projet'!$B$10,Paramètres!$A$1:$I$89,3,0)*VLOOKUP('Données projet'!$B$10,Paramètres!$A$1:$I$89,5,0)</f>
        <v>1.8001173884840681E-13</v>
      </c>
      <c r="AK83" s="14">
        <f t="shared" si="89"/>
        <v>2.5254331426407198E-12</v>
      </c>
      <c r="AL83" s="22">
        <f t="shared" si="58"/>
        <v>4.7119831685935622E-12</v>
      </c>
      <c r="AM83" s="62">
        <f t="shared" si="59"/>
        <v>258.97415635747427</v>
      </c>
      <c r="AN83" s="62">
        <f ca="1">AVERAGE(OFFSET($AM$3,0,0,'Données projet'!$E$10+1,1))-AVERAGE(OFFSET($H$3,0,0,'Données projet'!$E$10+1,1))</f>
        <v>327.07074355218322</v>
      </c>
      <c r="AO83" s="62">
        <f t="shared" si="90"/>
        <v>462.01668587029087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3.0972609193223546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3.0972609193223546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233</v>
      </c>
      <c r="BB83" s="13">
        <f>VLOOKUP(A83,'Données projet'!$A$87:$I$107,9,0)</f>
        <v>3.6</v>
      </c>
      <c r="BC83" s="13">
        <f t="array" ref="BC83">INDEX(BB:BB,MIN(IF(ISNUMBER(BB83:BB279),ROW(BB83:BB279),"")))</f>
        <v>3.6</v>
      </c>
      <c r="BD83" s="13">
        <f>IF('Données projet'!$A$88&gt;35,BD82+BC83-BL82,IF(A83&lt;'Données projet'!$A$88,$BA$205^A83,IF(A83='Données projet'!$A$88,'Données projet'!$B$88,BD82+BC83-BL82)))</f>
        <v>232.99999999999991</v>
      </c>
      <c r="BE83" s="14">
        <f>BD83*VLOOKUP('Données projet'!$B$11,Paramètres!$A$1:$I$89,3,0)*VLOOKUP('Données projet'!$B$11,Paramètres!$A$1:$I$89,5,0)</f>
        <v>203.54879999999994</v>
      </c>
      <c r="BF83" s="14">
        <f t="shared" si="91"/>
        <v>50.523286400023487</v>
      </c>
      <c r="BG83" s="22">
        <f t="shared" si="61"/>
        <v>442.5088838133741</v>
      </c>
      <c r="BH83" s="62">
        <f t="shared" si="62"/>
        <v>701.48304017084365</v>
      </c>
      <c r="BI83" s="62">
        <f ca="1">AVERAGE(OFFSET($BH$3,0,0,'Données projet'!$E$11+1,1))-AVERAGE(OFFSET($H$3,0,0,'Données projet'!$E$11+1,1))</f>
        <v>378.51861272969165</v>
      </c>
      <c r="BJ83" s="62">
        <f t="shared" si="92"/>
        <v>387.42368617035459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13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3.57845880882642</v>
      </c>
      <c r="BR83" s="23">
        <f>EXP(-LN(2)/2)*BR82+(1-EXP(-LN(2)/2))/(LN(2)/2)*BL83*BO83*VLOOKUP('Données projet'!$B$11,Paramètres!$A$1:$I$89,3,0)*0.475*44/12</f>
        <v>5.3478942937190022E-7</v>
      </c>
      <c r="BS83" s="24">
        <f t="shared" si="63"/>
        <v>3.5784593436158492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5.6843418860808015E-14</v>
      </c>
      <c r="BZ83" s="14">
        <f>BY83*VLOOKUP('Données projet'!$B$12,Paramètres!$A$1:$I$89,3,0)*VLOOKUP('Données projet'!$B$12,Paramètres!$A$1:$I$89,5,0)</f>
        <v>3.3992364478763198E-14</v>
      </c>
      <c r="CA83" s="14">
        <f t="shared" si="93"/>
        <v>5.790027782444094E-13</v>
      </c>
      <c r="CB83" s="22">
        <f t="shared" si="64"/>
        <v>1.0676332069095257E-12</v>
      </c>
      <c r="CC83" s="62">
        <f t="shared" si="65"/>
        <v>258.97415635747063</v>
      </c>
      <c r="CD83" s="62">
        <f ca="1">AVERAGE(OFFSET($CC$3,0,0,'Données projet'!$E$12+1,1))-AVERAGE(OFFSET($H$3,0,0,'Données projet'!$E$12+1,1))</f>
        <v>225.71928466161592</v>
      </c>
      <c r="CE83" s="62">
        <f t="shared" si="94"/>
        <v>385.98818770742025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40.638189584109533</v>
      </c>
      <c r="CL83" s="23">
        <f>EXP(-LN(2)/25)*CL82+(1-EXP(-LN(2)/25))/(LN(2)/25)*Calculateur!CG83*Calculateur!CI83*VLOOKUP('Données projet'!$B$12,Paramètres!$A$1:$I$89,3,0)*0.475*44/12</f>
        <v>0.83576938998493999</v>
      </c>
      <c r="CM83" s="23">
        <f>EXP(-LN(2)/2)*CM82+(1-EXP(-LN(2)/2))/(LN(2)/2)*CG83*CJ83*VLOOKUP('Données projet'!$B$12,Paramètres!$A$1:$I$89,3,0)*0.475*44/12</f>
        <v>3.2827813586266028E-5</v>
      </c>
      <c r="CN83" s="24">
        <f t="shared" si="66"/>
        <v>41.473991801908056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320</v>
      </c>
      <c r="CR83" s="13">
        <f>VLOOKUP(A83,'Données projet'!$A$139:$I$159,9,0)</f>
        <v>7.2</v>
      </c>
      <c r="CS83" s="13">
        <f t="array" ref="CS83">INDEX(CR:CR,MIN(IF(ISNUMBER(CR83:CR279),ROW(CR83:CR279),"")))</f>
        <v>7.2</v>
      </c>
      <c r="CT83" s="13">
        <f>IF('Données projet'!$A$140&gt;35,CT82+CS83-DB82,IF(A83&lt;'Données projet'!$A$140,$CQ$205^A83,IF(A83='Données projet'!$A$140,'Données projet'!$B$140,CT82+CS83-DB82)))</f>
        <v>320</v>
      </c>
      <c r="CU83" s="18">
        <f>CT83*VLOOKUP('Données projet'!$B$13,Paramètres!$A$1:$I$89,3,0)*VLOOKUP('Données projet'!$B$13,Paramètres!$A$1:$I$89,5,0)</f>
        <v>289.536</v>
      </c>
      <c r="CV83" s="14">
        <f t="shared" si="95"/>
        <v>68.97829509904436</v>
      </c>
      <c r="CW83" s="22">
        <f t="shared" si="67"/>
        <v>624.41239729750225</v>
      </c>
      <c r="CX83" s="62">
        <f t="shared" si="68"/>
        <v>883.38655365497175</v>
      </c>
      <c r="CY83" s="62">
        <f ca="1">AVERAGE(OFFSET($CX$3,0,0,'Données projet'!$E$13+1,1))-AVERAGE(OFFSET($H$3,0,0,'Données projet'!$E$13+1,1))</f>
        <v>499.92116338695428</v>
      </c>
      <c r="CZ83" s="62">
        <f t="shared" si="96"/>
        <v>316.79403154855652</v>
      </c>
      <c r="DA83" s="16">
        <f>IF(ISNA(VLOOKUP(A83,'Données projet'!$A$139:$I$159,3,0)),0,VLOOKUP(A83,'Données projet'!$A$139:$I$159,3,0))</f>
        <v>13</v>
      </c>
      <c r="DB83" s="16">
        <f>IF(ISNA(VLOOKUP(A83,'Données projet'!$A$139:$I$159,4,0)),0,VLOOKUP(A83,'Données projet'!$A$139:$I$159,4,0))</f>
        <v>28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0.78319173431868339</v>
      </c>
      <c r="DH83" s="23">
        <f>EXP(-LN(2)/2)*DH82+(1-EXP(-LN(2)/2))/(LN(2)/2)*DB83*DE83*VLOOKUP('Données projet'!$B$13,Paramètres!$A$1:$I$89,3,0)*0.475*44/12</f>
        <v>8.8153198715098446E-8</v>
      </c>
      <c r="DI83" s="24">
        <f t="shared" si="69"/>
        <v>0.78319182247188213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135.66666666666666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211.70619219850786</v>
      </c>
      <c r="T84" s="62">
        <f t="shared" si="88"/>
        <v>426.883837098247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1.9895196601282805E-13</v>
      </c>
      <c r="AJ84" s="14">
        <f>AI84*VLOOKUP('Données projet'!$B$10,Paramètres!$A$1:$I$89,3,0)*VLOOKUP('Données projet'!$B$10,Paramètres!$A$1:$I$89,5,0)</f>
        <v>1.8001173884840681E-13</v>
      </c>
      <c r="AK84" s="14">
        <f t="shared" si="89"/>
        <v>2.5254331426407198E-12</v>
      </c>
      <c r="AL84" s="22">
        <f t="shared" si="58"/>
        <v>4.7119831685935622E-12</v>
      </c>
      <c r="AM84" s="62">
        <f t="shared" si="59"/>
        <v>259.57021126239351</v>
      </c>
      <c r="AN84" s="62">
        <f ca="1">AVERAGE(OFFSET($AM$3,0,0,'Données projet'!$E$10+1,1))-AVERAGE(OFFSET($H$3,0,0,'Données projet'!$E$10+1,1))</f>
        <v>327.07074355218322</v>
      </c>
      <c r="AO84" s="62">
        <f t="shared" si="90"/>
        <v>462.01668587029087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3.0365255218370666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3.0365255218370666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3</v>
      </c>
      <c r="BD84" s="13">
        <f>IF('Données projet'!$A$88&gt;35,BD83+BC84-BL83,IF(A84&lt;'Données projet'!$A$88,$BA$205^A84,IF(A84='Données projet'!$A$88,'Données projet'!$B$88,BD83+BC84-BL83)))</f>
        <v>222.99999999999991</v>
      </c>
      <c r="BE84" s="14">
        <f>BD84*VLOOKUP('Données projet'!$B$11,Paramètres!$A$1:$I$89,3,0)*VLOOKUP('Données projet'!$B$11,Paramètres!$A$1:$I$89,5,0)</f>
        <v>194.81279999999995</v>
      </c>
      <c r="BF84" s="14">
        <f t="shared" si="91"/>
        <v>48.602440540253859</v>
      </c>
      <c r="BG84" s="22">
        <f t="shared" si="61"/>
        <v>423.9482106076087</v>
      </c>
      <c r="BH84" s="62">
        <f t="shared" si="62"/>
        <v>683.5184218699975</v>
      </c>
      <c r="BI84" s="62">
        <f ca="1">AVERAGE(OFFSET($BH$3,0,0,'Données projet'!$E$11+1,1))-AVERAGE(OFFSET($H$3,0,0,'Données projet'!$E$11+1,1))</f>
        <v>378.51861272969165</v>
      </c>
      <c r="BJ84" s="62">
        <f t="shared" si="92"/>
        <v>387.42368617035459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3.4806056645160917</v>
      </c>
      <c r="BR84" s="23">
        <f>EXP(-LN(2)/2)*BR83+(1-EXP(-LN(2)/2))/(LN(2)/2)*BL84*BO84*VLOOKUP('Données projet'!$B$11,Paramètres!$A$1:$I$89,3,0)*0.475*44/12</f>
        <v>3.7815323201575487E-7</v>
      </c>
      <c r="BS84" s="24">
        <f t="shared" si="63"/>
        <v>3.4806060426693235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5.6843418860808015E-14</v>
      </c>
      <c r="BZ84" s="14">
        <f>BY84*VLOOKUP('Données projet'!$B$12,Paramètres!$A$1:$I$89,3,0)*VLOOKUP('Données projet'!$B$12,Paramètres!$A$1:$I$89,5,0)</f>
        <v>3.3992364478763198E-14</v>
      </c>
      <c r="CA84" s="14">
        <f t="shared" si="93"/>
        <v>5.790027782444094E-13</v>
      </c>
      <c r="CB84" s="22">
        <f t="shared" si="64"/>
        <v>1.0676332069095257E-12</v>
      </c>
      <c r="CC84" s="62">
        <f t="shared" si="65"/>
        <v>259.57021126238988</v>
      </c>
      <c r="CD84" s="62">
        <f ca="1">AVERAGE(OFFSET($CC$3,0,0,'Données projet'!$E$12+1,1))-AVERAGE(OFFSET($H$3,0,0,'Données projet'!$E$12+1,1))</f>
        <v>225.71928466161592</v>
      </c>
      <c r="CE84" s="62">
        <f t="shared" si="94"/>
        <v>385.98818770742025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39.84129947321329</v>
      </c>
      <c r="CL84" s="23">
        <f>EXP(-LN(2)/25)*CL83+(1-EXP(-LN(2)/25))/(LN(2)/25)*Calculateur!CG84*Calculateur!CI84*VLOOKUP('Données projet'!$B$12,Paramètres!$A$1:$I$89,3,0)*0.475*44/12</f>
        <v>0.81291523206459981</v>
      </c>
      <c r="CM84" s="23">
        <f>EXP(-LN(2)/2)*CM83+(1-EXP(-LN(2)/2))/(LN(2)/2)*CG84*CJ84*VLOOKUP('Données projet'!$B$12,Paramètres!$A$1:$I$89,3,0)*0.475*44/12</f>
        <v>2.3212769598376584E-5</v>
      </c>
      <c r="CN84" s="24">
        <f t="shared" si="66"/>
        <v>40.654237918047485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6.8</v>
      </c>
      <c r="CT84" s="13">
        <f>IF('Données projet'!$A$140&gt;35,CT83+CS84-DB83,IF(A84&lt;'Données projet'!$A$140,$CQ$205^A84,IF(A84='Données projet'!$A$140,'Données projet'!$B$140,CT83+CS84-DB83)))</f>
        <v>298.8</v>
      </c>
      <c r="CU84" s="18">
        <f>CT84*VLOOKUP('Données projet'!$B$13,Paramètres!$A$1:$I$89,3,0)*VLOOKUP('Données projet'!$B$13,Paramètres!$A$1:$I$89,5,0)</f>
        <v>270.35424</v>
      </c>
      <c r="CV84" s="14">
        <f t="shared" si="95"/>
        <v>64.924442218534367</v>
      </c>
      <c r="CW84" s="22">
        <f t="shared" si="67"/>
        <v>583.94370486394735</v>
      </c>
      <c r="CX84" s="62">
        <f t="shared" si="68"/>
        <v>843.5139161263362</v>
      </c>
      <c r="CY84" s="62">
        <f ca="1">AVERAGE(OFFSET($CX$3,0,0,'Données projet'!$E$13+1,1))-AVERAGE(OFFSET($H$3,0,0,'Données projet'!$E$13+1,1))</f>
        <v>499.92116338695428</v>
      </c>
      <c r="CZ84" s="62">
        <f t="shared" si="96"/>
        <v>316.79403154855652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0.76177531515747565</v>
      </c>
      <c r="DH84" s="23">
        <f>EXP(-LN(2)/2)*DH83+(1-EXP(-LN(2)/2))/(LN(2)/2)*DB84*DE84*VLOOKUP('Données projet'!$B$13,Paramètres!$A$1:$I$89,3,0)*0.475*44/12</f>
        <v>6.2333724594731358E-8</v>
      </c>
      <c r="DI84" s="24">
        <f t="shared" si="69"/>
        <v>0.76177537749120028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135.66666666666666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211.70619219850786</v>
      </c>
      <c r="T85" s="62">
        <f t="shared" si="88"/>
        <v>426.883837098247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1.9895196601282805E-13</v>
      </c>
      <c r="AJ85" s="14">
        <f>AI85*VLOOKUP('Données projet'!$B$10,Paramètres!$A$1:$I$89,3,0)*VLOOKUP('Données projet'!$B$10,Paramètres!$A$1:$I$89,5,0)</f>
        <v>1.8001173884840681E-13</v>
      </c>
      <c r="AK85" s="14">
        <f t="shared" si="89"/>
        <v>2.5254331426407198E-12</v>
      </c>
      <c r="AL85" s="22">
        <f t="shared" si="58"/>
        <v>4.7119831685935622E-12</v>
      </c>
      <c r="AM85" s="62">
        <f t="shared" si="59"/>
        <v>260.15592594729168</v>
      </c>
      <c r="AN85" s="62">
        <f ca="1">AVERAGE(OFFSET($AM$3,0,0,'Données projet'!$E$10+1,1))-AVERAGE(OFFSET($H$3,0,0,'Données projet'!$E$10+1,1))</f>
        <v>327.07074355218322</v>
      </c>
      <c r="AO85" s="62">
        <f t="shared" si="90"/>
        <v>462.01668587029087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2.9769811084515307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2.9769811084515307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3</v>
      </c>
      <c r="BD85" s="13">
        <f>IF('Données projet'!$A$88&gt;35,BD84+BC85-BL84,IF(A85&lt;'Données projet'!$A$88,$BA$205^A85,IF(A85='Données projet'!$A$88,'Données projet'!$B$88,BD84+BC85-BL84)))</f>
        <v>225.99999999999991</v>
      </c>
      <c r="BE85" s="14">
        <f>BD85*VLOOKUP('Données projet'!$B$11,Paramètres!$A$1:$I$89,3,0)*VLOOKUP('Données projet'!$B$11,Paramètres!$A$1:$I$89,5,0)</f>
        <v>197.43359999999996</v>
      </c>
      <c r="BF85" s="14">
        <f t="shared" si="91"/>
        <v>49.179727436837609</v>
      </c>
      <c r="BG85" s="22">
        <f t="shared" si="61"/>
        <v>429.51821195249204</v>
      </c>
      <c r="BH85" s="62">
        <f t="shared" si="62"/>
        <v>689.674137899779</v>
      </c>
      <c r="BI85" s="62">
        <f ca="1">AVERAGE(OFFSET($BH$3,0,0,'Données projet'!$E$11+1,1))-AVERAGE(OFFSET($H$3,0,0,'Données projet'!$E$11+1,1))</f>
        <v>378.51861272969165</v>
      </c>
      <c r="BJ85" s="62">
        <f t="shared" si="92"/>
        <v>387.42368617035459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3.3854283195828021</v>
      </c>
      <c r="BR85" s="23">
        <f>EXP(-LN(2)/2)*BR84+(1-EXP(-LN(2)/2))/(LN(2)/2)*BL85*BO85*VLOOKUP('Données projet'!$B$11,Paramètres!$A$1:$I$89,3,0)*0.475*44/12</f>
        <v>2.6739471468595011E-7</v>
      </c>
      <c r="BS85" s="24">
        <f t="shared" si="63"/>
        <v>3.3854285869775169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5.6843418860808015E-14</v>
      </c>
      <c r="BZ85" s="14">
        <f>BY85*VLOOKUP('Données projet'!$B$12,Paramètres!$A$1:$I$89,3,0)*VLOOKUP('Données projet'!$B$12,Paramètres!$A$1:$I$89,5,0)</f>
        <v>3.3992364478763198E-14</v>
      </c>
      <c r="CA85" s="14">
        <f t="shared" si="93"/>
        <v>5.790027782444094E-13</v>
      </c>
      <c r="CB85" s="22">
        <f t="shared" si="64"/>
        <v>1.0676332069095257E-12</v>
      </c>
      <c r="CC85" s="62">
        <f t="shared" si="65"/>
        <v>260.15592594728804</v>
      </c>
      <c r="CD85" s="62">
        <f ca="1">AVERAGE(OFFSET($CC$3,0,0,'Données projet'!$E$12+1,1))-AVERAGE(OFFSET($H$3,0,0,'Données projet'!$E$12+1,1))</f>
        <v>225.71928466161592</v>
      </c>
      <c r="CE85" s="62">
        <f t="shared" si="94"/>
        <v>385.98818770742025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39.060035891336753</v>
      </c>
      <c r="CL85" s="23">
        <f>EXP(-LN(2)/25)*CL84+(1-EXP(-LN(2)/25))/(LN(2)/25)*Calculateur!CG85*Calculateur!CI85*VLOOKUP('Données projet'!$B$12,Paramètres!$A$1:$I$89,3,0)*0.475*44/12</f>
        <v>0.79068602229443918</v>
      </c>
      <c r="CM85" s="23">
        <f>EXP(-LN(2)/2)*CM84+(1-EXP(-LN(2)/2))/(LN(2)/2)*CG85*CJ85*VLOOKUP('Données projet'!$B$12,Paramètres!$A$1:$I$89,3,0)*0.475*44/12</f>
        <v>1.6413906793133014E-5</v>
      </c>
      <c r="CN85" s="24">
        <f t="shared" si="66"/>
        <v>39.850738327537982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6.8</v>
      </c>
      <c r="CT85" s="13">
        <f>IF('Données projet'!$A$140&gt;35,CT84+CS85-DB84,IF(A85&lt;'Données projet'!$A$140,$CQ$205^A85,IF(A85='Données projet'!$A$140,'Données projet'!$B$140,CT84+CS85-DB84)))</f>
        <v>305.60000000000002</v>
      </c>
      <c r="CU85" s="18">
        <f>CT85*VLOOKUP('Données projet'!$B$13,Paramètres!$A$1:$I$89,3,0)*VLOOKUP('Données projet'!$B$13,Paramètres!$A$1:$I$89,5,0)</f>
        <v>276.50687999999997</v>
      </c>
      <c r="CV85" s="14">
        <f t="shared" si="95"/>
        <v>66.228273722513677</v>
      </c>
      <c r="CW85" s="22">
        <f t="shared" si="67"/>
        <v>596.93039273337797</v>
      </c>
      <c r="CX85" s="62">
        <f t="shared" si="68"/>
        <v>857.08631868066493</v>
      </c>
      <c r="CY85" s="62">
        <f ca="1">AVERAGE(OFFSET($CX$3,0,0,'Données projet'!$E$13+1,1))-AVERAGE(OFFSET($H$3,0,0,'Données projet'!$E$13+1,1))</f>
        <v>499.92116338695428</v>
      </c>
      <c r="CZ85" s="62">
        <f t="shared" si="96"/>
        <v>316.79403154855652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0.74094452910447173</v>
      </c>
      <c r="DH85" s="23">
        <f>EXP(-LN(2)/2)*DH84+(1-EXP(-LN(2)/2))/(LN(2)/2)*DB85*DE85*VLOOKUP('Données projet'!$B$13,Paramètres!$A$1:$I$89,3,0)*0.475*44/12</f>
        <v>4.4076599357549223E-8</v>
      </c>
      <c r="DI85" s="24">
        <f t="shared" si="69"/>
        <v>0.7409445731810711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135.66666666666666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211.70619219850786</v>
      </c>
      <c r="T86" s="62">
        <f t="shared" si="88"/>
        <v>426.883837098247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1.9895196601282805E-13</v>
      </c>
      <c r="AJ86" s="14">
        <f>AI86*VLOOKUP('Données projet'!$B$10,Paramètres!$A$1:$I$89,3,0)*VLOOKUP('Données projet'!$B$10,Paramètres!$A$1:$I$89,5,0)</f>
        <v>1.8001173884840681E-13</v>
      </c>
      <c r="AK86" s="14">
        <f t="shared" si="89"/>
        <v>2.5254331426407198E-12</v>
      </c>
      <c r="AL86" s="22">
        <f t="shared" si="58"/>
        <v>4.7119831685935622E-12</v>
      </c>
      <c r="AM86" s="62">
        <f t="shared" si="59"/>
        <v>260.73147979186865</v>
      </c>
      <c r="AN86" s="62">
        <f ca="1">AVERAGE(OFFSET($AM$3,0,0,'Données projet'!$E$10+1,1))-AVERAGE(OFFSET($H$3,0,0,'Données projet'!$E$10+1,1))</f>
        <v>327.07074355218322</v>
      </c>
      <c r="AO86" s="62">
        <f t="shared" si="90"/>
        <v>462.01668587029087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2.918604324693979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2.918604324693979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</v>
      </c>
      <c r="BD86" s="13">
        <f>IF('Données projet'!$A$88&gt;35,BD85+BC86-BL85,IF(A86&lt;'Données projet'!$A$88,$BA$205^A86,IF(A86='Données projet'!$A$88,'Données projet'!$B$88,BD85+BC86-BL85)))</f>
        <v>228.99999999999991</v>
      </c>
      <c r="BE86" s="14">
        <f>BD86*VLOOKUP('Données projet'!$B$11,Paramètres!$A$1:$I$89,3,0)*VLOOKUP('Données projet'!$B$11,Paramètres!$A$1:$I$89,5,0)</f>
        <v>200.05439999999993</v>
      </c>
      <c r="BF86" s="14">
        <f t="shared" si="91"/>
        <v>49.756123009618186</v>
      </c>
      <c r="BG86" s="22">
        <f t="shared" si="61"/>
        <v>435.0866609084182</v>
      </c>
      <c r="BH86" s="62">
        <f t="shared" si="62"/>
        <v>695.81814070028213</v>
      </c>
      <c r="BI86" s="62">
        <f ca="1">AVERAGE(OFFSET($BH$3,0,0,'Données projet'!$E$11+1,1))-AVERAGE(OFFSET($H$3,0,0,'Données projet'!$E$11+1,1))</f>
        <v>378.51861272969165</v>
      </c>
      <c r="BJ86" s="62">
        <f t="shared" si="92"/>
        <v>387.42368617035459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3.2928536041518726</v>
      </c>
      <c r="BR86" s="23">
        <f>EXP(-LN(2)/2)*BR85+(1-EXP(-LN(2)/2))/(LN(2)/2)*BL86*BO86*VLOOKUP('Données projet'!$B$11,Paramètres!$A$1:$I$89,3,0)*0.475*44/12</f>
        <v>1.8907661600787744E-7</v>
      </c>
      <c r="BS86" s="24">
        <f t="shared" si="63"/>
        <v>3.2928537932284887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5.6843418860808015E-14</v>
      </c>
      <c r="BZ86" s="14">
        <f>BY86*VLOOKUP('Données projet'!$B$12,Paramètres!$A$1:$I$89,3,0)*VLOOKUP('Données projet'!$B$12,Paramètres!$A$1:$I$89,5,0)</f>
        <v>3.3992364478763198E-14</v>
      </c>
      <c r="CA86" s="14">
        <f t="shared" si="93"/>
        <v>5.790027782444094E-13</v>
      </c>
      <c r="CB86" s="22">
        <f t="shared" si="64"/>
        <v>1.0676332069095257E-12</v>
      </c>
      <c r="CC86" s="62">
        <f t="shared" si="65"/>
        <v>260.73147979186501</v>
      </c>
      <c r="CD86" s="62">
        <f ca="1">AVERAGE(OFFSET($CC$3,0,0,'Données projet'!$E$12+1,1))-AVERAGE(OFFSET($H$3,0,0,'Données projet'!$E$12+1,1))</f>
        <v>225.71928466161592</v>
      </c>
      <c r="CE86" s="62">
        <f t="shared" si="94"/>
        <v>385.98818770742025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38.294092411777079</v>
      </c>
      <c r="CL86" s="23">
        <f>EXP(-LN(2)/25)*CL85+(1-EXP(-LN(2)/25))/(LN(2)/25)*Calculateur!CG86*Calculateur!CI86*VLOOKUP('Données projet'!$B$12,Paramètres!$A$1:$I$89,3,0)*0.475*44/12</f>
        <v>0.76906467143442692</v>
      </c>
      <c r="CM86" s="23">
        <f>EXP(-LN(2)/2)*CM85+(1-EXP(-LN(2)/2))/(LN(2)/2)*CG86*CJ86*VLOOKUP('Données projet'!$B$12,Paramètres!$A$1:$I$89,3,0)*0.475*44/12</f>
        <v>1.1606384799188292E-5</v>
      </c>
      <c r="CN86" s="24">
        <f t="shared" si="66"/>
        <v>39.06316868959631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6.8</v>
      </c>
      <c r="CT86" s="13">
        <f>IF('Données projet'!$A$140&gt;35,CT85+CS86-DB85,IF(A86&lt;'Données projet'!$A$140,$CQ$205^A86,IF(A86='Données projet'!$A$140,'Données projet'!$B$140,CT85+CS86-DB85)))</f>
        <v>312.40000000000003</v>
      </c>
      <c r="CU86" s="18">
        <f>CT86*VLOOKUP('Données projet'!$B$13,Paramètres!$A$1:$I$89,3,0)*VLOOKUP('Données projet'!$B$13,Paramètres!$A$1:$I$89,5,0)</f>
        <v>282.65952000000004</v>
      </c>
      <c r="CV86" s="14">
        <f t="shared" si="95"/>
        <v>67.528732309967324</v>
      </c>
      <c r="CW86" s="22">
        <f t="shared" si="67"/>
        <v>609.91120610652649</v>
      </c>
      <c r="CX86" s="62">
        <f t="shared" si="68"/>
        <v>870.64268589839048</v>
      </c>
      <c r="CY86" s="62">
        <f ca="1">AVERAGE(OFFSET($CX$3,0,0,'Données projet'!$E$13+1,1))-AVERAGE(OFFSET($H$3,0,0,'Données projet'!$E$13+1,1))</f>
        <v>499.92116338695428</v>
      </c>
      <c r="CZ86" s="62">
        <f t="shared" si="96"/>
        <v>316.79403154855652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0.7206833619915306</v>
      </c>
      <c r="DH86" s="23">
        <f>EXP(-LN(2)/2)*DH85+(1-EXP(-LN(2)/2))/(LN(2)/2)*DB86*DE86*VLOOKUP('Données projet'!$B$13,Paramètres!$A$1:$I$89,3,0)*0.475*44/12</f>
        <v>3.1166862297365679E-8</v>
      </c>
      <c r="DI86" s="24">
        <f t="shared" si="69"/>
        <v>0.72068339315839292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135.66666666666666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211.70619219850786</v>
      </c>
      <c r="T87" s="62">
        <f t="shared" si="88"/>
        <v>426.883837098247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1.9895196601282805E-13</v>
      </c>
      <c r="AJ87" s="14">
        <f>AI87*VLOOKUP('Données projet'!$B$10,Paramètres!$A$1:$I$89,3,0)*VLOOKUP('Données projet'!$B$10,Paramètres!$A$1:$I$89,5,0)</f>
        <v>1.8001173884840681E-13</v>
      </c>
      <c r="AK87" s="14">
        <f t="shared" si="89"/>
        <v>2.5254331426407198E-12</v>
      </c>
      <c r="AL87" s="22">
        <f t="shared" si="58"/>
        <v>4.7119831685935622E-12</v>
      </c>
      <c r="AM87" s="62">
        <f t="shared" si="59"/>
        <v>261.29704906398786</v>
      </c>
      <c r="AN87" s="62">
        <f ca="1">AVERAGE(OFFSET($AM$3,0,0,'Données projet'!$E$10+1,1))-AVERAGE(OFFSET($H$3,0,0,'Données projet'!$E$10+1,1))</f>
        <v>327.07074355218322</v>
      </c>
      <c r="AO87" s="62">
        <f t="shared" si="90"/>
        <v>462.01668587029087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2.8613722740595908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2.8613722740595908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</v>
      </c>
      <c r="BD87" s="13">
        <f>IF('Données projet'!$A$88&gt;35,BD86+BC87-BL86,IF(A87&lt;'Données projet'!$A$88,$BA$205^A87,IF(A87='Données projet'!$A$88,'Données projet'!$B$88,BD86+BC87-BL86)))</f>
        <v>231.99999999999991</v>
      </c>
      <c r="BE87" s="14">
        <f>BD87*VLOOKUP('Données projet'!$B$11,Paramètres!$A$1:$I$89,3,0)*VLOOKUP('Données projet'!$B$11,Paramètres!$A$1:$I$89,5,0)</f>
        <v>202.67519999999993</v>
      </c>
      <c r="BF87" s="14">
        <f t="shared" si="91"/>
        <v>50.33164028531364</v>
      </c>
      <c r="BG87" s="22">
        <f t="shared" si="61"/>
        <v>440.65358016358778</v>
      </c>
      <c r="BH87" s="62">
        <f t="shared" si="62"/>
        <v>701.95062922757097</v>
      </c>
      <c r="BI87" s="62">
        <f ca="1">AVERAGE(OFFSET($BH$3,0,0,'Données projet'!$E$11+1,1))-AVERAGE(OFFSET($H$3,0,0,'Données projet'!$E$11+1,1))</f>
        <v>378.51861272969165</v>
      </c>
      <c r="BJ87" s="62">
        <f t="shared" si="92"/>
        <v>387.42368617035459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3.2028103491826947</v>
      </c>
      <c r="BR87" s="23">
        <f>EXP(-LN(2)/2)*BR86+(1-EXP(-LN(2)/2))/(LN(2)/2)*BL87*BO87*VLOOKUP('Données projet'!$B$11,Paramètres!$A$1:$I$89,3,0)*0.475*44/12</f>
        <v>1.3369735734297506E-7</v>
      </c>
      <c r="BS87" s="24">
        <f t="shared" si="63"/>
        <v>3.2028104828800519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5.6843418860808015E-14</v>
      </c>
      <c r="BZ87" s="14">
        <f>BY87*VLOOKUP('Données projet'!$B$12,Paramètres!$A$1:$I$89,3,0)*VLOOKUP('Données projet'!$B$12,Paramètres!$A$1:$I$89,5,0)</f>
        <v>3.3992364478763198E-14</v>
      </c>
      <c r="CA87" s="14">
        <f t="shared" si="93"/>
        <v>5.790027782444094E-13</v>
      </c>
      <c r="CB87" s="22">
        <f t="shared" si="64"/>
        <v>1.0676332069095257E-12</v>
      </c>
      <c r="CC87" s="62">
        <f t="shared" si="65"/>
        <v>261.29704906398422</v>
      </c>
      <c r="CD87" s="62">
        <f ca="1">AVERAGE(OFFSET($CC$3,0,0,'Données projet'!$E$12+1,1))-AVERAGE(OFFSET($H$3,0,0,'Données projet'!$E$12+1,1))</f>
        <v>225.71928466161592</v>
      </c>
      <c r="CE87" s="62">
        <f t="shared" si="94"/>
        <v>385.98818770742025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37.543168616672183</v>
      </c>
      <c r="CL87" s="23">
        <f>EXP(-LN(2)/25)*CL86+(1-EXP(-LN(2)/25))/(LN(2)/25)*Calculateur!CG87*Calculateur!CI87*VLOOKUP('Données projet'!$B$12,Paramètres!$A$1:$I$89,3,0)*0.475*44/12</f>
        <v>0.74803455755069914</v>
      </c>
      <c r="CM87" s="23">
        <f>EXP(-LN(2)/2)*CM86+(1-EXP(-LN(2)/2))/(LN(2)/2)*CG87*CJ87*VLOOKUP('Données projet'!$B$12,Paramètres!$A$1:$I$89,3,0)*0.475*44/12</f>
        <v>8.2069533965665069E-6</v>
      </c>
      <c r="CN87" s="24">
        <f t="shared" si="66"/>
        <v>38.291211381176275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6.8</v>
      </c>
      <c r="CT87" s="13">
        <f>IF('Données projet'!$A$140&gt;35,CT86+CS87-DB86,IF(A87&lt;'Données projet'!$A$140,$CQ$205^A87,IF(A87='Données projet'!$A$140,'Données projet'!$B$140,CT86+CS87-DB86)))</f>
        <v>319.20000000000005</v>
      </c>
      <c r="CU87" s="18">
        <f>CT87*VLOOKUP('Données projet'!$B$13,Paramètres!$A$1:$I$89,3,0)*VLOOKUP('Données projet'!$B$13,Paramètres!$A$1:$I$89,5,0)</f>
        <v>288.81216000000006</v>
      </c>
      <c r="CV87" s="14">
        <f t="shared" si="95"/>
        <v>68.825899854238159</v>
      </c>
      <c r="CW87" s="22">
        <f t="shared" si="67"/>
        <v>622.88628757946492</v>
      </c>
      <c r="CX87" s="62">
        <f t="shared" si="68"/>
        <v>884.183336643448</v>
      </c>
      <c r="CY87" s="62">
        <f ca="1">AVERAGE(OFFSET($CX$3,0,0,'Données projet'!$E$13+1,1))-AVERAGE(OFFSET($H$3,0,0,'Données projet'!$E$13+1,1))</f>
        <v>499.92116338695428</v>
      </c>
      <c r="CZ87" s="62">
        <f t="shared" si="96"/>
        <v>316.79403154855652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0.70097623755878136</v>
      </c>
      <c r="DH87" s="23">
        <f>EXP(-LN(2)/2)*DH86+(1-EXP(-LN(2)/2))/(LN(2)/2)*DB87*DE87*VLOOKUP('Données projet'!$B$13,Paramètres!$A$1:$I$89,3,0)*0.475*44/12</f>
        <v>2.2038299678774611E-8</v>
      </c>
      <c r="DI87" s="24">
        <f t="shared" si="69"/>
        <v>0.70097625959708099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135.66666666666666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211.70619219850786</v>
      </c>
      <c r="T88" s="62">
        <f t="shared" si="88"/>
        <v>426.883837098247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1.9895196601282805E-13</v>
      </c>
      <c r="AJ88" s="14">
        <f>AI88*VLOOKUP('Données projet'!$B$10,Paramètres!$A$1:$I$89,3,0)*VLOOKUP('Données projet'!$B$10,Paramètres!$A$1:$I$89,5,0)</f>
        <v>1.8001173884840681E-13</v>
      </c>
      <c r="AK88" s="14">
        <f t="shared" si="89"/>
        <v>2.5254331426407198E-12</v>
      </c>
      <c r="AL88" s="22">
        <f t="shared" si="58"/>
        <v>4.7119831685935622E-12</v>
      </c>
      <c r="AM88" s="62">
        <f t="shared" si="59"/>
        <v>261.85280697365931</v>
      </c>
      <c r="AN88" s="62">
        <f ca="1">AVERAGE(OFFSET($AM$3,0,0,'Données projet'!$E$10+1,1))-AVERAGE(OFFSET($H$3,0,0,'Données projet'!$E$10+1,1))</f>
        <v>327.07074355218322</v>
      </c>
      <c r="AO88" s="62">
        <f t="shared" si="90"/>
        <v>462.01668587029087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2.8052625090300389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2.8052625090300389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235</v>
      </c>
      <c r="BB88" s="13">
        <f>VLOOKUP(A88,'Données projet'!$A$87:$I$107,9,0)</f>
        <v>3</v>
      </c>
      <c r="BC88" s="13">
        <f t="array" ref="BC88">INDEX(BB:BB,MIN(IF(ISNUMBER(BB88:BB284),ROW(BB88:BB284),"")))</f>
        <v>3</v>
      </c>
      <c r="BD88" s="13">
        <f>IF('Données projet'!$A$88&gt;35,BD87+BC88-BL87,IF(A88&lt;'Données projet'!$A$88,$BA$205^A88,IF(A88='Données projet'!$A$88,'Données projet'!$B$88,BD87+BC88-BL87)))</f>
        <v>234.99999999999991</v>
      </c>
      <c r="BE88" s="14">
        <f>BD88*VLOOKUP('Données projet'!$B$11,Paramètres!$A$1:$I$89,3,0)*VLOOKUP('Données projet'!$B$11,Paramètres!$A$1:$I$89,5,0)</f>
        <v>205.29599999999996</v>
      </c>
      <c r="BF88" s="14">
        <f t="shared" si="91"/>
        <v>50.906291934375353</v>
      </c>
      <c r="BG88" s="22">
        <f t="shared" si="61"/>
        <v>446.21899178570357</v>
      </c>
      <c r="BH88" s="62">
        <f t="shared" si="62"/>
        <v>708.07179875935822</v>
      </c>
      <c r="BI88" s="62">
        <f ca="1">AVERAGE(OFFSET($BH$3,0,0,'Données projet'!$E$11+1,1))-AVERAGE(OFFSET($H$3,0,0,'Données projet'!$E$11+1,1))</f>
        <v>378.51861272969165</v>
      </c>
      <c r="BJ88" s="62">
        <f t="shared" si="92"/>
        <v>387.42368617035459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12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3.1152293317558177</v>
      </c>
      <c r="BR88" s="23">
        <f>EXP(-LN(2)/2)*BR87+(1-EXP(-LN(2)/2))/(LN(2)/2)*BL88*BO88*VLOOKUP('Données projet'!$B$11,Paramètres!$A$1:$I$89,3,0)*0.475*44/12</f>
        <v>9.4538308003938718E-8</v>
      </c>
      <c r="BS88" s="24">
        <f t="shared" si="63"/>
        <v>3.1152294262941256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5.6843418860808015E-14</v>
      </c>
      <c r="BZ88" s="14">
        <f>BY88*VLOOKUP('Données projet'!$B$12,Paramètres!$A$1:$I$89,3,0)*VLOOKUP('Données projet'!$B$12,Paramètres!$A$1:$I$89,5,0)</f>
        <v>3.3992364478763198E-14</v>
      </c>
      <c r="CA88" s="14">
        <f t="shared" si="93"/>
        <v>5.790027782444094E-13</v>
      </c>
      <c r="CB88" s="22">
        <f t="shared" si="64"/>
        <v>1.0676332069095257E-12</v>
      </c>
      <c r="CC88" s="62">
        <f t="shared" si="65"/>
        <v>261.85280697365567</v>
      </c>
      <c r="CD88" s="62">
        <f ca="1">AVERAGE(OFFSET($CC$3,0,0,'Données projet'!$E$12+1,1))-AVERAGE(OFFSET($H$3,0,0,'Données projet'!$E$12+1,1))</f>
        <v>225.71928466161592</v>
      </c>
      <c r="CE88" s="62">
        <f t="shared" si="94"/>
        <v>385.98818770742025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36.806969979171001</v>
      </c>
      <c r="CL88" s="23">
        <f>EXP(-LN(2)/25)*CL87+(1-EXP(-LN(2)/25))/(LN(2)/25)*Calculateur!CG88*Calculateur!CI88*VLOOKUP('Données projet'!$B$12,Paramètres!$A$1:$I$89,3,0)*0.475*44/12</f>
        <v>0.7275795132370475</v>
      </c>
      <c r="CM88" s="23">
        <f>EXP(-LN(2)/2)*CM87+(1-EXP(-LN(2)/2))/(LN(2)/2)*CG88*CJ88*VLOOKUP('Données projet'!$B$12,Paramètres!$A$1:$I$89,3,0)*0.475*44/12</f>
        <v>5.803192399594146E-6</v>
      </c>
      <c r="CN88" s="24">
        <f t="shared" si="66"/>
        <v>37.534555295600448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326</v>
      </c>
      <c r="CR88" s="13">
        <f>VLOOKUP(A88,'Données projet'!$A$139:$I$159,9,0)</f>
        <v>6.8</v>
      </c>
      <c r="CS88" s="13">
        <f t="array" ref="CS88">INDEX(CR:CR,MIN(IF(ISNUMBER(CR88:CR284),ROW(CR88:CR284),"")))</f>
        <v>6.8</v>
      </c>
      <c r="CT88" s="13">
        <f>IF('Données projet'!$A$140&gt;35,CT87+CS88-DB87,IF(A88&lt;'Données projet'!$A$140,$CQ$205^A88,IF(A88='Données projet'!$A$140,'Données projet'!$B$140,CT87+CS88-DB87)))</f>
        <v>326.00000000000006</v>
      </c>
      <c r="CU88" s="18">
        <f>CT88*VLOOKUP('Données projet'!$B$13,Paramètres!$A$1:$I$89,3,0)*VLOOKUP('Données projet'!$B$13,Paramètres!$A$1:$I$89,5,0)</f>
        <v>294.96480000000003</v>
      </c>
      <c r="CV88" s="14">
        <f t="shared" si="95"/>
        <v>70.119854541045001</v>
      </c>
      <c r="CW88" s="22">
        <f t="shared" si="67"/>
        <v>635.85577332565333</v>
      </c>
      <c r="CX88" s="62">
        <f t="shared" si="68"/>
        <v>897.70858029930787</v>
      </c>
      <c r="CY88" s="62">
        <f ca="1">AVERAGE(OFFSET($CX$3,0,0,'Données projet'!$E$13+1,1))-AVERAGE(OFFSET($H$3,0,0,'Données projet'!$E$13+1,1))</f>
        <v>499.92116338695428</v>
      </c>
      <c r="CZ88" s="62">
        <f t="shared" si="96"/>
        <v>316.79403154855652</v>
      </c>
      <c r="DA88" s="16">
        <f>IF(ISNA(VLOOKUP(A88,'Données projet'!$A$139:$I$159,3,0)),0,VLOOKUP(A88,'Données projet'!$A$139:$I$159,3,0))</f>
        <v>14</v>
      </c>
      <c r="DB88" s="16">
        <f>IF(ISNA(VLOOKUP(A88,'Données projet'!$A$139:$I$159,4,0)),0,VLOOKUP(A88,'Données projet'!$A$139:$I$159,4,0))</f>
        <v>28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0.6818080054799982</v>
      </c>
      <c r="DH88" s="23">
        <f>EXP(-LN(2)/2)*DH87+(1-EXP(-LN(2)/2))/(LN(2)/2)*DB88*DE88*VLOOKUP('Données projet'!$B$13,Paramètres!$A$1:$I$89,3,0)*0.475*44/12</f>
        <v>1.558343114868284E-8</v>
      </c>
      <c r="DI88" s="24">
        <f t="shared" si="69"/>
        <v>0.6818080210634293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135.66666666666666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211.70619219850786</v>
      </c>
      <c r="T89" s="62">
        <f t="shared" si="88"/>
        <v>426.883837098247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1.9895196601282805E-13</v>
      </c>
      <c r="AJ89" s="14">
        <f>AI89*VLOOKUP('Données projet'!$B$10,Paramètres!$A$1:$I$89,3,0)*VLOOKUP('Données projet'!$B$10,Paramètres!$A$1:$I$89,5,0)</f>
        <v>1.8001173884840681E-13</v>
      </c>
      <c r="AK89" s="14">
        <f t="shared" si="89"/>
        <v>2.5254331426407198E-12</v>
      </c>
      <c r="AL89" s="22">
        <f t="shared" si="58"/>
        <v>4.7119831685935622E-12</v>
      </c>
      <c r="AM89" s="62">
        <f t="shared" si="59"/>
        <v>262.39892372608642</v>
      </c>
      <c r="AN89" s="62">
        <f ca="1">AVERAGE(OFFSET($AM$3,0,0,'Données projet'!$E$10+1,1))-AVERAGE(OFFSET($H$3,0,0,'Données projet'!$E$10+1,1))</f>
        <v>327.07074355218322</v>
      </c>
      <c r="AO89" s="62">
        <f t="shared" si="90"/>
        <v>462.01668587029087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2.7502530222691393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2.7502530222691393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2.6</v>
      </c>
      <c r="BD89" s="13">
        <f>IF('Données projet'!$A$88&gt;35,BD88+BC89-BL88,IF(A89&lt;'Données projet'!$A$88,$BA$205^A89,IF(A89='Données projet'!$A$88,'Données projet'!$B$88,BD88+BC89-BL88)))</f>
        <v>225.59999999999991</v>
      </c>
      <c r="BE89" s="14">
        <f>BD89*VLOOKUP('Données projet'!$B$11,Paramètres!$A$1:$I$89,3,0)*VLOOKUP('Données projet'!$B$11,Paramètres!$A$1:$I$89,5,0)</f>
        <v>197.08415999999994</v>
      </c>
      <c r="BF89" s="14">
        <f t="shared" si="91"/>
        <v>49.102807637925878</v>
      </c>
      <c r="BG89" s="22">
        <f t="shared" si="61"/>
        <v>428.77563530272073</v>
      </c>
      <c r="BH89" s="62">
        <f t="shared" si="62"/>
        <v>691.17455902880238</v>
      </c>
      <c r="BI89" s="62">
        <f ca="1">AVERAGE(OFFSET($BH$3,0,0,'Données projet'!$E$11+1,1))-AVERAGE(OFFSET($H$3,0,0,'Données projet'!$E$11+1,1))</f>
        <v>378.51861272969165</v>
      </c>
      <c r="BJ89" s="62">
        <f t="shared" si="92"/>
        <v>387.42368617035459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3.0300432218561641</v>
      </c>
      <c r="BR89" s="23">
        <f>EXP(-LN(2)/2)*BR88+(1-EXP(-LN(2)/2))/(LN(2)/2)*BL89*BO89*VLOOKUP('Données projet'!$B$11,Paramètres!$A$1:$I$89,3,0)*0.475*44/12</f>
        <v>6.6848678671487528E-8</v>
      </c>
      <c r="BS89" s="24">
        <f t="shared" si="63"/>
        <v>3.0300432887048427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5.6843418860808015E-14</v>
      </c>
      <c r="BZ89" s="14">
        <f>BY89*VLOOKUP('Données projet'!$B$12,Paramètres!$A$1:$I$89,3,0)*VLOOKUP('Données projet'!$B$12,Paramètres!$A$1:$I$89,5,0)</f>
        <v>3.3992364478763198E-14</v>
      </c>
      <c r="CA89" s="14">
        <f t="shared" si="93"/>
        <v>5.790027782444094E-13</v>
      </c>
      <c r="CB89" s="22">
        <f t="shared" si="64"/>
        <v>1.0676332069095257E-12</v>
      </c>
      <c r="CC89" s="62">
        <f t="shared" si="65"/>
        <v>262.39892372608278</v>
      </c>
      <c r="CD89" s="62">
        <f ca="1">AVERAGE(OFFSET($CC$3,0,0,'Données projet'!$E$12+1,1))-AVERAGE(OFFSET($H$3,0,0,'Données projet'!$E$12+1,1))</f>
        <v>225.71928466161592</v>
      </c>
      <c r="CE89" s="62">
        <f t="shared" si="94"/>
        <v>385.98818770742025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36.085207747914389</v>
      </c>
      <c r="CL89" s="23">
        <f>EXP(-LN(2)/25)*CL88+(1-EXP(-LN(2)/25))/(LN(2)/25)*Calculateur!CG89*Calculateur!CI89*VLOOKUP('Données projet'!$B$12,Paramètres!$A$1:$I$89,3,0)*0.475*44/12</f>
        <v>0.70768381318583673</v>
      </c>
      <c r="CM89" s="23">
        <f>EXP(-LN(2)/2)*CM88+(1-EXP(-LN(2)/2))/(LN(2)/2)*CG89*CJ89*VLOOKUP('Données projet'!$B$12,Paramètres!$A$1:$I$89,3,0)*0.475*44/12</f>
        <v>4.1034766982832535E-6</v>
      </c>
      <c r="CN89" s="24">
        <f t="shared" si="66"/>
        <v>36.792895664576925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6.4</v>
      </c>
      <c r="CT89" s="13">
        <f>IF('Données projet'!$A$140&gt;35,CT88+CS89-DB88,IF(A89&lt;'Données projet'!$A$140,$CQ$205^A89,IF(A89='Données projet'!$A$140,'Données projet'!$B$140,CT88+CS89-DB88)))</f>
        <v>304.40000000000003</v>
      </c>
      <c r="CU89" s="18">
        <f>CT89*VLOOKUP('Données projet'!$B$13,Paramètres!$A$1:$I$89,3,0)*VLOOKUP('Données projet'!$B$13,Paramètres!$A$1:$I$89,5,0)</f>
        <v>275.42112000000003</v>
      </c>
      <c r="CV89" s="14">
        <f t="shared" si="95"/>
        <v>65.998433293601067</v>
      </c>
      <c r="CW89" s="22">
        <f t="shared" si="67"/>
        <v>594.63905531968851</v>
      </c>
      <c r="CX89" s="62">
        <f t="shared" si="68"/>
        <v>857.03797904577027</v>
      </c>
      <c r="CY89" s="62">
        <f ca="1">AVERAGE(OFFSET($CX$3,0,0,'Données projet'!$E$13+1,1))-AVERAGE(OFFSET($H$3,0,0,'Données projet'!$E$13+1,1))</f>
        <v>499.92116338695428</v>
      </c>
      <c r="CZ89" s="62">
        <f t="shared" si="96"/>
        <v>316.79403154855652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0.66316392971542293</v>
      </c>
      <c r="DH89" s="23">
        <f>EXP(-LN(2)/2)*DH88+(1-EXP(-LN(2)/2))/(LN(2)/2)*DB89*DE89*VLOOKUP('Données projet'!$B$13,Paramètres!$A$1:$I$89,3,0)*0.475*44/12</f>
        <v>1.1019149839387306E-8</v>
      </c>
      <c r="DI89" s="24">
        <f t="shared" si="69"/>
        <v>0.66316394073457274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135.66666666666666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211.70619219850786</v>
      </c>
      <c r="T90" s="62">
        <f t="shared" si="88"/>
        <v>426.883837098247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1.9895196601282805E-13</v>
      </c>
      <c r="AJ90" s="14">
        <f>AI90*VLOOKUP('Données projet'!$B$10,Paramètres!$A$1:$I$89,3,0)*VLOOKUP('Données projet'!$B$10,Paramètres!$A$1:$I$89,5,0)</f>
        <v>1.8001173884840681E-13</v>
      </c>
      <c r="AK90" s="14">
        <f t="shared" si="89"/>
        <v>2.5254331426407198E-12</v>
      </c>
      <c r="AL90" s="22">
        <f t="shared" si="58"/>
        <v>4.7119831685935622E-12</v>
      </c>
      <c r="AM90" s="62">
        <f t="shared" si="59"/>
        <v>262.93556657379315</v>
      </c>
      <c r="AN90" s="62">
        <f ca="1">AVERAGE(OFFSET($AM$3,0,0,'Données projet'!$E$10+1,1))-AVERAGE(OFFSET($H$3,0,0,'Données projet'!$E$10+1,1))</f>
        <v>327.07074355218322</v>
      </c>
      <c r="AO90" s="62">
        <f t="shared" si="90"/>
        <v>462.01668587029087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2.6963222379911467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2.6963222379911467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2.6</v>
      </c>
      <c r="BD90" s="13">
        <f>IF('Données projet'!$A$88&gt;35,BD89+BC90-BL89,IF(A90&lt;'Données projet'!$A$88,$BA$205^A90,IF(A90='Données projet'!$A$88,'Données projet'!$B$88,BD89+BC90-BL89)))</f>
        <v>228.1999999999999</v>
      </c>
      <c r="BE90" s="14">
        <f>BD90*VLOOKUP('Données projet'!$B$11,Paramètres!$A$1:$I$89,3,0)*VLOOKUP('Données projet'!$B$11,Paramètres!$A$1:$I$89,5,0)</f>
        <v>199.35551999999996</v>
      </c>
      <c r="BF90" s="14">
        <f t="shared" si="91"/>
        <v>49.602503932783179</v>
      </c>
      <c r="BG90" s="22">
        <f t="shared" si="61"/>
        <v>433.60189168293056</v>
      </c>
      <c r="BH90" s="62">
        <f t="shared" si="62"/>
        <v>696.53745825671899</v>
      </c>
      <c r="BI90" s="62">
        <f ca="1">AVERAGE(OFFSET($BH$3,0,0,'Données projet'!$E$11+1,1))-AVERAGE(OFFSET($H$3,0,0,'Données projet'!$E$11+1,1))</f>
        <v>378.51861272969165</v>
      </c>
      <c r="BJ90" s="62">
        <f t="shared" si="92"/>
        <v>387.42368617035459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2.9471865306114595</v>
      </c>
      <c r="BR90" s="23">
        <f>EXP(-LN(2)/2)*BR89+(1-EXP(-LN(2)/2))/(LN(2)/2)*BL90*BO90*VLOOKUP('Données projet'!$B$11,Paramètres!$A$1:$I$89,3,0)*0.475*44/12</f>
        <v>4.7269154001969359E-8</v>
      </c>
      <c r="BS90" s="24">
        <f t="shared" si="63"/>
        <v>2.9471865778806134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5.6843418860808015E-14</v>
      </c>
      <c r="BZ90" s="14">
        <f>BY90*VLOOKUP('Données projet'!$B$12,Paramètres!$A$1:$I$89,3,0)*VLOOKUP('Données projet'!$B$12,Paramètres!$A$1:$I$89,5,0)</f>
        <v>3.3992364478763198E-14</v>
      </c>
      <c r="CA90" s="14">
        <f t="shared" si="93"/>
        <v>5.790027782444094E-13</v>
      </c>
      <c r="CB90" s="22">
        <f t="shared" si="64"/>
        <v>1.0676332069095257E-12</v>
      </c>
      <c r="CC90" s="62">
        <f t="shared" si="65"/>
        <v>262.93556657378952</v>
      </c>
      <c r="CD90" s="62">
        <f ca="1">AVERAGE(OFFSET($CC$3,0,0,'Données projet'!$E$12+1,1))-AVERAGE(OFFSET($H$3,0,0,'Données projet'!$E$12+1,1))</f>
        <v>225.71928466161592</v>
      </c>
      <c r="CE90" s="62">
        <f t="shared" si="94"/>
        <v>385.98818770742025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35.377598833781228</v>
      </c>
      <c r="CL90" s="23">
        <f>EXP(-LN(2)/25)*CL89+(1-EXP(-LN(2)/25))/(LN(2)/25)*Calculateur!CG90*Calculateur!CI90*VLOOKUP('Données projet'!$B$12,Paramètres!$A$1:$I$89,3,0)*0.475*44/12</f>
        <v>0.68833216209879577</v>
      </c>
      <c r="CM90" s="23">
        <f>EXP(-LN(2)/2)*CM89+(1-EXP(-LN(2)/2))/(LN(2)/2)*CG90*CJ90*VLOOKUP('Données projet'!$B$12,Paramètres!$A$1:$I$89,3,0)*0.475*44/12</f>
        <v>2.901596199797073E-6</v>
      </c>
      <c r="CN90" s="24">
        <f t="shared" si="66"/>
        <v>36.065933897476221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6.4</v>
      </c>
      <c r="CT90" s="13">
        <f>IF('Données projet'!$A$140&gt;35,CT89+CS90-DB89,IF(A90&lt;'Données projet'!$A$140,$CQ$205^A90,IF(A90='Données projet'!$A$140,'Données projet'!$B$140,CT89+CS90-DB89)))</f>
        <v>310.8</v>
      </c>
      <c r="CU90" s="18">
        <f>CT90*VLOOKUP('Données projet'!$B$13,Paramètres!$A$1:$I$89,3,0)*VLOOKUP('Données projet'!$B$13,Paramètres!$A$1:$I$89,5,0)</f>
        <v>281.21184</v>
      </c>
      <c r="CV90" s="14">
        <f t="shared" si="95"/>
        <v>67.22304110496664</v>
      </c>
      <c r="CW90" s="22">
        <f t="shared" si="67"/>
        <v>606.85741792448357</v>
      </c>
      <c r="CX90" s="62">
        <f t="shared" si="68"/>
        <v>869.79298449827206</v>
      </c>
      <c r="CY90" s="62">
        <f ca="1">AVERAGE(OFFSET($CX$3,0,0,'Données projet'!$E$13+1,1))-AVERAGE(OFFSET($H$3,0,0,'Données projet'!$E$13+1,1))</f>
        <v>499.92116338695428</v>
      </c>
      <c r="CZ90" s="62">
        <f t="shared" si="96"/>
        <v>316.79403154855652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0.64502967718307935</v>
      </c>
      <c r="DH90" s="23">
        <f>EXP(-LN(2)/2)*DH89+(1-EXP(-LN(2)/2))/(LN(2)/2)*DB90*DE90*VLOOKUP('Données projet'!$B$13,Paramètres!$A$1:$I$89,3,0)*0.475*44/12</f>
        <v>7.7917155743414198E-9</v>
      </c>
      <c r="DI90" s="24">
        <f t="shared" si="69"/>
        <v>0.64502968497479496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135.66666666666666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211.70619219850786</v>
      </c>
      <c r="T91" s="62">
        <f t="shared" si="88"/>
        <v>426.883837098247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1.9895196601282805E-13</v>
      </c>
      <c r="AJ91" s="14">
        <f>AI91*VLOOKUP('Données projet'!$B$10,Paramètres!$A$1:$I$89,3,0)*VLOOKUP('Données projet'!$B$10,Paramètres!$A$1:$I$89,5,0)</f>
        <v>1.8001173884840681E-13</v>
      </c>
      <c r="AK91" s="14">
        <f t="shared" si="89"/>
        <v>2.5254331426407198E-12</v>
      </c>
      <c r="AL91" s="22">
        <f t="shared" si="58"/>
        <v>4.7119831685935622E-12</v>
      </c>
      <c r="AM91" s="62">
        <f t="shared" si="59"/>
        <v>263.46289986784581</v>
      </c>
      <c r="AN91" s="62">
        <f ca="1">AVERAGE(OFFSET($AM$3,0,0,'Données projet'!$E$10+1,1))-AVERAGE(OFFSET($H$3,0,0,'Données projet'!$E$10+1,1))</f>
        <v>327.07074355218322</v>
      </c>
      <c r="AO91" s="62">
        <f t="shared" si="90"/>
        <v>462.01668587029087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2.6434490034983154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2.6434490034983154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2.6</v>
      </c>
      <c r="BD91" s="13">
        <f>IF('Données projet'!$A$88&gt;35,BD90+BC91-BL90,IF(A91&lt;'Données projet'!$A$88,$BA$205^A91,IF(A91='Données projet'!$A$88,'Données projet'!$B$88,BD90+BC91-BL90)))</f>
        <v>230.7999999999999</v>
      </c>
      <c r="BE91" s="14">
        <f>BD91*VLOOKUP('Données projet'!$B$11,Paramètres!$A$1:$I$89,3,0)*VLOOKUP('Données projet'!$B$11,Paramètres!$A$1:$I$89,5,0)</f>
        <v>201.62687999999994</v>
      </c>
      <c r="BF91" s="14">
        <f t="shared" si="91"/>
        <v>50.101537951964936</v>
      </c>
      <c r="BG91" s="22">
        <f t="shared" si="61"/>
        <v>438.42699459967213</v>
      </c>
      <c r="BH91" s="62">
        <f t="shared" si="62"/>
        <v>701.88989446751316</v>
      </c>
      <c r="BI91" s="62">
        <f ca="1">AVERAGE(OFFSET($BH$3,0,0,'Données projet'!$E$11+1,1))-AVERAGE(OFFSET($H$3,0,0,'Données projet'!$E$11+1,1))</f>
        <v>378.51861272969165</v>
      </c>
      <c r="BJ91" s="62">
        <f t="shared" si="92"/>
        <v>387.42368617035459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2.8665955599460853</v>
      </c>
      <c r="BR91" s="23">
        <f>EXP(-LN(2)/2)*BR90+(1-EXP(-LN(2)/2))/(LN(2)/2)*BL91*BO91*VLOOKUP('Données projet'!$B$11,Paramètres!$A$1:$I$89,3,0)*0.475*44/12</f>
        <v>3.3424339335743764E-8</v>
      </c>
      <c r="BS91" s="24">
        <f t="shared" si="63"/>
        <v>2.8665955933704246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5.6843418860808015E-14</v>
      </c>
      <c r="BZ91" s="14">
        <f>BY91*VLOOKUP('Données projet'!$B$12,Paramètres!$A$1:$I$89,3,0)*VLOOKUP('Données projet'!$B$12,Paramètres!$A$1:$I$89,5,0)</f>
        <v>3.3992364478763198E-14</v>
      </c>
      <c r="CA91" s="14">
        <f t="shared" si="93"/>
        <v>5.790027782444094E-13</v>
      </c>
      <c r="CB91" s="22">
        <f t="shared" si="64"/>
        <v>1.0676332069095257E-12</v>
      </c>
      <c r="CC91" s="62">
        <f t="shared" si="65"/>
        <v>263.46289986784217</v>
      </c>
      <c r="CD91" s="62">
        <f ca="1">AVERAGE(OFFSET($CC$3,0,0,'Données projet'!$E$12+1,1))-AVERAGE(OFFSET($H$3,0,0,'Données projet'!$E$12+1,1))</f>
        <v>225.71928466161592</v>
      </c>
      <c r="CE91" s="62">
        <f t="shared" si="94"/>
        <v>385.98818770742025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34.683865698855399</v>
      </c>
      <c r="CL91" s="23">
        <f>EXP(-LN(2)/25)*CL90+(1-EXP(-LN(2)/25))/(LN(2)/25)*Calculateur!CG91*Calculateur!CI91*VLOOKUP('Données projet'!$B$12,Paramètres!$A$1:$I$89,3,0)*0.475*44/12</f>
        <v>0.66950968292838897</v>
      </c>
      <c r="CM91" s="23">
        <f>EXP(-LN(2)/2)*CM90+(1-EXP(-LN(2)/2))/(LN(2)/2)*CG91*CJ91*VLOOKUP('Données projet'!$B$12,Paramètres!$A$1:$I$89,3,0)*0.475*44/12</f>
        <v>2.0517383491416267E-6</v>
      </c>
      <c r="CN91" s="24">
        <f t="shared" si="66"/>
        <v>35.353377433522134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6.4</v>
      </c>
      <c r="CT91" s="13">
        <f>IF('Données projet'!$A$140&gt;35,CT90+CS91-DB90,IF(A91&lt;'Données projet'!$A$140,$CQ$205^A91,IF(A91='Données projet'!$A$140,'Données projet'!$B$140,CT90+CS91-DB90)))</f>
        <v>317.2</v>
      </c>
      <c r="CU91" s="18">
        <f>CT91*VLOOKUP('Données projet'!$B$13,Paramètres!$A$1:$I$89,3,0)*VLOOKUP('Données projet'!$B$13,Paramètres!$A$1:$I$89,5,0)</f>
        <v>287.00255999999996</v>
      </c>
      <c r="CV91" s="14">
        <f t="shared" si="95"/>
        <v>68.444716936118553</v>
      </c>
      <c r="CW91" s="22">
        <f t="shared" si="67"/>
        <v>619.07067399707296</v>
      </c>
      <c r="CX91" s="62">
        <f t="shared" si="68"/>
        <v>882.53357386491405</v>
      </c>
      <c r="CY91" s="62">
        <f ca="1">AVERAGE(OFFSET($CX$3,0,0,'Données projet'!$E$13+1,1))-AVERAGE(OFFSET($H$3,0,0,'Données projet'!$E$13+1,1))</f>
        <v>499.92116338695428</v>
      </c>
      <c r="CZ91" s="62">
        <f t="shared" si="96"/>
        <v>316.79403154855652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0.62739130673987153</v>
      </c>
      <c r="DH91" s="23">
        <f>EXP(-LN(2)/2)*DH90+(1-EXP(-LN(2)/2))/(LN(2)/2)*DB91*DE91*VLOOKUP('Données projet'!$B$13,Paramètres!$A$1:$I$89,3,0)*0.475*44/12</f>
        <v>5.5095749196936529E-9</v>
      </c>
      <c r="DI91" s="24">
        <f t="shared" si="69"/>
        <v>0.62739131224944644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135.66666666666666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211.70619219850786</v>
      </c>
      <c r="T92" s="62">
        <f t="shared" si="88"/>
        <v>426.883837098247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1.9895196601282805E-13</v>
      </c>
      <c r="AJ92" s="14">
        <f>AI92*VLOOKUP('Données projet'!$B$10,Paramètres!$A$1:$I$89,3,0)*VLOOKUP('Données projet'!$B$10,Paramètres!$A$1:$I$89,5,0)</f>
        <v>1.8001173884840681E-13</v>
      </c>
      <c r="AK92" s="14">
        <f t="shared" si="89"/>
        <v>2.5254331426407198E-12</v>
      </c>
      <c r="AL92" s="22">
        <f t="shared" si="58"/>
        <v>4.7119831685935622E-12</v>
      </c>
      <c r="AM92" s="62">
        <f t="shared" si="59"/>
        <v>263.98108510818724</v>
      </c>
      <c r="AN92" s="62">
        <f ca="1">AVERAGE(OFFSET($AM$3,0,0,'Données projet'!$E$10+1,1))-AVERAGE(OFFSET($H$3,0,0,'Données projet'!$E$10+1,1))</f>
        <v>327.07074355218322</v>
      </c>
      <c r="AO92" s="62">
        <f t="shared" si="90"/>
        <v>462.01668587029087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2.5916125808843997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2.5916125808843997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2.6</v>
      </c>
      <c r="BD92" s="13">
        <f>IF('Données projet'!$A$88&gt;35,BD91+BC92-BL91,IF(A92&lt;'Données projet'!$A$88,$BA$205^A92,IF(A92='Données projet'!$A$88,'Données projet'!$B$88,BD91+BC92-BL91)))</f>
        <v>233.39999999999989</v>
      </c>
      <c r="BE92" s="14">
        <f>BD92*VLOOKUP('Données projet'!$B$11,Paramètres!$A$1:$I$89,3,0)*VLOOKUP('Données projet'!$B$11,Paramètres!$A$1:$I$89,5,0)</f>
        <v>203.89823999999993</v>
      </c>
      <c r="BF92" s="14">
        <f t="shared" si="91"/>
        <v>50.59991801943017</v>
      </c>
      <c r="BG92" s="22">
        <f t="shared" si="61"/>
        <v>443.25095855050739</v>
      </c>
      <c r="BH92" s="62">
        <f t="shared" si="62"/>
        <v>707.23204365868992</v>
      </c>
      <c r="BI92" s="62">
        <f ca="1">AVERAGE(OFFSET($BH$3,0,0,'Données projet'!$E$11+1,1))-AVERAGE(OFFSET($H$3,0,0,'Données projet'!$E$11+1,1))</f>
        <v>378.51861272969165</v>
      </c>
      <c r="BJ92" s="62">
        <f t="shared" si="92"/>
        <v>387.42368617035459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2.7882083536116506</v>
      </c>
      <c r="BR92" s="23">
        <f>EXP(-LN(2)/2)*BR91+(1-EXP(-LN(2)/2))/(LN(2)/2)*BL92*BO92*VLOOKUP('Données projet'!$B$11,Paramètres!$A$1:$I$89,3,0)*0.475*44/12</f>
        <v>2.3634577000984679E-8</v>
      </c>
      <c r="BS92" s="24">
        <f t="shared" si="63"/>
        <v>2.7882083772462276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5.6843418860808015E-14</v>
      </c>
      <c r="BZ92" s="14">
        <f>BY92*VLOOKUP('Données projet'!$B$12,Paramètres!$A$1:$I$89,3,0)*VLOOKUP('Données projet'!$B$12,Paramètres!$A$1:$I$89,5,0)</f>
        <v>3.3992364478763198E-14</v>
      </c>
      <c r="CA92" s="14">
        <f t="shared" si="93"/>
        <v>5.790027782444094E-13</v>
      </c>
      <c r="CB92" s="22">
        <f t="shared" si="64"/>
        <v>1.0676332069095257E-12</v>
      </c>
      <c r="CC92" s="62">
        <f t="shared" si="65"/>
        <v>263.98108510818361</v>
      </c>
      <c r="CD92" s="62">
        <f ca="1">AVERAGE(OFFSET($CC$3,0,0,'Données projet'!$E$12+1,1))-AVERAGE(OFFSET($H$3,0,0,'Données projet'!$E$12+1,1))</f>
        <v>225.71928466161592</v>
      </c>
      <c r="CE92" s="62">
        <f t="shared" si="94"/>
        <v>385.98818770742025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34.003736247570032</v>
      </c>
      <c r="CL92" s="23">
        <f>EXP(-LN(2)/25)*CL91+(1-EXP(-LN(2)/25))/(LN(2)/25)*Calculateur!CG92*Calculateur!CI92*VLOOKUP('Données projet'!$B$12,Paramètres!$A$1:$I$89,3,0)*0.475*44/12</f>
        <v>0.65120190544072809</v>
      </c>
      <c r="CM92" s="23">
        <f>EXP(-LN(2)/2)*CM91+(1-EXP(-LN(2)/2))/(LN(2)/2)*CG92*CJ92*VLOOKUP('Données projet'!$B$12,Paramètres!$A$1:$I$89,3,0)*0.475*44/12</f>
        <v>1.4507980998985365E-6</v>
      </c>
      <c r="CN92" s="24">
        <f t="shared" si="66"/>
        <v>34.654939603808863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6.4</v>
      </c>
      <c r="CT92" s="13">
        <f>IF('Données projet'!$A$140&gt;35,CT91+CS92-DB91,IF(A92&lt;'Données projet'!$A$140,$CQ$205^A92,IF(A92='Données projet'!$A$140,'Données projet'!$B$140,CT91+CS92-DB91)))</f>
        <v>323.59999999999997</v>
      </c>
      <c r="CU92" s="18">
        <f>CT92*VLOOKUP('Données projet'!$B$13,Paramètres!$A$1:$I$89,3,0)*VLOOKUP('Données projet'!$B$13,Paramètres!$A$1:$I$89,5,0)</f>
        <v>292.79327999999992</v>
      </c>
      <c r="CV92" s="14">
        <f t="shared" si="95"/>
        <v>69.663526761731433</v>
      </c>
      <c r="CW92" s="22">
        <f t="shared" si="67"/>
        <v>631.27893844334869</v>
      </c>
      <c r="CX92" s="62">
        <f t="shared" si="68"/>
        <v>895.26002355153128</v>
      </c>
      <c r="CY92" s="62">
        <f ca="1">AVERAGE(OFFSET($CX$3,0,0,'Données projet'!$E$13+1,1))-AVERAGE(OFFSET($H$3,0,0,'Données projet'!$E$13+1,1))</f>
        <v>499.92116338695428</v>
      </c>
      <c r="CZ92" s="62">
        <f t="shared" si="96"/>
        <v>316.79403154855652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0.61023525846399485</v>
      </c>
      <c r="DH92" s="23">
        <f>EXP(-LN(2)/2)*DH91+(1-EXP(-LN(2)/2))/(LN(2)/2)*DB92*DE92*VLOOKUP('Données projet'!$B$13,Paramètres!$A$1:$I$89,3,0)*0.475*44/12</f>
        <v>3.8958577871707099E-9</v>
      </c>
      <c r="DI92" s="24">
        <f t="shared" si="69"/>
        <v>0.61023526235985259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135.66666666666666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211.70619219850786</v>
      </c>
      <c r="T93" s="62">
        <f t="shared" si="88"/>
        <v>426.883837098247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1.9895196601282805E-13</v>
      </c>
      <c r="AJ93" s="14">
        <f>AI93*VLOOKUP('Données projet'!$B$10,Paramètres!$A$1:$I$89,3,0)*VLOOKUP('Données projet'!$B$10,Paramètres!$A$1:$I$89,5,0)</f>
        <v>1.8001173884840681E-13</v>
      </c>
      <c r="AK93" s="14">
        <f t="shared" si="89"/>
        <v>2.5254331426407198E-12</v>
      </c>
      <c r="AL93" s="22">
        <f t="shared" si="58"/>
        <v>4.7119831685935622E-12</v>
      </c>
      <c r="AM93" s="62">
        <f t="shared" si="59"/>
        <v>264.49028099309749</v>
      </c>
      <c r="AN93" s="62">
        <f ca="1">AVERAGE(OFFSET($AM$3,0,0,'Données projet'!$E$10+1,1))-AVERAGE(OFFSET($H$3,0,0,'Données projet'!$E$10+1,1))</f>
        <v>327.07074355218322</v>
      </c>
      <c r="AO93" s="62">
        <f t="shared" si="90"/>
        <v>462.01668587029087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2.5407926389008471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2.5407926389008471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236</v>
      </c>
      <c r="BB93" s="13">
        <f>VLOOKUP(A93,'Données projet'!$A$87:$I$107,9,0)</f>
        <v>2.6</v>
      </c>
      <c r="BC93" s="13">
        <f t="array" ref="BC93">INDEX(BB:BB,MIN(IF(ISNUMBER(BB93:BB289),ROW(BB93:BB289),"")))</f>
        <v>2.6</v>
      </c>
      <c r="BD93" s="13">
        <f>IF('Données projet'!$A$88&gt;35,BD92+BC93-BL92,IF(A93&lt;'Données projet'!$A$88,$BA$205^A93,IF(A93='Données projet'!$A$88,'Données projet'!$B$88,BD92+BC93-BL92)))</f>
        <v>235.99999999999989</v>
      </c>
      <c r="BE93" s="14">
        <f>BD93*VLOOKUP('Données projet'!$B$11,Paramètres!$A$1:$I$89,3,0)*VLOOKUP('Données projet'!$B$11,Paramètres!$A$1:$I$89,5,0)</f>
        <v>206.16959999999992</v>
      </c>
      <c r="BF93" s="14">
        <f t="shared" si="91"/>
        <v>51.097652263007333</v>
      </c>
      <c r="BG93" s="22">
        <f t="shared" si="61"/>
        <v>448.07379769140431</v>
      </c>
      <c r="BH93" s="62">
        <f t="shared" si="62"/>
        <v>712.56407868449708</v>
      </c>
      <c r="BI93" s="62">
        <f ca="1">AVERAGE(OFFSET($BH$3,0,0,'Données projet'!$E$11+1,1))-AVERAGE(OFFSET($H$3,0,0,'Données projet'!$E$11+1,1))</f>
        <v>378.51861272969165</v>
      </c>
      <c r="BJ93" s="62">
        <f t="shared" si="92"/>
        <v>387.42368617035459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236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2.7119646495566352</v>
      </c>
      <c r="BR93" s="23">
        <f>EXP(-LN(2)/2)*BR92+(1-EXP(-LN(2)/2))/(LN(2)/2)*BL93*BO93*VLOOKUP('Données projet'!$B$11,Paramètres!$A$1:$I$89,3,0)*0.475*44/12</f>
        <v>1.6712169667871882E-8</v>
      </c>
      <c r="BS93" s="24">
        <f t="shared" si="63"/>
        <v>2.7119646662688051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5.6843418860808015E-14</v>
      </c>
      <c r="BZ93" s="14">
        <f>BY93*VLOOKUP('Données projet'!$B$12,Paramètres!$A$1:$I$89,3,0)*VLOOKUP('Données projet'!$B$12,Paramètres!$A$1:$I$89,5,0)</f>
        <v>3.3992364478763198E-14</v>
      </c>
      <c r="CA93" s="14">
        <f t="shared" si="93"/>
        <v>5.790027782444094E-13</v>
      </c>
      <c r="CB93" s="22">
        <f t="shared" si="64"/>
        <v>1.0676332069095257E-12</v>
      </c>
      <c r="CC93" s="62">
        <f t="shared" si="65"/>
        <v>264.49028099309385</v>
      </c>
      <c r="CD93" s="62">
        <f ca="1">AVERAGE(OFFSET($CC$3,0,0,'Données projet'!$E$12+1,1))-AVERAGE(OFFSET($H$3,0,0,'Données projet'!$E$12+1,1))</f>
        <v>225.71928466161592</v>
      </c>
      <c r="CE93" s="62">
        <f t="shared" si="94"/>
        <v>385.98818770742025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33.336943719986365</v>
      </c>
      <c r="CL93" s="23">
        <f>EXP(-LN(2)/25)*CL92+(1-EXP(-LN(2)/25))/(LN(2)/25)*Calculateur!CG93*Calculateur!CI93*VLOOKUP('Données projet'!$B$12,Paramètres!$A$1:$I$89,3,0)*0.475*44/12</f>
        <v>0.63339475509123155</v>
      </c>
      <c r="CM93" s="23">
        <f>EXP(-LN(2)/2)*CM92+(1-EXP(-LN(2)/2))/(LN(2)/2)*CG93*CJ93*VLOOKUP('Données projet'!$B$12,Paramètres!$A$1:$I$89,3,0)*0.475*44/12</f>
        <v>1.0258691745708134E-6</v>
      </c>
      <c r="CN93" s="24">
        <f t="shared" si="66"/>
        <v>33.970339500946771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330</v>
      </c>
      <c r="CR93" s="13">
        <f>VLOOKUP(A93,'Données projet'!$A$139:$I$159,9,0)</f>
        <v>6.4</v>
      </c>
      <c r="CS93" s="13">
        <f t="array" ref="CS93">INDEX(CR:CR,MIN(IF(ISNUMBER(CR93:CR289),ROW(CR93:CR289),"")))</f>
        <v>6.4</v>
      </c>
      <c r="CT93" s="13">
        <f>IF('Données projet'!$A$140&gt;35,CT92+CS93-DB92,IF(A93&lt;'Données projet'!$A$140,$CQ$205^A93,IF(A93='Données projet'!$A$140,'Données projet'!$B$140,CT92+CS93-DB92)))</f>
        <v>329.99999999999994</v>
      </c>
      <c r="CU93" s="18">
        <f>CT93*VLOOKUP('Données projet'!$B$13,Paramètres!$A$1:$I$89,3,0)*VLOOKUP('Données projet'!$B$13,Paramètres!$A$1:$I$89,5,0)</f>
        <v>298.58399999999995</v>
      </c>
      <c r="CV93" s="14">
        <f t="shared" si="95"/>
        <v>70.879533797607607</v>
      </c>
      <c r="CW93" s="22">
        <f t="shared" si="67"/>
        <v>643.48232136416652</v>
      </c>
      <c r="CX93" s="62">
        <f t="shared" si="68"/>
        <v>907.97260235725935</v>
      </c>
      <c r="CY93" s="62">
        <f ca="1">AVERAGE(OFFSET($CX$3,0,0,'Données projet'!$E$13+1,1))-AVERAGE(OFFSET($H$3,0,0,'Données projet'!$E$13+1,1))</f>
        <v>499.92116338695428</v>
      </c>
      <c r="CZ93" s="62">
        <f t="shared" si="96"/>
        <v>316.79403154855652</v>
      </c>
      <c r="DA93" s="16">
        <f>IF(ISNA(VLOOKUP(A93,'Données projet'!$A$139:$I$159,3,0)),0,VLOOKUP(A93,'Données projet'!$A$139:$I$159,3,0))</f>
        <v>15</v>
      </c>
      <c r="DB93" s="16">
        <f>IF(ISNA(VLOOKUP(A93,'Données projet'!$A$139:$I$159,4,0)),0,VLOOKUP(A93,'Données projet'!$A$139:$I$159,4,0))</f>
        <v>28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0.59354834323041938</v>
      </c>
      <c r="DH93" s="23">
        <f>EXP(-LN(2)/2)*DH92+(1-EXP(-LN(2)/2))/(LN(2)/2)*DB93*DE93*VLOOKUP('Données projet'!$B$13,Paramètres!$A$1:$I$89,3,0)*0.475*44/12</f>
        <v>2.7547874598468264E-9</v>
      </c>
      <c r="DI93" s="24">
        <f t="shared" si="69"/>
        <v>0.59354834598520689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135.66666666666666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211.70619219850786</v>
      </c>
      <c r="T94" s="62">
        <f t="shared" si="88"/>
        <v>426.883837098247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1.9895196601282805E-13</v>
      </c>
      <c r="AJ94" s="14">
        <f>AI94*VLOOKUP('Données projet'!$B$10,Paramètres!$A$1:$I$89,3,0)*VLOOKUP('Données projet'!$B$10,Paramètres!$A$1:$I$89,5,0)</f>
        <v>1.8001173884840681E-13</v>
      </c>
      <c r="AK94" s="14">
        <f t="shared" si="89"/>
        <v>2.5254331426407198E-12</v>
      </c>
      <c r="AL94" s="22">
        <f t="shared" si="58"/>
        <v>4.7119831685935622E-12</v>
      </c>
      <c r="AM94" s="62">
        <f t="shared" si="59"/>
        <v>264.99064346779591</v>
      </c>
      <c r="AN94" s="62">
        <f ca="1">AVERAGE(OFFSET($AM$3,0,0,'Données projet'!$E$10+1,1))-AVERAGE(OFFSET($H$3,0,0,'Données projet'!$E$10+1,1))</f>
        <v>327.07074355218322</v>
      </c>
      <c r="AO94" s="62">
        <f t="shared" si="90"/>
        <v>462.01668587029087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2.4909692449824878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2.4909692449824878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-1.1368683772161603E-13</v>
      </c>
      <c r="BE94" s="14">
        <f>BD94*VLOOKUP('Données projet'!$B$11,Paramètres!$A$1:$I$89,3,0)*VLOOKUP('Données projet'!$B$11,Paramètres!$A$1:$I$89,5,0)</f>
        <v>-9.9316821433603781E-14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378.51861272969165</v>
      </c>
      <c r="BJ94" s="62">
        <f t="shared" si="92"/>
        <v>387.42368617035459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2.6378058335984864</v>
      </c>
      <c r="BR94" s="23">
        <f>EXP(-LN(2)/2)*BR93+(1-EXP(-LN(2)/2))/(LN(2)/2)*BL94*BO94*VLOOKUP('Données projet'!$B$11,Paramètres!$A$1:$I$89,3,0)*0.475*44/12</f>
        <v>1.181728850049234E-8</v>
      </c>
      <c r="BS94" s="24">
        <f t="shared" si="63"/>
        <v>2.6378058454157749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5.6843418860808015E-14</v>
      </c>
      <c r="BZ94" s="14">
        <f>BY94*VLOOKUP('Données projet'!$B$12,Paramètres!$A$1:$I$89,3,0)*VLOOKUP('Données projet'!$B$12,Paramètres!$A$1:$I$89,5,0)</f>
        <v>3.3992364478763198E-14</v>
      </c>
      <c r="CA94" s="14">
        <f t="shared" si="93"/>
        <v>5.790027782444094E-13</v>
      </c>
      <c r="CB94" s="22">
        <f t="shared" si="64"/>
        <v>1.0676332069095257E-12</v>
      </c>
      <c r="CC94" s="62">
        <f t="shared" si="65"/>
        <v>264.99064346779227</v>
      </c>
      <c r="CD94" s="62">
        <f ca="1">AVERAGE(OFFSET($CC$3,0,0,'Données projet'!$E$12+1,1))-AVERAGE(OFFSET($H$3,0,0,'Données projet'!$E$12+1,1))</f>
        <v>225.71928466161592</v>
      </c>
      <c r="CE94" s="62">
        <f t="shared" si="94"/>
        <v>385.98818770742025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32.683226587165336</v>
      </c>
      <c r="CL94" s="23">
        <f>EXP(-LN(2)/25)*CL93+(1-EXP(-LN(2)/25))/(LN(2)/25)*Calculateur!CG94*Calculateur!CI94*VLOOKUP('Données projet'!$B$12,Paramètres!$A$1:$I$89,3,0)*0.475*44/12</f>
        <v>0.61607454220447933</v>
      </c>
      <c r="CM94" s="23">
        <f>EXP(-LN(2)/2)*CM93+(1-EXP(-LN(2)/2))/(LN(2)/2)*CG94*CJ94*VLOOKUP('Données projet'!$B$12,Paramètres!$A$1:$I$89,3,0)*0.475*44/12</f>
        <v>7.2539904994926825E-7</v>
      </c>
      <c r="CN94" s="24">
        <f t="shared" si="66"/>
        <v>33.299301854768864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6</v>
      </c>
      <c r="CT94" s="13">
        <f>IF('Données projet'!$A$140&gt;35,CT93+CS94-DB93,IF(A94&lt;'Données projet'!$A$140,$CQ$205^A94,IF(A94='Données projet'!$A$140,'Données projet'!$B$140,CT93+CS94-DB93)))</f>
        <v>307.99999999999994</v>
      </c>
      <c r="CU94" s="18">
        <f>CT94*VLOOKUP('Données projet'!$B$13,Paramètres!$A$1:$I$89,3,0)*VLOOKUP('Données projet'!$B$13,Paramètres!$A$1:$I$89,5,0)</f>
        <v>278.67839999999995</v>
      </c>
      <c r="CV94" s="14">
        <f t="shared" si="95"/>
        <v>66.687639951856809</v>
      </c>
      <c r="CW94" s="22">
        <f t="shared" si="67"/>
        <v>601.51251958281716</v>
      </c>
      <c r="CX94" s="62">
        <f t="shared" si="68"/>
        <v>866.50316305060835</v>
      </c>
      <c r="CY94" s="62">
        <f ca="1">AVERAGE(OFFSET($CX$3,0,0,'Données projet'!$E$13+1,1))-AVERAGE(OFFSET($H$3,0,0,'Données projet'!$E$13+1,1))</f>
        <v>499.92116338695428</v>
      </c>
      <c r="CZ94" s="62">
        <f t="shared" si="96"/>
        <v>316.79403154855652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0.57731773257143282</v>
      </c>
      <c r="DH94" s="23">
        <f>EXP(-LN(2)/2)*DH93+(1-EXP(-LN(2)/2))/(LN(2)/2)*DB94*DE94*VLOOKUP('Données projet'!$B$13,Paramètres!$A$1:$I$89,3,0)*0.475*44/12</f>
        <v>1.9479288935853549E-9</v>
      </c>
      <c r="DI94" s="24">
        <f t="shared" si="69"/>
        <v>0.57731773451936175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135.66666666666666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211.70619219850786</v>
      </c>
      <c r="T95" s="62">
        <f t="shared" si="88"/>
        <v>426.883837098247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1.9895196601282805E-13</v>
      </c>
      <c r="AJ95" s="14">
        <f>AI95*VLOOKUP('Données projet'!$B$10,Paramètres!$A$1:$I$89,3,0)*VLOOKUP('Données projet'!$B$10,Paramètres!$A$1:$I$89,5,0)</f>
        <v>1.8001173884840681E-13</v>
      </c>
      <c r="AK95" s="14">
        <f t="shared" si="89"/>
        <v>2.5254331426407198E-12</v>
      </c>
      <c r="AL95" s="22">
        <f t="shared" si="58"/>
        <v>4.7119831685935622E-12</v>
      </c>
      <c r="AM95" s="62">
        <f t="shared" si="59"/>
        <v>265.48232577220125</v>
      </c>
      <c r="AN95" s="62">
        <f ca="1">AVERAGE(OFFSET($AM$3,0,0,'Données projet'!$E$10+1,1))-AVERAGE(OFFSET($H$3,0,0,'Données projet'!$E$10+1,1))</f>
        <v>327.07074355218322</v>
      </c>
      <c r="AO95" s="62">
        <f t="shared" si="90"/>
        <v>462.01668587029087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2.4421228574295983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2.4421228574295983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-1.1368683772161603E-13</v>
      </c>
      <c r="BE95" s="14">
        <f>BD95*VLOOKUP('Données projet'!$B$11,Paramètres!$A$1:$I$89,3,0)*VLOOKUP('Données projet'!$B$11,Paramètres!$A$1:$I$89,5,0)</f>
        <v>-9.9316821433603781E-14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378.51861272969165</v>
      </c>
      <c r="BJ95" s="62">
        <f t="shared" si="92"/>
        <v>387.42368617035459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2.565674894362556</v>
      </c>
      <c r="BR95" s="23">
        <f>EXP(-LN(2)/2)*BR94+(1-EXP(-LN(2)/2))/(LN(2)/2)*BL95*BO95*VLOOKUP('Données projet'!$B$11,Paramètres!$A$1:$I$89,3,0)*0.475*44/12</f>
        <v>8.356084833935941E-9</v>
      </c>
      <c r="BS95" s="24">
        <f t="shared" si="63"/>
        <v>2.5656749027186407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5.6843418860808015E-14</v>
      </c>
      <c r="BZ95" s="14">
        <f>BY95*VLOOKUP('Données projet'!$B$12,Paramètres!$A$1:$I$89,3,0)*VLOOKUP('Données projet'!$B$12,Paramètres!$A$1:$I$89,5,0)</f>
        <v>3.3992364478763198E-14</v>
      </c>
      <c r="CA95" s="14">
        <f t="shared" si="93"/>
        <v>5.790027782444094E-13</v>
      </c>
      <c r="CB95" s="22">
        <f t="shared" si="64"/>
        <v>1.0676332069095257E-12</v>
      </c>
      <c r="CC95" s="62">
        <f t="shared" si="65"/>
        <v>265.48232577219761</v>
      </c>
      <c r="CD95" s="62">
        <f ca="1">AVERAGE(OFFSET($CC$3,0,0,'Données projet'!$E$12+1,1))-AVERAGE(OFFSET($H$3,0,0,'Données projet'!$E$12+1,1))</f>
        <v>225.71928466161592</v>
      </c>
      <c r="CE95" s="62">
        <f t="shared" si="94"/>
        <v>385.98818770742025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32.042328448590844</v>
      </c>
      <c r="CL95" s="23">
        <f>EXP(-LN(2)/25)*CL94+(1-EXP(-LN(2)/25))/(LN(2)/25)*Calculateur!CG95*Calculateur!CI95*VLOOKUP('Données projet'!$B$12,Paramètres!$A$1:$I$89,3,0)*0.475*44/12</f>
        <v>0.59922795144994567</v>
      </c>
      <c r="CM95" s="23">
        <f>EXP(-LN(2)/2)*CM94+(1-EXP(-LN(2)/2))/(LN(2)/2)*CG95*CJ95*VLOOKUP('Données projet'!$B$12,Paramètres!$A$1:$I$89,3,0)*0.475*44/12</f>
        <v>5.1293458728540668E-7</v>
      </c>
      <c r="CN95" s="24">
        <f t="shared" si="66"/>
        <v>32.641556912975382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6</v>
      </c>
      <c r="CT95" s="13">
        <f>IF('Données projet'!$A$140&gt;35,CT94+CS95-DB94,IF(A95&lt;'Données projet'!$A$140,$CQ$205^A95,IF(A95='Données projet'!$A$140,'Données projet'!$B$140,CT94+CS95-DB94)))</f>
        <v>313.99999999999994</v>
      </c>
      <c r="CU95" s="18">
        <f>CT95*VLOOKUP('Données projet'!$B$13,Paramètres!$A$1:$I$89,3,0)*VLOOKUP('Données projet'!$B$13,Paramètres!$A$1:$I$89,5,0)</f>
        <v>284.10719999999992</v>
      </c>
      <c r="CV95" s="14">
        <f t="shared" si="95"/>
        <v>67.834241327943715</v>
      </c>
      <c r="CW95" s="22">
        <f t="shared" si="67"/>
        <v>612.96467697950186</v>
      </c>
      <c r="CX95" s="62">
        <f t="shared" si="68"/>
        <v>878.44700275169839</v>
      </c>
      <c r="CY95" s="62">
        <f ca="1">AVERAGE(OFFSET($CX$3,0,0,'Données projet'!$E$13+1,1))-AVERAGE(OFFSET($H$3,0,0,'Données projet'!$E$13+1,1))</f>
        <v>499.92116338695428</v>
      </c>
      <c r="CZ95" s="62">
        <f t="shared" si="96"/>
        <v>316.79403154855652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0.56153094881444687</v>
      </c>
      <c r="DH95" s="23">
        <f>EXP(-LN(2)/2)*DH94+(1-EXP(-LN(2)/2))/(LN(2)/2)*DB95*DE95*VLOOKUP('Données projet'!$B$13,Paramètres!$A$1:$I$89,3,0)*0.475*44/12</f>
        <v>1.3773937299234132E-9</v>
      </c>
      <c r="DI95" s="24">
        <f t="shared" si="69"/>
        <v>0.56153095019184063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135.66666666666666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211.70619219850786</v>
      </c>
      <c r="T96" s="62">
        <f t="shared" si="88"/>
        <v>426.883837098247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1.9895196601282805E-13</v>
      </c>
      <c r="AJ96" s="14">
        <f>AI96*VLOOKUP('Données projet'!$B$10,Paramètres!$A$1:$I$89,3,0)*VLOOKUP('Données projet'!$B$10,Paramètres!$A$1:$I$89,5,0)</f>
        <v>1.8001173884840681E-13</v>
      </c>
      <c r="AK96" s="14">
        <f t="shared" si="89"/>
        <v>2.5254331426407198E-12</v>
      </c>
      <c r="AL96" s="22">
        <f t="shared" si="58"/>
        <v>4.7119831685935622E-12</v>
      </c>
      <c r="AM96" s="62">
        <f t="shared" si="59"/>
        <v>265.96547848786213</v>
      </c>
      <c r="AN96" s="62">
        <f ca="1">AVERAGE(OFFSET($AM$3,0,0,'Données projet'!$E$10+1,1))-AVERAGE(OFFSET($H$3,0,0,'Données projet'!$E$10+1,1))</f>
        <v>327.07074355218322</v>
      </c>
      <c r="AO96" s="62">
        <f t="shared" si="90"/>
        <v>462.01668587029087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2.3942343177432663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2.3942343177432663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-1.1368683772161603E-13</v>
      </c>
      <c r="BE96" s="14">
        <f>BD96*VLOOKUP('Données projet'!$B$11,Paramètres!$A$1:$I$89,3,0)*VLOOKUP('Données projet'!$B$11,Paramètres!$A$1:$I$89,5,0)</f>
        <v>-9.9316821433603781E-14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378.51861272969165</v>
      </c>
      <c r="BJ96" s="62">
        <f t="shared" si="92"/>
        <v>387.42368617035459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2.4955163794532331</v>
      </c>
      <c r="BR96" s="23">
        <f>EXP(-LN(2)/2)*BR95+(1-EXP(-LN(2)/2))/(LN(2)/2)*BL96*BO96*VLOOKUP('Données projet'!$B$11,Paramètres!$A$1:$I$89,3,0)*0.475*44/12</f>
        <v>5.9086442502461699E-9</v>
      </c>
      <c r="BS96" s="24">
        <f t="shared" si="63"/>
        <v>2.4955163853618774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5.6843418860808015E-14</v>
      </c>
      <c r="BZ96" s="14">
        <f>BY96*VLOOKUP('Données projet'!$B$12,Paramètres!$A$1:$I$89,3,0)*VLOOKUP('Données projet'!$B$12,Paramètres!$A$1:$I$89,5,0)</f>
        <v>3.3992364478763198E-14</v>
      </c>
      <c r="CA96" s="14">
        <f t="shared" si="93"/>
        <v>5.790027782444094E-13</v>
      </c>
      <c r="CB96" s="22">
        <f t="shared" si="64"/>
        <v>1.0676332069095257E-12</v>
      </c>
      <c r="CC96" s="62">
        <f t="shared" si="65"/>
        <v>265.96547848785849</v>
      </c>
      <c r="CD96" s="62">
        <f ca="1">AVERAGE(OFFSET($CC$3,0,0,'Données projet'!$E$12+1,1))-AVERAGE(OFFSET($H$3,0,0,'Données projet'!$E$12+1,1))</f>
        <v>225.71928466161592</v>
      </c>
      <c r="CE96" s="62">
        <f t="shared" si="94"/>
        <v>385.98818770742025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31.413997931604531</v>
      </c>
      <c r="CL96" s="23">
        <f>EXP(-LN(2)/25)*CL95+(1-EXP(-LN(2)/25))/(LN(2)/25)*Calculateur!CG96*Calculateur!CI96*VLOOKUP('Données projet'!$B$12,Paramètres!$A$1:$I$89,3,0)*0.475*44/12</f>
        <v>0.58284203160551851</v>
      </c>
      <c r="CM96" s="23">
        <f>EXP(-LN(2)/2)*CM95+(1-EXP(-LN(2)/2))/(LN(2)/2)*CG96*CJ96*VLOOKUP('Données projet'!$B$12,Paramètres!$A$1:$I$89,3,0)*0.475*44/12</f>
        <v>3.6269952497463413E-7</v>
      </c>
      <c r="CN96" s="24">
        <f t="shared" si="66"/>
        <v>31.996840325909574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6</v>
      </c>
      <c r="CT96" s="13">
        <f>IF('Données projet'!$A$140&gt;35,CT95+CS96-DB95,IF(A96&lt;'Données projet'!$A$140,$CQ$205^A96,IF(A96='Données projet'!$A$140,'Données projet'!$B$140,CT95+CS96-DB95)))</f>
        <v>319.99999999999994</v>
      </c>
      <c r="CU96" s="18">
        <f>CT96*VLOOKUP('Données projet'!$B$13,Paramètres!$A$1:$I$89,3,0)*VLOOKUP('Données projet'!$B$13,Paramètres!$A$1:$I$89,5,0)</f>
        <v>289.53599999999994</v>
      </c>
      <c r="CV96" s="14">
        <f t="shared" si="95"/>
        <v>68.97829509904436</v>
      </c>
      <c r="CW96" s="22">
        <f t="shared" si="67"/>
        <v>624.41239729750214</v>
      </c>
      <c r="CX96" s="62">
        <f t="shared" si="68"/>
        <v>890.37787578535949</v>
      </c>
      <c r="CY96" s="62">
        <f ca="1">AVERAGE(OFFSET($CX$3,0,0,'Données projet'!$E$13+1,1))-AVERAGE(OFFSET($H$3,0,0,'Données projet'!$E$13+1,1))</f>
        <v>499.92116338695428</v>
      </c>
      <c r="CZ96" s="62">
        <f t="shared" si="96"/>
        <v>316.79403154855652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0.54617585548948666</v>
      </c>
      <c r="DH96" s="23">
        <f>EXP(-LN(2)/2)*DH95+(1-EXP(-LN(2)/2))/(LN(2)/2)*DB96*DE96*VLOOKUP('Données projet'!$B$13,Paramètres!$A$1:$I$89,3,0)*0.475*44/12</f>
        <v>9.7396444679267747E-10</v>
      </c>
      <c r="DI96" s="24">
        <f t="shared" si="69"/>
        <v>0.54617585646345113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135.66666666666666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211.70619219850786</v>
      </c>
      <c r="T97" s="62">
        <f t="shared" si="88"/>
        <v>426.883837098247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1.9895196601282805E-13</v>
      </c>
      <c r="AJ97" s="14">
        <f>AI97*VLOOKUP('Données projet'!$B$10,Paramètres!$A$1:$I$89,3,0)*VLOOKUP('Données projet'!$B$10,Paramètres!$A$1:$I$89,5,0)</f>
        <v>1.8001173884840681E-13</v>
      </c>
      <c r="AK97" s="14">
        <f t="shared" si="89"/>
        <v>2.5254331426407198E-12</v>
      </c>
      <c r="AL97" s="22">
        <f t="shared" si="58"/>
        <v>4.7119831685935622E-12</v>
      </c>
      <c r="AM97" s="62">
        <f t="shared" si="59"/>
        <v>266.44024958407391</v>
      </c>
      <c r="AN97" s="62">
        <f ca="1">AVERAGE(OFFSET($AM$3,0,0,'Données projet'!$E$10+1,1))-AVERAGE(OFFSET($H$3,0,0,'Données projet'!$E$10+1,1))</f>
        <v>327.07074355218322</v>
      </c>
      <c r="AO97" s="62">
        <f t="shared" si="90"/>
        <v>462.01668587029087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2.3472848431110584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2.3472848431110584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-1.1368683772161603E-13</v>
      </c>
      <c r="BE97" s="14">
        <f>BD97*VLOOKUP('Données projet'!$B$11,Paramètres!$A$1:$I$89,3,0)*VLOOKUP('Données projet'!$B$11,Paramètres!$A$1:$I$89,5,0)</f>
        <v>-9.9316821433603781E-14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378.51861272969165</v>
      </c>
      <c r="BJ97" s="62">
        <f t="shared" si="92"/>
        <v>387.42368617035459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2.4272763528235815</v>
      </c>
      <c r="BR97" s="23">
        <f>EXP(-LN(2)/2)*BR96+(1-EXP(-LN(2)/2))/(LN(2)/2)*BL97*BO97*VLOOKUP('Données projet'!$B$11,Paramètres!$A$1:$I$89,3,0)*0.475*44/12</f>
        <v>4.1780424169679705E-9</v>
      </c>
      <c r="BS97" s="24">
        <f t="shared" si="63"/>
        <v>2.4272763570016238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5.6843418860808015E-14</v>
      </c>
      <c r="BZ97" s="14">
        <f>BY97*VLOOKUP('Données projet'!$B$12,Paramètres!$A$1:$I$89,3,0)*VLOOKUP('Données projet'!$B$12,Paramètres!$A$1:$I$89,5,0)</f>
        <v>3.3992364478763198E-14</v>
      </c>
      <c r="CA97" s="14">
        <f t="shared" si="93"/>
        <v>5.790027782444094E-13</v>
      </c>
      <c r="CB97" s="22">
        <f t="shared" si="64"/>
        <v>1.0676332069095257E-12</v>
      </c>
      <c r="CC97" s="62">
        <f t="shared" si="65"/>
        <v>266.44024958407027</v>
      </c>
      <c r="CD97" s="62">
        <f ca="1">AVERAGE(OFFSET($CC$3,0,0,'Données projet'!$E$12+1,1))-AVERAGE(OFFSET($H$3,0,0,'Données projet'!$E$12+1,1))</f>
        <v>225.71928466161592</v>
      </c>
      <c r="CE97" s="62">
        <f t="shared" si="94"/>
        <v>385.98818770742025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30.797988592812548</v>
      </c>
      <c r="CL97" s="23">
        <f>EXP(-LN(2)/25)*CL96+(1-EXP(-LN(2)/25))/(LN(2)/25)*Calculateur!CG97*Calculateur!CI97*VLOOKUP('Données projet'!$B$12,Paramètres!$A$1:$I$89,3,0)*0.475*44/12</f>
        <v>0.56690418560093525</v>
      </c>
      <c r="CM97" s="23">
        <f>EXP(-LN(2)/2)*CM96+(1-EXP(-LN(2)/2))/(LN(2)/2)*CG97*CJ97*VLOOKUP('Données projet'!$B$12,Paramètres!$A$1:$I$89,3,0)*0.475*44/12</f>
        <v>2.5646729364270334E-7</v>
      </c>
      <c r="CN97" s="24">
        <f t="shared" si="66"/>
        <v>31.36489303488078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6</v>
      </c>
      <c r="CT97" s="13">
        <f>IF('Données projet'!$A$140&gt;35,CT96+CS97-DB96,IF(A97&lt;'Données projet'!$A$140,$CQ$205^A97,IF(A97='Données projet'!$A$140,'Données projet'!$B$140,CT96+CS97-DB96)))</f>
        <v>325.99999999999994</v>
      </c>
      <c r="CU97" s="18">
        <f>CT97*VLOOKUP('Données projet'!$B$13,Paramètres!$A$1:$I$89,3,0)*VLOOKUP('Données projet'!$B$13,Paramètres!$A$1:$I$89,5,0)</f>
        <v>294.96479999999997</v>
      </c>
      <c r="CV97" s="14">
        <f t="shared" si="95"/>
        <v>70.119854541045001</v>
      </c>
      <c r="CW97" s="22">
        <f t="shared" si="67"/>
        <v>635.85577332565333</v>
      </c>
      <c r="CX97" s="62">
        <f t="shared" si="68"/>
        <v>902.29602290972252</v>
      </c>
      <c r="CY97" s="62">
        <f ca="1">AVERAGE(OFFSET($CX$3,0,0,'Données projet'!$E$13+1,1))-AVERAGE(OFFSET($H$3,0,0,'Données projet'!$E$13+1,1))</f>
        <v>499.92116338695428</v>
      </c>
      <c r="CZ97" s="62">
        <f t="shared" si="96"/>
        <v>316.79403154855652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0.53124064799898674</v>
      </c>
      <c r="DH97" s="23">
        <f>EXP(-LN(2)/2)*DH96+(1-EXP(-LN(2)/2))/(LN(2)/2)*DB97*DE97*VLOOKUP('Données projet'!$B$13,Paramètres!$A$1:$I$89,3,0)*0.475*44/12</f>
        <v>6.8869686496170661E-10</v>
      </c>
      <c r="DI97" s="24">
        <f t="shared" si="69"/>
        <v>0.53124064868768361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135.66666666666666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211.70619219850786</v>
      </c>
      <c r="T98" s="62">
        <f t="shared" si="88"/>
        <v>426.883837098247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1.9895196601282805E-13</v>
      </c>
      <c r="AJ98" s="14">
        <f>AI98*VLOOKUP('Données projet'!$B$10,Paramètres!$A$1:$I$89,3,0)*VLOOKUP('Données projet'!$B$10,Paramètres!$A$1:$I$89,5,0)</f>
        <v>1.8001173884840681E-13</v>
      </c>
      <c r="AK98" s="14">
        <f t="shared" si="89"/>
        <v>2.5254331426407198E-12</v>
      </c>
      <c r="AL98" s="22">
        <f t="shared" si="58"/>
        <v>4.7119831685935622E-12</v>
      </c>
      <c r="AM98" s="62">
        <f t="shared" si="59"/>
        <v>266.90678446319561</v>
      </c>
      <c r="AN98" s="62">
        <f ca="1">AVERAGE(OFFSET($AM$3,0,0,'Données projet'!$E$10+1,1))-AVERAGE(OFFSET($H$3,0,0,'Données projet'!$E$10+1,1))</f>
        <v>327.07074355218322</v>
      </c>
      <c r="AO98" s="62">
        <f t="shared" si="90"/>
        <v>462.01668587029087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2.3012560190400362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2.3012560190400362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-1.1368683772161603E-13</v>
      </c>
      <c r="BE98" s="14">
        <f>BD98*VLOOKUP('Données projet'!$B$11,Paramètres!$A$1:$I$89,3,0)*VLOOKUP('Données projet'!$B$11,Paramètres!$A$1:$I$89,5,0)</f>
        <v>-9.9316821433603781E-14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378.51861272969165</v>
      </c>
      <c r="BJ98" s="62">
        <f t="shared" si="92"/>
        <v>387.42368617035459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2.360902353310705</v>
      </c>
      <c r="BR98" s="23">
        <f>EXP(-LN(2)/2)*BR97+(1-EXP(-LN(2)/2))/(LN(2)/2)*BL98*BO98*VLOOKUP('Données projet'!$B$11,Paramètres!$A$1:$I$89,3,0)*0.475*44/12</f>
        <v>2.9543221251230849E-9</v>
      </c>
      <c r="BS98" s="24">
        <f t="shared" si="63"/>
        <v>2.3609023562650271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5.6843418860808015E-14</v>
      </c>
      <c r="BZ98" s="14">
        <f>BY98*VLOOKUP('Données projet'!$B$12,Paramètres!$A$1:$I$89,3,0)*VLOOKUP('Données projet'!$B$12,Paramètres!$A$1:$I$89,5,0)</f>
        <v>3.3992364478763198E-14</v>
      </c>
      <c r="CA98" s="14">
        <f t="shared" si="93"/>
        <v>5.790027782444094E-13</v>
      </c>
      <c r="CB98" s="22">
        <f t="shared" si="64"/>
        <v>1.0676332069095257E-12</v>
      </c>
      <c r="CC98" s="62">
        <f t="shared" si="65"/>
        <v>266.90678446319197</v>
      </c>
      <c r="CD98" s="62">
        <f ca="1">AVERAGE(OFFSET($CC$3,0,0,'Données projet'!$E$12+1,1))-AVERAGE(OFFSET($H$3,0,0,'Données projet'!$E$12+1,1))</f>
        <v>225.71928466161592</v>
      </c>
      <c r="CE98" s="62">
        <f t="shared" si="94"/>
        <v>385.98818770742025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30.194058821425678</v>
      </c>
      <c r="CL98" s="23">
        <f>EXP(-LN(2)/25)*CL97+(1-EXP(-LN(2)/25))/(LN(2)/25)*Calculateur!CG98*Calculateur!CI98*VLOOKUP('Données projet'!$B$12,Paramètres!$A$1:$I$89,3,0)*0.475*44/12</f>
        <v>0.55140216083348226</v>
      </c>
      <c r="CM98" s="23">
        <f>EXP(-LN(2)/2)*CM97+(1-EXP(-LN(2)/2))/(LN(2)/2)*CG98*CJ98*VLOOKUP('Données projet'!$B$12,Paramètres!$A$1:$I$89,3,0)*0.475*44/12</f>
        <v>1.8134976248731706E-7</v>
      </c>
      <c r="CN98" s="24">
        <f t="shared" si="66"/>
        <v>30.745461163608923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332</v>
      </c>
      <c r="CR98" s="13">
        <f>VLOOKUP(A98,'Données projet'!$A$139:$I$159,9,0)</f>
        <v>6</v>
      </c>
      <c r="CS98" s="13">
        <f t="array" ref="CS98">INDEX(CR:CR,MIN(IF(ISNUMBER(CR98:CR294),ROW(CR98:CR294),"")))</f>
        <v>6</v>
      </c>
      <c r="CT98" s="13">
        <f>IF('Données projet'!$A$140&gt;35,CT97+CS98-DB97,IF(A98&lt;'Données projet'!$A$140,$CQ$205^A98,IF(A98='Données projet'!$A$140,'Données projet'!$B$140,CT97+CS98-DB97)))</f>
        <v>331.99999999999994</v>
      </c>
      <c r="CU98" s="18">
        <f>CT98*VLOOKUP('Données projet'!$B$13,Paramètres!$A$1:$I$89,3,0)*VLOOKUP('Données projet'!$B$13,Paramètres!$A$1:$I$89,5,0)</f>
        <v>300.39359999999994</v>
      </c>
      <c r="CV98" s="14">
        <f t="shared" si="95"/>
        <v>71.258970856492667</v>
      </c>
      <c r="CW98" s="22">
        <f t="shared" si="67"/>
        <v>647.29489424172459</v>
      </c>
      <c r="CX98" s="62">
        <f t="shared" si="68"/>
        <v>914.20167870491548</v>
      </c>
      <c r="CY98" s="62">
        <f ca="1">AVERAGE(OFFSET($CX$3,0,0,'Données projet'!$E$13+1,1))-AVERAGE(OFFSET($H$3,0,0,'Données projet'!$E$13+1,1))</f>
        <v>499.92116338695428</v>
      </c>
      <c r="CZ98" s="62">
        <f t="shared" si="96"/>
        <v>316.79403154855652</v>
      </c>
      <c r="DA98" s="16">
        <f>IF(ISNA(VLOOKUP(A98,'Données projet'!$A$139:$I$159,3,0)),0,VLOOKUP(A98,'Données projet'!$A$139:$I$159,3,0))</f>
        <v>16</v>
      </c>
      <c r="DB98" s="16">
        <f>IF(ISNA(VLOOKUP(A98,'Données projet'!$A$139:$I$159,4,0)),0,VLOOKUP(A98,'Données projet'!$A$139:$I$159,4,0))</f>
        <v>28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0.51671384454272296</v>
      </c>
      <c r="DH98" s="23">
        <f>EXP(-LN(2)/2)*DH97+(1-EXP(-LN(2)/2))/(LN(2)/2)*DB98*DE98*VLOOKUP('Données projet'!$B$13,Paramètres!$A$1:$I$89,3,0)*0.475*44/12</f>
        <v>4.8698222339633874E-10</v>
      </c>
      <c r="DI98" s="24">
        <f t="shared" si="69"/>
        <v>0.51671384502970519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135.66666666666666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211.70619219850786</v>
      </c>
      <c r="T99" s="62">
        <f t="shared" si="88"/>
        <v>426.883837098247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1.9895196601282805E-13</v>
      </c>
      <c r="AJ99" s="14">
        <f>AI99*VLOOKUP('Données projet'!$B$10,Paramètres!$A$1:$I$89,3,0)*VLOOKUP('Données projet'!$B$10,Paramètres!$A$1:$I$89,5,0)</f>
        <v>1.8001173884840681E-13</v>
      </c>
      <c r="AK99" s="14">
        <f t="shared" si="89"/>
        <v>2.5254331426407198E-12</v>
      </c>
      <c r="AL99" s="22">
        <f t="shared" si="58"/>
        <v>4.7119831685935622E-12</v>
      </c>
      <c r="AM99" s="62">
        <f t="shared" si="59"/>
        <v>267.36522600518026</v>
      </c>
      <c r="AN99" s="62">
        <f ca="1">AVERAGE(OFFSET($AM$3,0,0,'Données projet'!$E$10+1,1))-AVERAGE(OFFSET($H$3,0,0,'Données projet'!$E$10+1,1))</f>
        <v>327.07074355218322</v>
      </c>
      <c r="AO99" s="62">
        <f t="shared" si="90"/>
        <v>462.01668587029087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2.256129792134236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2.256129792134236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-1.1368683772161603E-13</v>
      </c>
      <c r="BE99" s="14">
        <f>BD99*VLOOKUP('Données projet'!$B$11,Paramètres!$A$1:$I$89,3,0)*VLOOKUP('Données projet'!$B$11,Paramètres!$A$1:$I$89,5,0)</f>
        <v>-9.9316821433603781E-14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378.51861272969165</v>
      </c>
      <c r="BJ99" s="62">
        <f t="shared" si="92"/>
        <v>387.42368617035459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2.2963433543049647</v>
      </c>
      <c r="BR99" s="23">
        <f>EXP(-LN(2)/2)*BR98+(1-EXP(-LN(2)/2))/(LN(2)/2)*BL99*BO99*VLOOKUP('Données projet'!$B$11,Paramètres!$A$1:$I$89,3,0)*0.475*44/12</f>
        <v>2.0890212084839853E-9</v>
      </c>
      <c r="BS99" s="24">
        <f t="shared" si="63"/>
        <v>2.2963433563939861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5.6843418860808015E-14</v>
      </c>
      <c r="BZ99" s="14">
        <f>BY99*VLOOKUP('Données projet'!$B$12,Paramètres!$A$1:$I$89,3,0)*VLOOKUP('Données projet'!$B$12,Paramètres!$A$1:$I$89,5,0)</f>
        <v>3.3992364478763198E-14</v>
      </c>
      <c r="CA99" s="14">
        <f t="shared" si="93"/>
        <v>5.790027782444094E-13</v>
      </c>
      <c r="CB99" s="22">
        <f t="shared" si="64"/>
        <v>1.0676332069095257E-12</v>
      </c>
      <c r="CC99" s="62">
        <f t="shared" si="65"/>
        <v>267.36522600517662</v>
      </c>
      <c r="CD99" s="62">
        <f ca="1">AVERAGE(OFFSET($CC$3,0,0,'Données projet'!$E$12+1,1))-AVERAGE(OFFSET($H$3,0,0,'Données projet'!$E$12+1,1))</f>
        <v>225.71928466161592</v>
      </c>
      <c r="CE99" s="62">
        <f t="shared" si="94"/>
        <v>385.98818770742025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29.601971744494918</v>
      </c>
      <c r="CL99" s="23">
        <f>EXP(-LN(2)/25)*CL98+(1-EXP(-LN(2)/25))/(LN(2)/25)*Calculateur!CG99*Calculateur!CI99*VLOOKUP('Données projet'!$B$12,Paramètres!$A$1:$I$89,3,0)*0.475*44/12</f>
        <v>0.53632403974851128</v>
      </c>
      <c r="CM99" s="23">
        <f>EXP(-LN(2)/2)*CM98+(1-EXP(-LN(2)/2))/(LN(2)/2)*CG99*CJ99*VLOOKUP('Données projet'!$B$12,Paramètres!$A$1:$I$89,3,0)*0.475*44/12</f>
        <v>1.2823364682135167E-7</v>
      </c>
      <c r="CN99" s="24">
        <f t="shared" si="66"/>
        <v>30.138295912477076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5.8</v>
      </c>
      <c r="CT99" s="13">
        <f>IF('Données projet'!$A$140&gt;35,CT98+CS99-DB98,IF(A99&lt;'Données projet'!$A$140,$CQ$205^A99,IF(A99='Données projet'!$A$140,'Données projet'!$B$140,CT98+CS99-DB98)))</f>
        <v>309.79999999999995</v>
      </c>
      <c r="CU99" s="18">
        <f>CT99*VLOOKUP('Données projet'!$B$13,Paramètres!$A$1:$I$89,3,0)*VLOOKUP('Données projet'!$B$13,Paramètres!$A$1:$I$89,5,0)</f>
        <v>280.30703999999997</v>
      </c>
      <c r="CV99" s="14">
        <f t="shared" si="95"/>
        <v>67.03189112007388</v>
      </c>
      <c r="CW99" s="22">
        <f t="shared" si="67"/>
        <v>604.94863836746197</v>
      </c>
      <c r="CX99" s="62">
        <f t="shared" si="68"/>
        <v>872.31386437263745</v>
      </c>
      <c r="CY99" s="62">
        <f ca="1">AVERAGE(OFFSET($CX$3,0,0,'Données projet'!$E$13+1,1))-AVERAGE(OFFSET($H$3,0,0,'Données projet'!$E$13+1,1))</f>
        <v>499.92116338695428</v>
      </c>
      <c r="CZ99" s="62">
        <f t="shared" si="96"/>
        <v>316.79403154855652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0.50258427729090205</v>
      </c>
      <c r="DH99" s="23">
        <f>EXP(-LN(2)/2)*DH98+(1-EXP(-LN(2)/2))/(LN(2)/2)*DB99*DE99*VLOOKUP('Données projet'!$B$13,Paramètres!$A$1:$I$89,3,0)*0.475*44/12</f>
        <v>3.443484324808533E-10</v>
      </c>
      <c r="DI99" s="24">
        <f t="shared" si="69"/>
        <v>0.50258427763525049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135.66666666666666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211.70619219850786</v>
      </c>
      <c r="T100" s="62">
        <f t="shared" si="88"/>
        <v>426.883837098247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1.9895196601282805E-13</v>
      </c>
      <c r="AJ100" s="14">
        <f>AI100*VLOOKUP('Données projet'!$B$10,Paramètres!$A$1:$I$89,3,0)*VLOOKUP('Données projet'!$B$10,Paramètres!$A$1:$I$89,5,0)</f>
        <v>1.8001173884840681E-13</v>
      </c>
      <c r="AK100" s="14">
        <f t="shared" si="89"/>
        <v>2.5254331426407198E-12</v>
      </c>
      <c r="AL100" s="22">
        <f t="shared" si="58"/>
        <v>4.7119831685935622E-12</v>
      </c>
      <c r="AM100" s="62">
        <f t="shared" si="59"/>
        <v>267.81571461133325</v>
      </c>
      <c r="AN100" s="62">
        <f ca="1">AVERAGE(OFFSET($AM$3,0,0,'Données projet'!$E$10+1,1))-AVERAGE(OFFSET($H$3,0,0,'Données projet'!$E$10+1,1))</f>
        <v>327.07074355218322</v>
      </c>
      <c r="AO100" s="62">
        <f t="shared" si="90"/>
        <v>462.01668587029087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2.2118884630137781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2.2118884630137781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-1.1368683772161603E-13</v>
      </c>
      <c r="BE100" s="14">
        <f>BD100*VLOOKUP('Données projet'!$B$11,Paramètres!$A$1:$I$89,3,0)*VLOOKUP('Données projet'!$B$11,Paramètres!$A$1:$I$89,5,0)</f>
        <v>-9.9316821433603781E-14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378.51861272969165</v>
      </c>
      <c r="BJ100" s="62">
        <f t="shared" si="92"/>
        <v>387.42368617035459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2.2335497245220468</v>
      </c>
      <c r="BR100" s="23">
        <f>EXP(-LN(2)/2)*BR99+(1-EXP(-LN(2)/2))/(LN(2)/2)*BL100*BO100*VLOOKUP('Données projet'!$B$11,Paramètres!$A$1:$I$89,3,0)*0.475*44/12</f>
        <v>1.4771610625615425E-9</v>
      </c>
      <c r="BS100" s="24">
        <f t="shared" si="63"/>
        <v>2.2335497259992079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5.6843418860808015E-14</v>
      </c>
      <c r="BZ100" s="14">
        <f>BY100*VLOOKUP('Données projet'!$B$12,Paramètres!$A$1:$I$89,3,0)*VLOOKUP('Données projet'!$B$12,Paramètres!$A$1:$I$89,5,0)</f>
        <v>3.3992364478763198E-14</v>
      </c>
      <c r="CA100" s="14">
        <f t="shared" si="93"/>
        <v>5.790027782444094E-13</v>
      </c>
      <c r="CB100" s="22">
        <f t="shared" si="64"/>
        <v>1.0676332069095257E-12</v>
      </c>
      <c r="CC100" s="62">
        <f t="shared" si="65"/>
        <v>267.81571461132961</v>
      </c>
      <c r="CD100" s="62">
        <f ca="1">AVERAGE(OFFSET($CC$3,0,0,'Données projet'!$E$12+1,1))-AVERAGE(OFFSET($H$3,0,0,'Données projet'!$E$12+1,1))</f>
        <v>225.71928466161592</v>
      </c>
      <c r="CE100" s="62">
        <f t="shared" si="94"/>
        <v>385.98818770742025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29.021495134005313</v>
      </c>
      <c r="CL100" s="23">
        <f>EXP(-LN(2)/25)*CL99+(1-EXP(-LN(2)/25))/(LN(2)/25)*Calculateur!CG100*Calculateur!CI100*VLOOKUP('Données projet'!$B$12,Paramètres!$A$1:$I$89,3,0)*0.475*44/12</f>
        <v>0.52165823067753281</v>
      </c>
      <c r="CM100" s="23">
        <f>EXP(-LN(2)/2)*CM99+(1-EXP(-LN(2)/2))/(LN(2)/2)*CG100*CJ100*VLOOKUP('Données projet'!$B$12,Paramètres!$A$1:$I$89,3,0)*0.475*44/12</f>
        <v>9.0674881243658531E-8</v>
      </c>
      <c r="CN100" s="24">
        <f t="shared" si="66"/>
        <v>29.543153455357729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5.8</v>
      </c>
      <c r="CT100" s="13">
        <f>IF('Données projet'!$A$140&gt;35,CT99+CS100-DB99,IF(A100&lt;'Données projet'!$A$140,$CQ$205^A100,IF(A100='Données projet'!$A$140,'Données projet'!$B$140,CT99+CS100-DB99)))</f>
        <v>315.59999999999997</v>
      </c>
      <c r="CU100" s="18">
        <f>CT100*VLOOKUP('Données projet'!$B$13,Paramètres!$A$1:$I$89,3,0)*VLOOKUP('Données projet'!$B$13,Paramètres!$A$1:$I$89,5,0)</f>
        <v>285.55487999999997</v>
      </c>
      <c r="CV100" s="14">
        <f t="shared" si="95"/>
        <v>68.139569194998018</v>
      </c>
      <c r="CW100" s="22">
        <f t="shared" si="67"/>
        <v>616.01783234795482</v>
      </c>
      <c r="CX100" s="62">
        <f t="shared" si="68"/>
        <v>883.83354695928335</v>
      </c>
      <c r="CY100" s="62">
        <f ca="1">AVERAGE(OFFSET($CX$3,0,0,'Données projet'!$E$13+1,1))-AVERAGE(OFFSET($H$3,0,0,'Données projet'!$E$13+1,1))</f>
        <v>499.92116338695428</v>
      </c>
      <c r="CZ100" s="62">
        <f t="shared" si="96"/>
        <v>316.79403154855652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0.48884108379862384</v>
      </c>
      <c r="DH100" s="23">
        <f>EXP(-LN(2)/2)*DH99+(1-EXP(-LN(2)/2))/(LN(2)/2)*DB100*DE100*VLOOKUP('Données projet'!$B$13,Paramètres!$A$1:$I$89,3,0)*0.475*44/12</f>
        <v>2.4349111169816937E-10</v>
      </c>
      <c r="DI100" s="24">
        <f t="shared" si="69"/>
        <v>0.48884108404211496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135.66666666666666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211.70619219850786</v>
      </c>
      <c r="T101" s="62">
        <f t="shared" si="88"/>
        <v>426.883837098247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1.9895196601282805E-13</v>
      </c>
      <c r="AJ101" s="14">
        <f>AI101*VLOOKUP('Données projet'!$B$10,Paramètres!$A$1:$I$89,3,0)*VLOOKUP('Données projet'!$B$10,Paramètres!$A$1:$I$89,5,0)</f>
        <v>1.8001173884840681E-13</v>
      </c>
      <c r="AK101" s="14">
        <f t="shared" si="89"/>
        <v>2.5254331426407198E-12</v>
      </c>
      <c r="AL101" s="22">
        <f t="shared" si="58"/>
        <v>4.7119831685935622E-12</v>
      </c>
      <c r="AM101" s="62">
        <f t="shared" si="59"/>
        <v>268.25838824731107</v>
      </c>
      <c r="AN101" s="62">
        <f ca="1">AVERAGE(OFFSET($AM$3,0,0,'Données projet'!$E$10+1,1))-AVERAGE(OFFSET($H$3,0,0,'Données projet'!$E$10+1,1))</f>
        <v>327.07074355218322</v>
      </c>
      <c r="AO101" s="62">
        <f t="shared" si="90"/>
        <v>462.01668587029087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2.168514679372826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2.168514679372826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-1.1368683772161603E-13</v>
      </c>
      <c r="BE101" s="14">
        <f>BD101*VLOOKUP('Données projet'!$B$11,Paramètres!$A$1:$I$89,3,0)*VLOOKUP('Données projet'!$B$11,Paramètres!$A$1:$I$89,5,0)</f>
        <v>-9.9316821433603781E-14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378.51861272969165</v>
      </c>
      <c r="BJ101" s="62">
        <f t="shared" si="92"/>
        <v>387.42368617035459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2.1724731898477163</v>
      </c>
      <c r="BR101" s="23">
        <f>EXP(-LN(2)/2)*BR100+(1-EXP(-LN(2)/2))/(LN(2)/2)*BL101*BO101*VLOOKUP('Données projet'!$B$11,Paramètres!$A$1:$I$89,3,0)*0.475*44/12</f>
        <v>1.0445106042419926E-9</v>
      </c>
      <c r="BS101" s="24">
        <f t="shared" si="63"/>
        <v>2.172473190892227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5.6843418860808015E-14</v>
      </c>
      <c r="BZ101" s="14">
        <f>BY101*VLOOKUP('Données projet'!$B$12,Paramètres!$A$1:$I$89,3,0)*VLOOKUP('Données projet'!$B$12,Paramètres!$A$1:$I$89,5,0)</f>
        <v>3.3992364478763198E-14</v>
      </c>
      <c r="CA101" s="14">
        <f t="shared" si="93"/>
        <v>5.790027782444094E-13</v>
      </c>
      <c r="CB101" s="22">
        <f t="shared" si="64"/>
        <v>1.0676332069095257E-12</v>
      </c>
      <c r="CC101" s="62">
        <f t="shared" si="65"/>
        <v>268.25838824730744</v>
      </c>
      <c r="CD101" s="62">
        <f ca="1">AVERAGE(OFFSET($CC$3,0,0,'Données projet'!$E$12+1,1))-AVERAGE(OFFSET($H$3,0,0,'Données projet'!$E$12+1,1))</f>
        <v>225.71928466161592</v>
      </c>
      <c r="CE101" s="62">
        <f t="shared" si="94"/>
        <v>385.98818770742025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28.452401315791636</v>
      </c>
      <c r="CL101" s="23">
        <f>EXP(-LN(2)/25)*CL100+(1-EXP(-LN(2)/25))/(LN(2)/25)*Calculateur!CG101*Calculateur!CI101*VLOOKUP('Données projet'!$B$12,Paramètres!$A$1:$I$89,3,0)*0.475*44/12</f>
        <v>0.50739345892684162</v>
      </c>
      <c r="CM101" s="23">
        <f>EXP(-LN(2)/2)*CM100+(1-EXP(-LN(2)/2))/(LN(2)/2)*CG101*CJ101*VLOOKUP('Données projet'!$B$12,Paramètres!$A$1:$I$89,3,0)*0.475*44/12</f>
        <v>6.4116823410675835E-8</v>
      </c>
      <c r="CN101" s="24">
        <f t="shared" si="66"/>
        <v>28.9597948388353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5.8</v>
      </c>
      <c r="CT101" s="13">
        <f>IF('Données projet'!$A$140&gt;35,CT100+CS101-DB100,IF(A101&lt;'Données projet'!$A$140,$CQ$205^A101,IF(A101='Données projet'!$A$140,'Données projet'!$B$140,CT100+CS101-DB100)))</f>
        <v>321.39999999999998</v>
      </c>
      <c r="CU101" s="18">
        <f>CT101*VLOOKUP('Données projet'!$B$13,Paramètres!$A$1:$I$89,3,0)*VLOOKUP('Données projet'!$B$13,Paramètres!$A$1:$I$89,5,0)</f>
        <v>290.80271999999997</v>
      </c>
      <c r="CV101" s="14">
        <f t="shared" si="95"/>
        <v>69.244880157128961</v>
      </c>
      <c r="CW101" s="22">
        <f t="shared" si="67"/>
        <v>627.08290360699959</v>
      </c>
      <c r="CX101" s="62">
        <f t="shared" si="68"/>
        <v>895.34129185430595</v>
      </c>
      <c r="CY101" s="62">
        <f ca="1">AVERAGE(OFFSET($CX$3,0,0,'Données projet'!$E$13+1,1))-AVERAGE(OFFSET($H$3,0,0,'Données projet'!$E$13+1,1))</f>
        <v>499.92116338695428</v>
      </c>
      <c r="CZ101" s="62">
        <f t="shared" si="96"/>
        <v>316.79403154855652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0.47547369865511513</v>
      </c>
      <c r="DH101" s="23">
        <f>EXP(-LN(2)/2)*DH100+(1-EXP(-LN(2)/2))/(LN(2)/2)*DB101*DE101*VLOOKUP('Données projet'!$B$13,Paramètres!$A$1:$I$89,3,0)*0.475*44/12</f>
        <v>1.7217421624042665E-10</v>
      </c>
      <c r="DI101" s="24">
        <f t="shared" si="69"/>
        <v>0.47547369882728935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135.66666666666666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211.70619219850786</v>
      </c>
      <c r="T102" s="62">
        <f t="shared" si="88"/>
        <v>426.883837098247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1.9895196601282805E-13</v>
      </c>
      <c r="AJ102" s="14">
        <f>AI102*VLOOKUP('Données projet'!$B$10,Paramètres!$A$1:$I$89,3,0)*VLOOKUP('Données projet'!$B$10,Paramètres!$A$1:$I$89,5,0)</f>
        <v>1.8001173884840681E-13</v>
      </c>
      <c r="AK102" s="14">
        <f t="shared" si="89"/>
        <v>2.5254331426407198E-12</v>
      </c>
      <c r="AL102" s="22">
        <f t="shared" si="58"/>
        <v>4.7119831685935622E-12</v>
      </c>
      <c r="AM102" s="62">
        <f t="shared" si="59"/>
        <v>268.69338248537468</v>
      </c>
      <c r="AN102" s="62">
        <f ca="1">AVERAGE(OFFSET($AM$3,0,0,'Données projet'!$E$10+1,1))-AVERAGE(OFFSET($H$3,0,0,'Données projet'!$E$10+1,1))</f>
        <v>327.07074355218322</v>
      </c>
      <c r="AO102" s="62">
        <f t="shared" si="90"/>
        <v>462.01668587029087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2.125991429173677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2.125991429173677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-1.1368683772161603E-13</v>
      </c>
      <c r="BE102" s="14">
        <f>BD102*VLOOKUP('Données projet'!$B$11,Paramètres!$A$1:$I$89,3,0)*VLOOKUP('Données projet'!$B$11,Paramètres!$A$1:$I$89,5,0)</f>
        <v>-9.9316821433603781E-14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378.51861272969165</v>
      </c>
      <c r="BJ102" s="62">
        <f t="shared" si="92"/>
        <v>387.42368617035459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2.1130667962259309</v>
      </c>
      <c r="BR102" s="23">
        <f>EXP(-LN(2)/2)*BR101+(1-EXP(-LN(2)/2))/(LN(2)/2)*BL102*BO102*VLOOKUP('Données projet'!$B$11,Paramètres!$A$1:$I$89,3,0)*0.475*44/12</f>
        <v>7.3858053128077123E-10</v>
      </c>
      <c r="BS102" s="24">
        <f t="shared" si="63"/>
        <v>2.1130667969645116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5.6843418860808015E-14</v>
      </c>
      <c r="BZ102" s="14">
        <f>BY102*VLOOKUP('Données projet'!$B$12,Paramètres!$A$1:$I$89,3,0)*VLOOKUP('Données projet'!$B$12,Paramètres!$A$1:$I$89,5,0)</f>
        <v>3.3992364478763198E-14</v>
      </c>
      <c r="CA102" s="14">
        <f t="shared" si="93"/>
        <v>5.790027782444094E-13</v>
      </c>
      <c r="CB102" s="22">
        <f t="shared" si="64"/>
        <v>1.0676332069095257E-12</v>
      </c>
      <c r="CC102" s="62">
        <f t="shared" si="65"/>
        <v>268.69338248537105</v>
      </c>
      <c r="CD102" s="62">
        <f ca="1">AVERAGE(OFFSET($CC$3,0,0,'Données projet'!$E$12+1,1))-AVERAGE(OFFSET($H$3,0,0,'Données projet'!$E$12+1,1))</f>
        <v>225.71928466161592</v>
      </c>
      <c r="CE102" s="62">
        <f t="shared" si="94"/>
        <v>385.98818770742025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27.894467080240176</v>
      </c>
      <c r="CL102" s="23">
        <f>EXP(-LN(2)/25)*CL101+(1-EXP(-LN(2)/25))/(LN(2)/25)*Calculateur!CG102*Calculateur!CI102*VLOOKUP('Données projet'!$B$12,Paramètres!$A$1:$I$89,3,0)*0.475*44/12</f>
        <v>0.49351875810982482</v>
      </c>
      <c r="CM102" s="23">
        <f>EXP(-LN(2)/2)*CM101+(1-EXP(-LN(2)/2))/(LN(2)/2)*CG102*CJ102*VLOOKUP('Données projet'!$B$12,Paramètres!$A$1:$I$89,3,0)*0.475*44/12</f>
        <v>4.5337440621829266E-8</v>
      </c>
      <c r="CN102" s="24">
        <f t="shared" si="66"/>
        <v>28.387985883687442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5.8</v>
      </c>
      <c r="CT102" s="13">
        <f>IF('Données projet'!$A$140&gt;35,CT101+CS102-DB101,IF(A102&lt;'Données projet'!$A$140,$CQ$205^A102,IF(A102='Données projet'!$A$140,'Données projet'!$B$140,CT101+CS102-DB101)))</f>
        <v>327.2</v>
      </c>
      <c r="CU102" s="18">
        <f>CT102*VLOOKUP('Données projet'!$B$13,Paramètres!$A$1:$I$89,3,0)*VLOOKUP('Données projet'!$B$13,Paramètres!$A$1:$I$89,5,0)</f>
        <v>296.05055999999996</v>
      </c>
      <c r="CV102" s="14">
        <f t="shared" si="95"/>
        <v>70.34787165092402</v>
      </c>
      <c r="CW102" s="22">
        <f t="shared" si="67"/>
        <v>638.14393512535923</v>
      </c>
      <c r="CX102" s="62">
        <f t="shared" si="68"/>
        <v>906.8373176107292</v>
      </c>
      <c r="CY102" s="62">
        <f ca="1">AVERAGE(OFFSET($CX$3,0,0,'Données projet'!$E$13+1,1))-AVERAGE(OFFSET($H$3,0,0,'Données projet'!$E$13+1,1))</f>
        <v>499.92116338695428</v>
      </c>
      <c r="CZ102" s="62">
        <f t="shared" si="96"/>
        <v>316.79403154855652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0.46247184536131591</v>
      </c>
      <c r="DH102" s="23">
        <f>EXP(-LN(2)/2)*DH101+(1-EXP(-LN(2)/2))/(LN(2)/2)*DB102*DE102*VLOOKUP('Données projet'!$B$13,Paramètres!$A$1:$I$89,3,0)*0.475*44/12</f>
        <v>1.2174555584908468E-10</v>
      </c>
      <c r="DI102" s="24">
        <f t="shared" si="69"/>
        <v>0.46247184548306147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135.66666666666666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211.70619219850786</v>
      </c>
      <c r="T103" s="62">
        <f t="shared" si="88"/>
        <v>426.883837098247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1.9895196601282805E-13</v>
      </c>
      <c r="AJ103" s="14">
        <f>AI103*VLOOKUP('Données projet'!$B$10,Paramètres!$A$1:$I$89,3,0)*VLOOKUP('Données projet'!$B$10,Paramètres!$A$1:$I$89,5,0)</f>
        <v>1.8001173884840681E-13</v>
      </c>
      <c r="AK103" s="14">
        <f t="shared" si="89"/>
        <v>2.5254331426407198E-12</v>
      </c>
      <c r="AL103" s="22">
        <f t="shared" si="58"/>
        <v>4.7119831685935622E-12</v>
      </c>
      <c r="AM103" s="62">
        <f t="shared" si="59"/>
        <v>269.12083054590937</v>
      </c>
      <c r="AN103" s="62">
        <f ca="1">AVERAGE(OFFSET($AM$3,0,0,'Données projet'!$E$10+1,1))-AVERAGE(OFFSET($H$3,0,0,'Données projet'!$E$10+1,1))</f>
        <v>327.07074355218322</v>
      </c>
      <c r="AO103" s="62">
        <f t="shared" si="90"/>
        <v>462.01668587029087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2.0843020339743119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2.0843020339743119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-1.1368683772161603E-13</v>
      </c>
      <c r="BE103" s="14">
        <f>BD103*VLOOKUP('Données projet'!$B$11,Paramètres!$A$1:$I$89,3,0)*VLOOKUP('Données projet'!$B$11,Paramètres!$A$1:$I$89,5,0)</f>
        <v>-9.9316821433603781E-14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378.51861272969165</v>
      </c>
      <c r="BJ103" s="62">
        <f t="shared" si="92"/>
        <v>387.42368617035459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2.0552848735617792</v>
      </c>
      <c r="BR103" s="23">
        <f>EXP(-LN(2)/2)*BR102+(1-EXP(-LN(2)/2))/(LN(2)/2)*BL103*BO103*VLOOKUP('Données projet'!$B$11,Paramètres!$A$1:$I$89,3,0)*0.475*44/12</f>
        <v>5.2225530212099631E-10</v>
      </c>
      <c r="BS103" s="24">
        <f t="shared" si="63"/>
        <v>2.0552848740840344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5.6843418860808015E-14</v>
      </c>
      <c r="BZ103" s="14">
        <f>BY103*VLOOKUP('Données projet'!$B$12,Paramètres!$A$1:$I$89,3,0)*VLOOKUP('Données projet'!$B$12,Paramètres!$A$1:$I$89,5,0)</f>
        <v>3.3992364478763198E-14</v>
      </c>
      <c r="CA103" s="14">
        <f t="shared" si="93"/>
        <v>5.790027782444094E-13</v>
      </c>
      <c r="CB103" s="22">
        <f t="shared" si="64"/>
        <v>1.0676332069095257E-12</v>
      </c>
      <c r="CC103" s="62">
        <f t="shared" si="65"/>
        <v>269.12083054590573</v>
      </c>
      <c r="CD103" s="62">
        <f ca="1">AVERAGE(OFFSET($CC$3,0,0,'Données projet'!$E$12+1,1))-AVERAGE(OFFSET($H$3,0,0,'Données projet'!$E$12+1,1))</f>
        <v>225.71928466161592</v>
      </c>
      <c r="CE103" s="62">
        <f t="shared" si="94"/>
        <v>385.98818770742025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27.347473594741597</v>
      </c>
      <c r="CL103" s="23">
        <f>EXP(-LN(2)/25)*CL102+(1-EXP(-LN(2)/25))/(LN(2)/25)*Calculateur!CG103*Calculateur!CI103*VLOOKUP('Données projet'!$B$12,Paramètres!$A$1:$I$89,3,0)*0.475*44/12</f>
        <v>0.48002346171628812</v>
      </c>
      <c r="CM103" s="23">
        <f>EXP(-LN(2)/2)*CM102+(1-EXP(-LN(2)/2))/(LN(2)/2)*CG103*CJ103*VLOOKUP('Données projet'!$B$12,Paramètres!$A$1:$I$89,3,0)*0.475*44/12</f>
        <v>3.2058411705337918E-8</v>
      </c>
      <c r="CN103" s="24">
        <f t="shared" si="66"/>
        <v>27.827497088516299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333</v>
      </c>
      <c r="CR103" s="13">
        <f>VLOOKUP(A103,'Données projet'!$A$139:$I$159,9,0)</f>
        <v>5.8</v>
      </c>
      <c r="CS103" s="13">
        <f t="array" ref="CS103">INDEX(CR:CR,MIN(IF(ISNUMBER(CR103:CR299),ROW(CR103:CR299),"")))</f>
        <v>5.8</v>
      </c>
      <c r="CT103" s="13">
        <f>IF('Données projet'!$A$140&gt;35,CT102+CS103-DB102,IF(A103&lt;'Données projet'!$A$140,$CQ$205^A103,IF(A103='Données projet'!$A$140,'Données projet'!$B$140,CT102+CS103-DB102)))</f>
        <v>333</v>
      </c>
      <c r="CU103" s="18">
        <f>CT103*VLOOKUP('Données projet'!$B$13,Paramètres!$A$1:$I$89,3,0)*VLOOKUP('Données projet'!$B$13,Paramètres!$A$1:$I$89,5,0)</f>
        <v>301.29840000000002</v>
      </c>
      <c r="CV103" s="14">
        <f t="shared" si="95"/>
        <v>71.448589534990518</v>
      </c>
      <c r="CW103" s="22">
        <f t="shared" si="67"/>
        <v>649.2010067734418</v>
      </c>
      <c r="CX103" s="62">
        <f t="shared" si="68"/>
        <v>918.32183731934651</v>
      </c>
      <c r="CY103" s="62">
        <f ca="1">AVERAGE(OFFSET($CX$3,0,0,'Données projet'!$E$13+1,1))-AVERAGE(OFFSET($H$3,0,0,'Données projet'!$E$13+1,1))</f>
        <v>499.92116338695428</v>
      </c>
      <c r="CZ103" s="62">
        <f t="shared" si="96"/>
        <v>316.79403154855652</v>
      </c>
      <c r="DA103" s="16">
        <f>IF(ISNA(VLOOKUP(A103,'Données projet'!$A$139:$I$159,3,0)),0,VLOOKUP(A103,'Données projet'!$A$139:$I$159,3,0))</f>
        <v>17</v>
      </c>
      <c r="DB103" s="16">
        <f>IF(ISNA(VLOOKUP(A103,'Données projet'!$A$139:$I$159,4,0)),0,VLOOKUP(A103,'Données projet'!$A$139:$I$159,4,0))</f>
        <v>27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0.44982552842957335</v>
      </c>
      <c r="DH103" s="23">
        <f>EXP(-LN(2)/2)*DH102+(1-EXP(-LN(2)/2))/(LN(2)/2)*DB103*DE103*VLOOKUP('Données projet'!$B$13,Paramètres!$A$1:$I$89,3,0)*0.475*44/12</f>
        <v>8.6087108120213326E-11</v>
      </c>
      <c r="DI103" s="24">
        <f t="shared" si="69"/>
        <v>0.44982552851566043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135.66666666666666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211.70619219850786</v>
      </c>
      <c r="T104" s="62">
        <f t="shared" si="88"/>
        <v>426.883837098247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1.9895196601282805E-13</v>
      </c>
      <c r="AJ104" s="14">
        <f>AI104*VLOOKUP('Données projet'!$B$10,Paramètres!$A$1:$I$89,3,0)*VLOOKUP('Données projet'!$B$10,Paramètres!$A$1:$I$89,5,0)</f>
        <v>1.8001173884840681E-13</v>
      </c>
      <c r="AK104" s="14">
        <f t="shared" si="89"/>
        <v>2.5254331426407198E-12</v>
      </c>
      <c r="AL104" s="22">
        <f t="shared" si="58"/>
        <v>4.7119831685935622E-12</v>
      </c>
      <c r="AM104" s="62">
        <f t="shared" si="59"/>
        <v>269.54086333822443</v>
      </c>
      <c r="AN104" s="62">
        <f ca="1">AVERAGE(OFFSET($AM$3,0,0,'Données projet'!$E$10+1,1))-AVERAGE(OFFSET($H$3,0,0,'Données projet'!$E$10+1,1))</f>
        <v>327.07074355218322</v>
      </c>
      <c r="AO104" s="62">
        <f t="shared" si="90"/>
        <v>462.01668587029087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2.0434301423867862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2.0434301423867862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-9.9316821433603781E-14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378.51861272969165</v>
      </c>
      <c r="BJ104" s="62">
        <f t="shared" si="92"/>
        <v>387.42368617035459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1.9990830006114984</v>
      </c>
      <c r="BR104" s="23">
        <f>EXP(-LN(2)/2)*BR103+(1-EXP(-LN(2)/2))/(LN(2)/2)*BL104*BO104*VLOOKUP('Données projet'!$B$11,Paramètres!$A$1:$I$89,3,0)*0.475*44/12</f>
        <v>3.6929026564038562E-10</v>
      </c>
      <c r="BS104" s="24">
        <f t="shared" si="63"/>
        <v>1.9990830009807887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5.6843418860808015E-14</v>
      </c>
      <c r="BZ104" s="14">
        <f>BY104*VLOOKUP('Données projet'!$B$12,Paramètres!$A$1:$I$89,3,0)*VLOOKUP('Données projet'!$B$12,Paramètres!$A$1:$I$89,5,0)</f>
        <v>3.3992364478763198E-14</v>
      </c>
      <c r="CA104" s="14">
        <f t="shared" si="93"/>
        <v>5.790027782444094E-13</v>
      </c>
      <c r="CB104" s="22">
        <f t="shared" si="64"/>
        <v>1.0676332069095257E-12</v>
      </c>
      <c r="CC104" s="62">
        <f t="shared" si="65"/>
        <v>269.54086333822079</v>
      </c>
      <c r="CD104" s="62">
        <f ca="1">AVERAGE(OFFSET($CC$3,0,0,'Données projet'!$E$12+1,1))-AVERAGE(OFFSET($H$3,0,0,'Données projet'!$E$12+1,1))</f>
        <v>225.71928466161592</v>
      </c>
      <c r="CE104" s="62">
        <f t="shared" si="94"/>
        <v>385.98818770742025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26.811206317860563</v>
      </c>
      <c r="CL104" s="23">
        <f>EXP(-LN(2)/25)*CL103+(1-EXP(-LN(2)/25))/(LN(2)/25)*Calculateur!CG104*Calculateur!CI104*VLOOKUP('Données projet'!$B$12,Paramètres!$A$1:$I$89,3,0)*0.475*44/12</f>
        <v>0.46689719491231946</v>
      </c>
      <c r="CM104" s="23">
        <f>EXP(-LN(2)/2)*CM103+(1-EXP(-LN(2)/2))/(LN(2)/2)*CG104*CJ104*VLOOKUP('Données projet'!$B$12,Paramètres!$A$1:$I$89,3,0)*0.475*44/12</f>
        <v>2.2668720310914633E-8</v>
      </c>
      <c r="CN104" s="24">
        <f t="shared" si="66"/>
        <v>27.278103535441605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5.4</v>
      </c>
      <c r="CT104" s="13">
        <f>IF('Données projet'!$A$140&gt;35,CT103+CS104-DB103,IF(A104&lt;'Données projet'!$A$140,$CQ$205^A104,IF(A104='Données projet'!$A$140,'Données projet'!$B$140,CT103+CS104-DB103)))</f>
        <v>311.39999999999998</v>
      </c>
      <c r="CU104" s="18">
        <f>CT104*VLOOKUP('Données projet'!$B$13,Paramètres!$A$1:$I$89,3,0)*VLOOKUP('Données projet'!$B$13,Paramètres!$A$1:$I$89,5,0)</f>
        <v>281.75471999999996</v>
      </c>
      <c r="CV104" s="14">
        <f t="shared" si="95"/>
        <v>67.337696723120317</v>
      </c>
      <c r="CW104" s="22">
        <f t="shared" si="67"/>
        <v>608.00262579276773</v>
      </c>
      <c r="CX104" s="62">
        <f t="shared" si="68"/>
        <v>877.54348913098738</v>
      </c>
      <c r="CY104" s="62">
        <f ca="1">AVERAGE(OFFSET($CX$3,0,0,'Données projet'!$E$13+1,1))-AVERAGE(OFFSET($H$3,0,0,'Données projet'!$E$13+1,1))</f>
        <v>499.92116338695428</v>
      </c>
      <c r="CZ104" s="62">
        <f t="shared" si="96"/>
        <v>316.79403154855652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0.43752502569937024</v>
      </c>
      <c r="DH104" s="23">
        <f>EXP(-LN(2)/2)*DH103+(1-EXP(-LN(2)/2))/(LN(2)/2)*DB104*DE104*VLOOKUP('Données projet'!$B$13,Paramètres!$A$1:$I$89,3,0)*0.475*44/12</f>
        <v>6.0872777924542342E-11</v>
      </c>
      <c r="DI104" s="24">
        <f t="shared" si="69"/>
        <v>0.43752502576024299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135.66666666666666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211.70619219850786</v>
      </c>
      <c r="T105" s="62">
        <f t="shared" si="88"/>
        <v>426.883837098247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1.9895196601282805E-13</v>
      </c>
      <c r="AJ105" s="14">
        <f>AI105*VLOOKUP('Données projet'!$B$10,Paramètres!$A$1:$I$89,3,0)*VLOOKUP('Données projet'!$B$10,Paramètres!$A$1:$I$89,5,0)</f>
        <v>1.8001173884840681E-13</v>
      </c>
      <c r="AK105" s="14">
        <f t="shared" si="89"/>
        <v>2.5254331426407198E-12</v>
      </c>
      <c r="AL105" s="22">
        <f t="shared" si="58"/>
        <v>4.7119831685935622E-12</v>
      </c>
      <c r="AM105" s="62">
        <f t="shared" si="59"/>
        <v>269.95360950064548</v>
      </c>
      <c r="AN105" s="62">
        <f ca="1">AVERAGE(OFFSET($AM$3,0,0,'Données projet'!$E$10+1,1))-AVERAGE(OFFSET($H$3,0,0,'Données projet'!$E$10+1,1))</f>
        <v>327.07074355218322</v>
      </c>
      <c r="AO105" s="62">
        <f t="shared" si="90"/>
        <v>462.01668587029087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2.0033597236638996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2.0033597236638996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-9.9316821433603781E-14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378.51861272969165</v>
      </c>
      <c r="BJ105" s="62">
        <f t="shared" si="92"/>
        <v>387.42368617035459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1.9444179708325708</v>
      </c>
      <c r="BR105" s="23">
        <f>EXP(-LN(2)/2)*BR104+(1-EXP(-LN(2)/2))/(LN(2)/2)*BL105*BO105*VLOOKUP('Données projet'!$B$11,Paramètres!$A$1:$I$89,3,0)*0.475*44/12</f>
        <v>2.6112765106049816E-10</v>
      </c>
      <c r="BS105" s="24">
        <f t="shared" si="63"/>
        <v>1.9444179710936984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5.6843418860808015E-14</v>
      </c>
      <c r="BZ105" s="14">
        <f>BY105*VLOOKUP('Données projet'!$B$12,Paramètres!$A$1:$I$89,3,0)*VLOOKUP('Données projet'!$B$12,Paramètres!$A$1:$I$89,5,0)</f>
        <v>3.3992364478763198E-14</v>
      </c>
      <c r="CA105" s="14">
        <f t="shared" si="93"/>
        <v>5.790027782444094E-13</v>
      </c>
      <c r="CB105" s="22">
        <f t="shared" si="64"/>
        <v>1.0676332069095257E-12</v>
      </c>
      <c r="CC105" s="62">
        <f t="shared" si="65"/>
        <v>269.95360950064185</v>
      </c>
      <c r="CD105" s="62">
        <f ca="1">AVERAGE(OFFSET($CC$3,0,0,'Données projet'!$E$12+1,1))-AVERAGE(OFFSET($H$3,0,0,'Données projet'!$E$12+1,1))</f>
        <v>225.71928466161592</v>
      </c>
      <c r="CE105" s="62">
        <f t="shared" si="94"/>
        <v>385.98818770742025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26.285454915188424</v>
      </c>
      <c r="CL105" s="23">
        <f>EXP(-LN(2)/25)*CL104+(1-EXP(-LN(2)/25))/(LN(2)/25)*Calculateur!CG105*Calculateur!CI105*VLOOKUP('Données projet'!$B$12,Paramètres!$A$1:$I$89,3,0)*0.475*44/12</f>
        <v>0.4541298665643857</v>
      </c>
      <c r="CM105" s="23">
        <f>EXP(-LN(2)/2)*CM104+(1-EXP(-LN(2)/2))/(LN(2)/2)*CG105*CJ105*VLOOKUP('Données projet'!$B$12,Paramètres!$A$1:$I$89,3,0)*0.475*44/12</f>
        <v>1.6029205852668959E-8</v>
      </c>
      <c r="CN105" s="24">
        <f t="shared" si="66"/>
        <v>26.739584797782015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5.4</v>
      </c>
      <c r="CT105" s="13">
        <f>IF('Données projet'!$A$140&gt;35,CT104+CS105-DB104,IF(A105&lt;'Données projet'!$A$140,$CQ$205^A105,IF(A105='Données projet'!$A$140,'Données projet'!$B$140,CT104+CS105-DB104)))</f>
        <v>316.79999999999995</v>
      </c>
      <c r="CU105" s="18">
        <f>CT105*VLOOKUP('Données projet'!$B$13,Paramètres!$A$1:$I$89,3,0)*VLOOKUP('Données projet'!$B$13,Paramètres!$A$1:$I$89,5,0)</f>
        <v>286.64063999999996</v>
      </c>
      <c r="CV105" s="14">
        <f t="shared" si="95"/>
        <v>68.368446832003599</v>
      </c>
      <c r="CW105" s="22">
        <f t="shared" si="67"/>
        <v>618.30749289907283</v>
      </c>
      <c r="CX105" s="62">
        <f t="shared" si="68"/>
        <v>888.26110239971354</v>
      </c>
      <c r="CY105" s="62">
        <f ca="1">AVERAGE(OFFSET($CX$3,0,0,'Données projet'!$E$13+1,1))-AVERAGE(OFFSET($H$3,0,0,'Données projet'!$E$13+1,1))</f>
        <v>499.92116338695428</v>
      </c>
      <c r="CZ105" s="62">
        <f t="shared" si="96"/>
        <v>316.79403154855652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0.42556088086317984</v>
      </c>
      <c r="DH105" s="23">
        <f>EXP(-LN(2)/2)*DH104+(1-EXP(-LN(2)/2))/(LN(2)/2)*DB105*DE105*VLOOKUP('Données projet'!$B$13,Paramètres!$A$1:$I$89,3,0)*0.475*44/12</f>
        <v>4.3043554060106663E-11</v>
      </c>
      <c r="DI105" s="24">
        <f t="shared" si="69"/>
        <v>0.4255608809062234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135.66666666666666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211.70619219850786</v>
      </c>
      <c r="T106" s="62">
        <f t="shared" si="88"/>
        <v>426.883837098247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1.9895196601282805E-13</v>
      </c>
      <c r="AJ106" s="14">
        <f>AI106*VLOOKUP('Données projet'!$B$10,Paramètres!$A$1:$I$89,3,0)*VLOOKUP('Données projet'!$B$10,Paramètres!$A$1:$I$89,5,0)</f>
        <v>1.8001173884840681E-13</v>
      </c>
      <c r="AK106" s="14">
        <f t="shared" si="89"/>
        <v>2.5254331426407198E-12</v>
      </c>
      <c r="AL106" s="22">
        <f t="shared" si="58"/>
        <v>4.7119831685935622E-12</v>
      </c>
      <c r="AM106" s="62">
        <f t="shared" si="59"/>
        <v>270.35919543991071</v>
      </c>
      <c r="AN106" s="62">
        <f ca="1">AVERAGE(OFFSET($AM$3,0,0,'Données projet'!$E$10+1,1))-AVERAGE(OFFSET($H$3,0,0,'Données projet'!$E$10+1,1))</f>
        <v>327.07074355218322</v>
      </c>
      <c r="AO106" s="62">
        <f t="shared" si="90"/>
        <v>462.01668587029087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1.9640750614116265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1.9640750614116265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-9.9316821433603781E-14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378.51861272969165</v>
      </c>
      <c r="BJ106" s="62">
        <f t="shared" si="92"/>
        <v>387.42368617035459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1.8912477591676571</v>
      </c>
      <c r="BR106" s="23">
        <f>EXP(-LN(2)/2)*BR105+(1-EXP(-LN(2)/2))/(LN(2)/2)*BL106*BO106*VLOOKUP('Données projet'!$B$11,Paramètres!$A$1:$I$89,3,0)*0.475*44/12</f>
        <v>1.8464513282019281E-10</v>
      </c>
      <c r="BS106" s="24">
        <f t="shared" si="63"/>
        <v>1.8912477593523023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5.6843418860808015E-14</v>
      </c>
      <c r="BZ106" s="14">
        <f>BY106*VLOOKUP('Données projet'!$B$12,Paramètres!$A$1:$I$89,3,0)*VLOOKUP('Données projet'!$B$12,Paramètres!$A$1:$I$89,5,0)</f>
        <v>3.3992364478763198E-14</v>
      </c>
      <c r="CA106" s="14">
        <f t="shared" si="93"/>
        <v>5.790027782444094E-13</v>
      </c>
      <c r="CB106" s="22">
        <f t="shared" si="64"/>
        <v>1.0676332069095257E-12</v>
      </c>
      <c r="CC106" s="62">
        <f t="shared" si="65"/>
        <v>270.35919543990707</v>
      </c>
      <c r="CD106" s="62">
        <f ca="1">AVERAGE(OFFSET($CC$3,0,0,'Données projet'!$E$12+1,1))-AVERAGE(OFFSET($H$3,0,0,'Données projet'!$E$12+1,1))</f>
        <v>225.71928466161592</v>
      </c>
      <c r="CE106" s="62">
        <f t="shared" si="94"/>
        <v>385.98818770742025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25.770013176845996</v>
      </c>
      <c r="CL106" s="23">
        <f>EXP(-LN(2)/25)*CL105+(1-EXP(-LN(2)/25))/(LN(2)/25)*Calculateur!CG106*Calculateur!CI106*VLOOKUP('Données projet'!$B$12,Paramètres!$A$1:$I$89,3,0)*0.475*44/12</f>
        <v>0.44171166148153079</v>
      </c>
      <c r="CM106" s="23">
        <f>EXP(-LN(2)/2)*CM105+(1-EXP(-LN(2)/2))/(LN(2)/2)*CG106*CJ106*VLOOKUP('Données projet'!$B$12,Paramètres!$A$1:$I$89,3,0)*0.475*44/12</f>
        <v>1.1334360155457316E-8</v>
      </c>
      <c r="CN106" s="24">
        <f t="shared" si="66"/>
        <v>26.211724849661888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5.4</v>
      </c>
      <c r="CT106" s="13">
        <f>IF('Données projet'!$A$140&gt;35,CT105+CS106-DB105,IF(A106&lt;'Données projet'!$A$140,$CQ$205^A106,IF(A106='Données projet'!$A$140,'Données projet'!$B$140,CT105+CS106-DB105)))</f>
        <v>322.19999999999993</v>
      </c>
      <c r="CU106" s="18">
        <f>CT106*VLOOKUP('Données projet'!$B$13,Paramètres!$A$1:$I$89,3,0)*VLOOKUP('Données projet'!$B$13,Paramètres!$A$1:$I$89,5,0)</f>
        <v>291.5265599999999</v>
      </c>
      <c r="CV106" s="14">
        <f t="shared" si="95"/>
        <v>69.397153761857183</v>
      </c>
      <c r="CW106" s="22">
        <f t="shared" si="67"/>
        <v>628.60880146856778</v>
      </c>
      <c r="CX106" s="62">
        <f t="shared" si="68"/>
        <v>898.96799690847376</v>
      </c>
      <c r="CY106" s="62">
        <f ca="1">AVERAGE(OFFSET($CX$3,0,0,'Données projet'!$E$13+1,1))-AVERAGE(OFFSET($H$3,0,0,'Données projet'!$E$13+1,1))</f>
        <v>499.92116338695428</v>
      </c>
      <c r="CZ106" s="62">
        <f t="shared" si="96"/>
        <v>316.79403154855652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0.41392389619670211</v>
      </c>
      <c r="DH106" s="23">
        <f>EXP(-LN(2)/2)*DH105+(1-EXP(-LN(2)/2))/(LN(2)/2)*DB106*DE106*VLOOKUP('Données projet'!$B$13,Paramètres!$A$1:$I$89,3,0)*0.475*44/12</f>
        <v>3.0436388962271171E-11</v>
      </c>
      <c r="DI106" s="24">
        <f t="shared" si="69"/>
        <v>0.41392389622713849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135.66666666666666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211.70619219850786</v>
      </c>
      <c r="T107" s="62">
        <f t="shared" si="88"/>
        <v>426.883837098247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1.9895196601282805E-13</v>
      </c>
      <c r="AJ107" s="14">
        <f>AI107*VLOOKUP('Données projet'!$B$10,Paramètres!$A$1:$I$89,3,0)*VLOOKUP('Données projet'!$B$10,Paramètres!$A$1:$I$89,5,0)</f>
        <v>1.8001173884840681E-13</v>
      </c>
      <c r="AK107" s="14">
        <f t="shared" si="89"/>
        <v>2.5254331426407198E-12</v>
      </c>
      <c r="AL107" s="22">
        <f t="shared" si="58"/>
        <v>4.7119831685935622E-12</v>
      </c>
      <c r="AM107" s="62">
        <f t="shared" si="59"/>
        <v>270.75774536988399</v>
      </c>
      <c r="AN107" s="62">
        <f ca="1">AVERAGE(OFFSET($AM$3,0,0,'Données projet'!$E$10+1,1))-AVERAGE(OFFSET($H$3,0,0,'Données projet'!$E$10+1,1))</f>
        <v>327.07074355218322</v>
      </c>
      <c r="AO107" s="62">
        <f t="shared" si="90"/>
        <v>462.01668587029087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1.9255607474248424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1.9255607474248424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-9.9316821433603781E-14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378.51861272969165</v>
      </c>
      <c r="BJ107" s="62">
        <f t="shared" si="92"/>
        <v>387.42368617035459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1.8395314897368205</v>
      </c>
      <c r="BR107" s="23">
        <f>EXP(-LN(2)/2)*BR106+(1-EXP(-LN(2)/2))/(LN(2)/2)*BL107*BO107*VLOOKUP('Données projet'!$B$11,Paramètres!$A$1:$I$89,3,0)*0.475*44/12</f>
        <v>1.3056382553024908E-10</v>
      </c>
      <c r="BS107" s="24">
        <f t="shared" si="63"/>
        <v>1.8395314898673842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5.6843418860808015E-14</v>
      </c>
      <c r="BZ107" s="14">
        <f>BY107*VLOOKUP('Données projet'!$B$12,Paramètres!$A$1:$I$89,3,0)*VLOOKUP('Données projet'!$B$12,Paramètres!$A$1:$I$89,5,0)</f>
        <v>3.3992364478763198E-14</v>
      </c>
      <c r="CA107" s="14">
        <f t="shared" si="93"/>
        <v>5.790027782444094E-13</v>
      </c>
      <c r="CB107" s="22">
        <f t="shared" si="64"/>
        <v>1.0676332069095257E-12</v>
      </c>
      <c r="CC107" s="62">
        <f t="shared" si="65"/>
        <v>270.75774536988035</v>
      </c>
      <c r="CD107" s="62">
        <f ca="1">AVERAGE(OFFSET($CC$3,0,0,'Données projet'!$E$12+1,1))-AVERAGE(OFFSET($H$3,0,0,'Données projet'!$E$12+1,1))</f>
        <v>225.71928466161592</v>
      </c>
      <c r="CE107" s="62">
        <f t="shared" si="94"/>
        <v>385.98818770742025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25.264678936604046</v>
      </c>
      <c r="CL107" s="23">
        <f>EXP(-LN(2)/25)*CL106+(1-EXP(-LN(2)/25))/(LN(2)/25)*Calculateur!CG107*Calculateur!CI107*VLOOKUP('Données projet'!$B$12,Paramètres!$A$1:$I$89,3,0)*0.475*44/12</f>
        <v>0.42963303286971161</v>
      </c>
      <c r="CM107" s="23">
        <f>EXP(-LN(2)/2)*CM106+(1-EXP(-LN(2)/2))/(LN(2)/2)*CG107*CJ107*VLOOKUP('Données projet'!$B$12,Paramètres!$A$1:$I$89,3,0)*0.475*44/12</f>
        <v>8.0146029263344794E-9</v>
      </c>
      <c r="CN107" s="24">
        <f t="shared" si="66"/>
        <v>25.694311977488361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5.4</v>
      </c>
      <c r="CT107" s="13">
        <f>IF('Données projet'!$A$140&gt;35,CT106+CS107-DB106,IF(A107&lt;'Données projet'!$A$140,$CQ$205^A107,IF(A107='Données projet'!$A$140,'Données projet'!$B$140,CT106+CS107-DB106)))</f>
        <v>327.59999999999991</v>
      </c>
      <c r="CU107" s="18">
        <f>CT107*VLOOKUP('Données projet'!$B$13,Paramètres!$A$1:$I$89,3,0)*VLOOKUP('Données projet'!$B$13,Paramètres!$A$1:$I$89,5,0)</f>
        <v>296.4124799999999</v>
      </c>
      <c r="CV107" s="14">
        <f t="shared" si="95"/>
        <v>70.423855708154704</v>
      </c>
      <c r="CW107" s="22">
        <f t="shared" si="67"/>
        <v>638.90661802503598</v>
      </c>
      <c r="CX107" s="62">
        <f t="shared" si="68"/>
        <v>909.6643633949152</v>
      </c>
      <c r="CY107" s="62">
        <f ca="1">AVERAGE(OFFSET($CX$3,0,0,'Données projet'!$E$13+1,1))-AVERAGE(OFFSET($H$3,0,0,'Données projet'!$E$13+1,1))</f>
        <v>499.92116338695428</v>
      </c>
      <c r="CZ107" s="62">
        <f t="shared" si="96"/>
        <v>316.79403154855652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0.40260512548789162</v>
      </c>
      <c r="DH107" s="23">
        <f>EXP(-LN(2)/2)*DH106+(1-EXP(-LN(2)/2))/(LN(2)/2)*DB107*DE107*VLOOKUP('Données projet'!$B$13,Paramètres!$A$1:$I$89,3,0)*0.475*44/12</f>
        <v>2.1521777030053331E-11</v>
      </c>
      <c r="DI107" s="24">
        <f t="shared" si="69"/>
        <v>0.40260512550941341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135.66666666666666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211.70619219850786</v>
      </c>
      <c r="T108" s="62">
        <f t="shared" si="88"/>
        <v>426.883837098247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1.9895196601282805E-13</v>
      </c>
      <c r="AJ108" s="14">
        <f>AI108*VLOOKUP('Données projet'!$B$10,Paramètres!$A$1:$I$89,3,0)*VLOOKUP('Données projet'!$B$10,Paramètres!$A$1:$I$89,5,0)</f>
        <v>1.8001173884840681E-13</v>
      </c>
      <c r="AK108" s="14">
        <f t="shared" si="89"/>
        <v>2.5254331426407198E-12</v>
      </c>
      <c r="AL108" s="22">
        <f t="shared" si="58"/>
        <v>4.7119831685935622E-12</v>
      </c>
      <c r="AM108" s="62">
        <f t="shared" si="59"/>
        <v>271.14938134959641</v>
      </c>
      <c r="AN108" s="62">
        <f ca="1">AVERAGE(OFFSET($AM$3,0,0,'Données projet'!$E$10+1,1))-AVERAGE(OFFSET($H$3,0,0,'Données projet'!$E$10+1,1))</f>
        <v>327.07074355218322</v>
      </c>
      <c r="AO108" s="62">
        <f t="shared" si="90"/>
        <v>462.01668587029087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1.8878016756439273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1.8878016756439273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-9.9316821433603781E-14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378.51861272969165</v>
      </c>
      <c r="BJ108" s="62">
        <f t="shared" si="92"/>
        <v>387.42368617035459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1.7892294044132104</v>
      </c>
      <c r="BR108" s="23">
        <f>EXP(-LN(2)/2)*BR107+(1-EXP(-LN(2)/2))/(LN(2)/2)*BL108*BO108*VLOOKUP('Données projet'!$B$11,Paramètres!$A$1:$I$89,3,0)*0.475*44/12</f>
        <v>9.2322566410096404E-11</v>
      </c>
      <c r="BS108" s="24">
        <f t="shared" si="63"/>
        <v>1.789229404505533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5.6843418860808015E-14</v>
      </c>
      <c r="BZ108" s="14">
        <f>BY108*VLOOKUP('Données projet'!$B$12,Paramètres!$A$1:$I$89,3,0)*VLOOKUP('Données projet'!$B$12,Paramètres!$A$1:$I$89,5,0)</f>
        <v>3.3992364478763198E-14</v>
      </c>
      <c r="CA108" s="14">
        <f t="shared" si="93"/>
        <v>5.790027782444094E-13</v>
      </c>
      <c r="CB108" s="22">
        <f t="shared" si="64"/>
        <v>1.0676332069095257E-12</v>
      </c>
      <c r="CC108" s="62">
        <f t="shared" si="65"/>
        <v>271.14938134959277</v>
      </c>
      <c r="CD108" s="62">
        <f ca="1">AVERAGE(OFFSET($CC$3,0,0,'Données projet'!$E$12+1,1))-AVERAGE(OFFSET($H$3,0,0,'Données projet'!$E$12+1,1))</f>
        <v>225.71928466161592</v>
      </c>
      <c r="CE108" s="62">
        <f t="shared" si="94"/>
        <v>385.98818770742025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24.769253992589789</v>
      </c>
      <c r="CL108" s="23">
        <f>EXP(-LN(2)/25)*CL107+(1-EXP(-LN(2)/25))/(LN(2)/25)*Calculateur!CG108*Calculateur!CI108*VLOOKUP('Données projet'!$B$12,Paramètres!$A$1:$I$89,3,0)*0.475*44/12</f>
        <v>0.41788469499247011</v>
      </c>
      <c r="CM108" s="23">
        <f>EXP(-LN(2)/2)*CM107+(1-EXP(-LN(2)/2))/(LN(2)/2)*CG108*CJ108*VLOOKUP('Données projet'!$B$12,Paramètres!$A$1:$I$89,3,0)*0.475*44/12</f>
        <v>5.6671800777286582E-9</v>
      </c>
      <c r="CN108" s="24">
        <f t="shared" si="66"/>
        <v>25.187138693249437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333</v>
      </c>
      <c r="CR108" s="13">
        <f>VLOOKUP(A108,'Données projet'!$A$139:$I$159,9,0)</f>
        <v>5.4</v>
      </c>
      <c r="CS108" s="13">
        <f t="array" ref="CS108">INDEX(CR:CR,MIN(IF(ISNUMBER(CR108:CR304),ROW(CR108:CR304),"")))</f>
        <v>5.4</v>
      </c>
      <c r="CT108" s="13">
        <f>IF('Données projet'!$A$140&gt;35,CT107+CS108-DB107,IF(A108&lt;'Données projet'!$A$140,$CQ$205^A108,IF(A108='Données projet'!$A$140,'Données projet'!$B$140,CT107+CS108-DB107)))</f>
        <v>332.99999999999989</v>
      </c>
      <c r="CU108" s="18">
        <f>CT108*VLOOKUP('Données projet'!$B$13,Paramètres!$A$1:$I$89,3,0)*VLOOKUP('Données projet'!$B$13,Paramètres!$A$1:$I$89,5,0)</f>
        <v>301.2983999999999</v>
      </c>
      <c r="CV108" s="14">
        <f t="shared" si="95"/>
        <v>71.448589534990518</v>
      </c>
      <c r="CW108" s="22">
        <f t="shared" si="67"/>
        <v>649.20100677344158</v>
      </c>
      <c r="CX108" s="62">
        <f t="shared" si="68"/>
        <v>920.35038812303333</v>
      </c>
      <c r="CY108" s="62">
        <f ca="1">AVERAGE(OFFSET($CX$3,0,0,'Données projet'!$E$13+1,1))-AVERAGE(OFFSET($H$3,0,0,'Données projet'!$E$13+1,1))</f>
        <v>499.92116338695428</v>
      </c>
      <c r="CZ108" s="62">
        <f t="shared" si="96"/>
        <v>316.79403154855652</v>
      </c>
      <c r="DA108" s="16">
        <f>IF(ISNA(VLOOKUP(A108,'Données projet'!$A$139:$I$159,3,0)),0,VLOOKUP(A108,'Données projet'!$A$139:$I$159,3,0))</f>
        <v>18</v>
      </c>
      <c r="DB108" s="16">
        <f>IF(ISNA(VLOOKUP(A108,'Données projet'!$A$139:$I$159,4,0)),0,VLOOKUP(A108,'Données projet'!$A$139:$I$159,4,0))</f>
        <v>26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0.39159586715934186</v>
      </c>
      <c r="DH108" s="23">
        <f>EXP(-LN(2)/2)*DH107+(1-EXP(-LN(2)/2))/(LN(2)/2)*DB108*DE108*VLOOKUP('Données projet'!$B$13,Paramètres!$A$1:$I$89,3,0)*0.475*44/12</f>
        <v>1.5218194481135585E-11</v>
      </c>
      <c r="DI108" s="24">
        <f t="shared" si="69"/>
        <v>0.39159586717456007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135.66666666666666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211.70619219850786</v>
      </c>
      <c r="T109" s="62">
        <f t="shared" si="88"/>
        <v>426.883837098247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1.9895196601282805E-13</v>
      </c>
      <c r="AJ109" s="14">
        <f>AI109*VLOOKUP('Données projet'!$B$10,Paramètres!$A$1:$I$89,3,0)*VLOOKUP('Données projet'!$B$10,Paramètres!$A$1:$I$89,5,0)</f>
        <v>1.8001173884840681E-13</v>
      </c>
      <c r="AK109" s="14">
        <f t="shared" si="89"/>
        <v>2.5254331426407198E-12</v>
      </c>
      <c r="AL109" s="22">
        <f t="shared" si="58"/>
        <v>4.7119831685935622E-12</v>
      </c>
      <c r="AM109" s="62">
        <f t="shared" si="59"/>
        <v>271.53422332062769</v>
      </c>
      <c r="AN109" s="62">
        <f ca="1">AVERAGE(OFFSET($AM$3,0,0,'Données projet'!$E$10+1,1))-AVERAGE(OFFSET($H$3,0,0,'Données projet'!$E$10+1,1))</f>
        <v>327.07074355218322</v>
      </c>
      <c r="AO109" s="62">
        <f t="shared" si="90"/>
        <v>462.01668587029087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1.8507830362298763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1.8507830362298763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-9.9316821433603781E-14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378.51861272969165</v>
      </c>
      <c r="BJ109" s="62">
        <f t="shared" si="92"/>
        <v>387.42368617035459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1.7403028322580461</v>
      </c>
      <c r="BR109" s="23">
        <f>EXP(-LN(2)/2)*BR108+(1-EXP(-LN(2)/2))/(LN(2)/2)*BL109*BO109*VLOOKUP('Données projet'!$B$11,Paramètres!$A$1:$I$89,3,0)*0.475*44/12</f>
        <v>6.5281912765124539E-11</v>
      </c>
      <c r="BS109" s="24">
        <f t="shared" si="63"/>
        <v>1.7403028323233281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5.6843418860808015E-14</v>
      </c>
      <c r="BZ109" s="14">
        <f>BY109*VLOOKUP('Données projet'!$B$12,Paramètres!$A$1:$I$89,3,0)*VLOOKUP('Données projet'!$B$12,Paramètres!$A$1:$I$89,5,0)</f>
        <v>3.3992364478763198E-14</v>
      </c>
      <c r="CA109" s="14">
        <f t="shared" si="93"/>
        <v>5.790027782444094E-13</v>
      </c>
      <c r="CB109" s="22">
        <f t="shared" si="64"/>
        <v>1.0676332069095257E-12</v>
      </c>
      <c r="CC109" s="62">
        <f t="shared" si="65"/>
        <v>271.53422332062405</v>
      </c>
      <c r="CD109" s="62">
        <f ca="1">AVERAGE(OFFSET($CC$3,0,0,'Données projet'!$E$12+1,1))-AVERAGE(OFFSET($H$3,0,0,'Données projet'!$E$12+1,1))</f>
        <v>225.71928466161592</v>
      </c>
      <c r="CE109" s="62">
        <f t="shared" si="94"/>
        <v>385.98818770742025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24.283544029548271</v>
      </c>
      <c r="CL109" s="23">
        <f>EXP(-LN(2)/25)*CL108+(1-EXP(-LN(2)/25))/(LN(2)/25)*Calculateur!CG109*Calculateur!CI109*VLOOKUP('Données projet'!$B$12,Paramètres!$A$1:$I$89,3,0)*0.475*44/12</f>
        <v>0.40645761603230002</v>
      </c>
      <c r="CM109" s="23">
        <f>EXP(-LN(2)/2)*CM108+(1-EXP(-LN(2)/2))/(LN(2)/2)*CG109*CJ109*VLOOKUP('Données projet'!$B$12,Paramètres!$A$1:$I$89,3,0)*0.475*44/12</f>
        <v>4.0073014631672397E-9</v>
      </c>
      <c r="CN109" s="24">
        <f t="shared" si="66"/>
        <v>24.69000164958787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5</v>
      </c>
      <c r="CT109" s="13">
        <f>IF('Données projet'!$A$140&gt;35,CT108+CS109-DB108,IF(A109&lt;'Données projet'!$A$140,$CQ$205^A109,IF(A109='Données projet'!$A$140,'Données projet'!$B$140,CT108+CS109-DB108)))</f>
        <v>311.99999999999989</v>
      </c>
      <c r="CU109" s="18">
        <f>CT109*VLOOKUP('Données projet'!$B$13,Paramètres!$A$1:$I$89,3,0)*VLOOKUP('Données projet'!$B$13,Paramètres!$A$1:$I$89,5,0)</f>
        <v>282.29759999999987</v>
      </c>
      <c r="CV109" s="14">
        <f t="shared" si="95"/>
        <v>67.452326629470178</v>
      </c>
      <c r="CW109" s="22">
        <f t="shared" si="67"/>
        <v>609.14778887966042</v>
      </c>
      <c r="CX109" s="62">
        <f t="shared" si="68"/>
        <v>880.68201220028345</v>
      </c>
      <c r="CY109" s="62">
        <f ca="1">AVERAGE(OFFSET($CX$3,0,0,'Données projet'!$E$13+1,1))-AVERAGE(OFFSET($H$3,0,0,'Données projet'!$E$13+1,1))</f>
        <v>499.92116338695428</v>
      </c>
      <c r="CZ109" s="62">
        <f t="shared" si="96"/>
        <v>316.79403154855652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0.38088765757873799</v>
      </c>
      <c r="DH109" s="23">
        <f>EXP(-LN(2)/2)*DH108+(1-EXP(-LN(2)/2))/(LN(2)/2)*DB109*DE109*VLOOKUP('Données projet'!$B$13,Paramètres!$A$1:$I$89,3,0)*0.475*44/12</f>
        <v>1.0760888515026666E-11</v>
      </c>
      <c r="DI109" s="24">
        <f t="shared" si="69"/>
        <v>0.38088765758949888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135.66666666666666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211.70619219850786</v>
      </c>
      <c r="T110" s="62">
        <f t="shared" si="88"/>
        <v>426.883837098247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1.9895196601282805E-13</v>
      </c>
      <c r="AJ110" s="14">
        <f>AI110*VLOOKUP('Données projet'!$B$10,Paramètres!$A$1:$I$89,3,0)*VLOOKUP('Données projet'!$B$10,Paramètres!$A$1:$I$89,5,0)</f>
        <v>1.8001173884840681E-13</v>
      </c>
      <c r="AK110" s="14">
        <f t="shared" si="89"/>
        <v>2.5254331426407198E-12</v>
      </c>
      <c r="AL110" s="22">
        <f t="shared" si="58"/>
        <v>4.7119831685935622E-12</v>
      </c>
      <c r="AM110" s="62">
        <f t="shared" si="59"/>
        <v>271.91238914383933</v>
      </c>
      <c r="AN110" s="62">
        <f ca="1">AVERAGE(OFFSET($AM$3,0,0,'Données projet'!$E$10+1,1))-AVERAGE(OFFSET($H$3,0,0,'Données projet'!$E$10+1,1))</f>
        <v>327.07074355218322</v>
      </c>
      <c r="AO110" s="62">
        <f t="shared" si="90"/>
        <v>462.01668587029087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1.8144903097555942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1.8144903097555942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-9.9316821433603781E-14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378.51861272969165</v>
      </c>
      <c r="BJ110" s="62">
        <f t="shared" si="92"/>
        <v>387.42368617035459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1.6927141597914013</v>
      </c>
      <c r="BR110" s="23">
        <f>EXP(-LN(2)/2)*BR109+(1-EXP(-LN(2)/2))/(LN(2)/2)*BL110*BO110*VLOOKUP('Données projet'!$B$11,Paramètres!$A$1:$I$89,3,0)*0.475*44/12</f>
        <v>4.6161283205048202E-11</v>
      </c>
      <c r="BS110" s="24">
        <f t="shared" si="63"/>
        <v>1.6927141598375626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5.6843418860808015E-14</v>
      </c>
      <c r="BZ110" s="14">
        <f>BY110*VLOOKUP('Données projet'!$B$12,Paramètres!$A$1:$I$89,3,0)*VLOOKUP('Données projet'!$B$12,Paramètres!$A$1:$I$89,5,0)</f>
        <v>3.3992364478763198E-14</v>
      </c>
      <c r="CA110" s="14">
        <f t="shared" si="93"/>
        <v>5.790027782444094E-13</v>
      </c>
      <c r="CB110" s="22">
        <f t="shared" si="64"/>
        <v>1.0676332069095257E-12</v>
      </c>
      <c r="CC110" s="62">
        <f t="shared" si="65"/>
        <v>271.9123891438357</v>
      </c>
      <c r="CD110" s="62">
        <f ca="1">AVERAGE(OFFSET($CC$3,0,0,'Données projet'!$E$12+1,1))-AVERAGE(OFFSET($H$3,0,0,'Données projet'!$E$12+1,1))</f>
        <v>225.71928466161592</v>
      </c>
      <c r="CE110" s="62">
        <f t="shared" si="94"/>
        <v>385.98818770742025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23.807358542628172</v>
      </c>
      <c r="CL110" s="23">
        <f>EXP(-LN(2)/25)*CL109+(1-EXP(-LN(2)/25))/(LN(2)/25)*Calculateur!CG110*Calculateur!CI110*VLOOKUP('Données projet'!$B$12,Paramètres!$A$1:$I$89,3,0)*0.475*44/12</f>
        <v>0.3953430111472197</v>
      </c>
      <c r="CM110" s="23">
        <f>EXP(-LN(2)/2)*CM109+(1-EXP(-LN(2)/2))/(LN(2)/2)*CG110*CJ110*VLOOKUP('Données projet'!$B$12,Paramètres!$A$1:$I$89,3,0)*0.475*44/12</f>
        <v>2.8335900388643291E-9</v>
      </c>
      <c r="CN110" s="24">
        <f t="shared" si="66"/>
        <v>24.202701556608982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5</v>
      </c>
      <c r="CT110" s="13">
        <f>IF('Données projet'!$A$140&gt;35,CT109+CS110-DB109,IF(A110&lt;'Données projet'!$A$140,$CQ$205^A110,IF(A110='Données projet'!$A$140,'Données projet'!$B$140,CT109+CS110-DB109)))</f>
        <v>316.99999999999989</v>
      </c>
      <c r="CU110" s="18">
        <f>CT110*VLOOKUP('Données projet'!$B$13,Paramètres!$A$1:$I$89,3,0)*VLOOKUP('Données projet'!$B$13,Paramètres!$A$1:$I$89,5,0)</f>
        <v>286.82159999999988</v>
      </c>
      <c r="CV110" s="14">
        <f t="shared" si="95"/>
        <v>68.406583284351413</v>
      </c>
      <c r="CW110" s="22">
        <f t="shared" si="67"/>
        <v>618.68908588691181</v>
      </c>
      <c r="CX110" s="62">
        <f t="shared" si="68"/>
        <v>890.60147503074643</v>
      </c>
      <c r="CY110" s="62">
        <f ca="1">AVERAGE(OFFSET($CX$3,0,0,'Données projet'!$E$13+1,1))-AVERAGE(OFFSET($H$3,0,0,'Données projet'!$E$13+1,1))</f>
        <v>499.92116338695428</v>
      </c>
      <c r="CZ110" s="62">
        <f t="shared" si="96"/>
        <v>316.79403154855652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0.37047226455223603</v>
      </c>
      <c r="DH110" s="23">
        <f>EXP(-LN(2)/2)*DH109+(1-EXP(-LN(2)/2))/(LN(2)/2)*DB110*DE110*VLOOKUP('Données projet'!$B$13,Paramètres!$A$1:$I$89,3,0)*0.475*44/12</f>
        <v>7.6090972405677927E-12</v>
      </c>
      <c r="DI110" s="24">
        <f t="shared" si="69"/>
        <v>0.37047226455984511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135.66666666666666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211.70619219850786</v>
      </c>
      <c r="T111" s="62">
        <f t="shared" si="88"/>
        <v>426.883837098247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1.9895196601282805E-13</v>
      </c>
      <c r="AJ111" s="14">
        <f>AI111*VLOOKUP('Données projet'!$B$10,Paramètres!$A$1:$I$89,3,0)*VLOOKUP('Données projet'!$B$10,Paramètres!$A$1:$I$89,5,0)</f>
        <v>1.8001173884840681E-13</v>
      </c>
      <c r="AK111" s="14">
        <f t="shared" si="89"/>
        <v>2.5254331426407198E-12</v>
      </c>
      <c r="AL111" s="22">
        <f t="shared" si="58"/>
        <v>4.7119831685935622E-12</v>
      </c>
      <c r="AM111" s="62">
        <f t="shared" si="59"/>
        <v>272.28399463547044</v>
      </c>
      <c r="AN111" s="62">
        <f ca="1">AVERAGE(OFFSET($AM$3,0,0,'Données projet'!$E$10+1,1))-AVERAGE(OFFSET($H$3,0,0,'Données projet'!$E$10+1,1))</f>
        <v>327.07074355218322</v>
      </c>
      <c r="AO111" s="62">
        <f t="shared" si="90"/>
        <v>462.01668587029087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1.7789092615110955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1.7789092615110955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-9.9316821433603781E-14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378.51861272969165</v>
      </c>
      <c r="BJ111" s="62">
        <f t="shared" si="92"/>
        <v>387.42368617035459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1.6464268020759365</v>
      </c>
      <c r="BR111" s="23">
        <f>EXP(-LN(2)/2)*BR110+(1-EXP(-LN(2)/2))/(LN(2)/2)*BL111*BO111*VLOOKUP('Données projet'!$B$11,Paramètres!$A$1:$I$89,3,0)*0.475*44/12</f>
        <v>3.264095638256227E-11</v>
      </c>
      <c r="BS111" s="24">
        <f t="shared" si="63"/>
        <v>1.6464268021085775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5.6843418860808015E-14</v>
      </c>
      <c r="BZ111" s="14">
        <f>BY111*VLOOKUP('Données projet'!$B$12,Paramètres!$A$1:$I$89,3,0)*VLOOKUP('Données projet'!$B$12,Paramètres!$A$1:$I$89,5,0)</f>
        <v>3.3992364478763198E-14</v>
      </c>
      <c r="CA111" s="14">
        <f t="shared" si="93"/>
        <v>5.790027782444094E-13</v>
      </c>
      <c r="CB111" s="22">
        <f t="shared" si="64"/>
        <v>1.0676332069095257E-12</v>
      </c>
      <c r="CC111" s="62">
        <f t="shared" si="65"/>
        <v>272.2839946354668</v>
      </c>
      <c r="CD111" s="62">
        <f ca="1">AVERAGE(OFFSET($CC$3,0,0,'Données projet'!$E$12+1,1))-AVERAGE(OFFSET($H$3,0,0,'Données projet'!$E$12+1,1))</f>
        <v>225.71928466161592</v>
      </c>
      <c r="CE111" s="62">
        <f t="shared" si="94"/>
        <v>385.98818770742025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23.34051076266211</v>
      </c>
      <c r="CL111" s="23">
        <f>EXP(-LN(2)/25)*CL110+(1-EXP(-LN(2)/25))/(LN(2)/25)*Calculateur!CG111*Calculateur!CI111*VLOOKUP('Données projet'!$B$12,Paramètres!$A$1:$I$89,3,0)*0.475*44/12</f>
        <v>0.38453233571721357</v>
      </c>
      <c r="CM111" s="23">
        <f>EXP(-LN(2)/2)*CM110+(1-EXP(-LN(2)/2))/(LN(2)/2)*CG111*CJ111*VLOOKUP('Données projet'!$B$12,Paramètres!$A$1:$I$89,3,0)*0.475*44/12</f>
        <v>2.0036507315836199E-9</v>
      </c>
      <c r="CN111" s="24">
        <f t="shared" si="66"/>
        <v>23.725043100382976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5</v>
      </c>
      <c r="CT111" s="13">
        <f>IF('Données projet'!$A$140&gt;35,CT110+CS111-DB110,IF(A111&lt;'Données projet'!$A$140,$CQ$205^A111,IF(A111='Données projet'!$A$140,'Données projet'!$B$140,CT110+CS111-DB110)))</f>
        <v>321.99999999999989</v>
      </c>
      <c r="CU111" s="18">
        <f>CT111*VLOOKUP('Données projet'!$B$13,Paramètres!$A$1:$I$89,3,0)*VLOOKUP('Données projet'!$B$13,Paramètres!$A$1:$I$89,5,0)</f>
        <v>291.34559999999993</v>
      </c>
      <c r="CV111" s="14">
        <f t="shared" si="95"/>
        <v>69.359089490698707</v>
      </c>
      <c r="CW111" s="22">
        <f t="shared" si="67"/>
        <v>628.22733419630015</v>
      </c>
      <c r="CX111" s="62">
        <f t="shared" si="68"/>
        <v>900.51132883176592</v>
      </c>
      <c r="CY111" s="62">
        <f ca="1">AVERAGE(OFFSET($CX$3,0,0,'Données projet'!$E$13+1,1))-AVERAGE(OFFSET($H$3,0,0,'Données projet'!$E$13+1,1))</f>
        <v>499.92116338695428</v>
      </c>
      <c r="CZ111" s="62">
        <f t="shared" si="96"/>
        <v>316.79403154855652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0.36034168099576547</v>
      </c>
      <c r="DH111" s="23">
        <f>EXP(-LN(2)/2)*DH110+(1-EXP(-LN(2)/2))/(LN(2)/2)*DB111*DE111*VLOOKUP('Données projet'!$B$13,Paramètres!$A$1:$I$89,3,0)*0.475*44/12</f>
        <v>5.3804442575133329E-12</v>
      </c>
      <c r="DI111" s="24">
        <f t="shared" si="69"/>
        <v>0.36034168100114589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135.66666666666666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211.70619219850786</v>
      </c>
      <c r="T112" s="62">
        <f t="shared" si="88"/>
        <v>426.883837098247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1.9895196601282805E-13</v>
      </c>
      <c r="AJ112" s="14">
        <f>AI112*VLOOKUP('Données projet'!$B$10,Paramètres!$A$1:$I$89,3,0)*VLOOKUP('Données projet'!$B$10,Paramètres!$A$1:$I$89,5,0)</f>
        <v>1.8001173884840681E-13</v>
      </c>
      <c r="AK112" s="14">
        <f t="shared" si="89"/>
        <v>2.5254331426407198E-12</v>
      </c>
      <c r="AL112" s="22">
        <f t="shared" si="58"/>
        <v>4.7119831685935622E-12</v>
      </c>
      <c r="AM112" s="62">
        <f t="shared" si="59"/>
        <v>272.64915360260704</v>
      </c>
      <c r="AN112" s="62">
        <f ca="1">AVERAGE(OFFSET($AM$3,0,0,'Données projet'!$E$10+1,1))-AVERAGE(OFFSET($H$3,0,0,'Données projet'!$E$10+1,1))</f>
        <v>327.07074355218322</v>
      </c>
      <c r="AO112" s="62">
        <f t="shared" si="90"/>
        <v>462.01668587029087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1.7440259359203749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1.7440259359203749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-9.9316821433603781E-14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378.51861272969165</v>
      </c>
      <c r="BJ112" s="62">
        <f t="shared" si="92"/>
        <v>387.42368617035459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1.6014051745913473</v>
      </c>
      <c r="BR112" s="23">
        <f>EXP(-LN(2)/2)*BR111+(1-EXP(-LN(2)/2))/(LN(2)/2)*BL112*BO112*VLOOKUP('Données projet'!$B$11,Paramètres!$A$1:$I$89,3,0)*0.475*44/12</f>
        <v>2.3080641602524101E-11</v>
      </c>
      <c r="BS112" s="24">
        <f t="shared" si="63"/>
        <v>1.601405174614428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5.6843418860808015E-14</v>
      </c>
      <c r="BZ112" s="14">
        <f>BY112*VLOOKUP('Données projet'!$B$12,Paramètres!$A$1:$I$89,3,0)*VLOOKUP('Données projet'!$B$12,Paramètres!$A$1:$I$89,5,0)</f>
        <v>3.3992364478763198E-14</v>
      </c>
      <c r="CA112" s="14">
        <f t="shared" si="93"/>
        <v>5.790027782444094E-13</v>
      </c>
      <c r="CB112" s="22">
        <f t="shared" si="64"/>
        <v>1.0676332069095257E-12</v>
      </c>
      <c r="CC112" s="62">
        <f t="shared" si="65"/>
        <v>272.64915360260341</v>
      </c>
      <c r="CD112" s="62">
        <f ca="1">AVERAGE(OFFSET($CC$3,0,0,'Données projet'!$E$12+1,1))-AVERAGE(OFFSET($H$3,0,0,'Données projet'!$E$12+1,1))</f>
        <v>225.71928466161592</v>
      </c>
      <c r="CE112" s="62">
        <f t="shared" si="94"/>
        <v>385.98818770742025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22.882817582912153</v>
      </c>
      <c r="CL112" s="23">
        <f>EXP(-LN(2)/25)*CL111+(1-EXP(-LN(2)/25))/(LN(2)/25)*Calculateur!CG112*Calculateur!CI112*VLOOKUP('Données projet'!$B$12,Paramètres!$A$1:$I$89,3,0)*0.475*44/12</f>
        <v>0.37401727877534968</v>
      </c>
      <c r="CM112" s="23">
        <f>EXP(-LN(2)/2)*CM111+(1-EXP(-LN(2)/2))/(LN(2)/2)*CG112*CJ112*VLOOKUP('Données projet'!$B$12,Paramètres!$A$1:$I$89,3,0)*0.475*44/12</f>
        <v>1.4167950194321646E-9</v>
      </c>
      <c r="CN112" s="24">
        <f t="shared" si="66"/>
        <v>23.256834863104295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5</v>
      </c>
      <c r="CT112" s="13">
        <f>IF('Données projet'!$A$140&gt;35,CT111+CS112-DB111,IF(A112&lt;'Données projet'!$A$140,$CQ$205^A112,IF(A112='Données projet'!$A$140,'Données projet'!$B$140,CT111+CS112-DB111)))</f>
        <v>326.99999999999989</v>
      </c>
      <c r="CU112" s="18">
        <f>CT112*VLOOKUP('Données projet'!$B$13,Paramètres!$A$1:$I$89,3,0)*VLOOKUP('Données projet'!$B$13,Paramètres!$A$1:$I$89,5,0)</f>
        <v>295.86959999999988</v>
      </c>
      <c r="CV112" s="14">
        <f t="shared" si="95"/>
        <v>70.309875568291218</v>
      </c>
      <c r="CW112" s="22">
        <f t="shared" si="67"/>
        <v>637.76258661477357</v>
      </c>
      <c r="CX112" s="62">
        <f t="shared" si="68"/>
        <v>910.41174021737584</v>
      </c>
      <c r="CY112" s="62">
        <f ca="1">AVERAGE(OFFSET($CX$3,0,0,'Données projet'!$E$13+1,1))-AVERAGE(OFFSET($H$3,0,0,'Données projet'!$E$13+1,1))</f>
        <v>499.92116338695428</v>
      </c>
      <c r="CZ112" s="62">
        <f t="shared" si="96"/>
        <v>316.79403154855652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0.35048811877939084</v>
      </c>
      <c r="DH112" s="23">
        <f>EXP(-LN(2)/2)*DH111+(1-EXP(-LN(2)/2))/(LN(2)/2)*DB112*DE112*VLOOKUP('Données projet'!$B$13,Paramètres!$A$1:$I$89,3,0)*0.475*44/12</f>
        <v>3.8045486202838964E-12</v>
      </c>
      <c r="DI112" s="24">
        <f t="shared" si="69"/>
        <v>0.35048811878319541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135.66666666666666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211.70619219850786</v>
      </c>
      <c r="T113" s="62">
        <f t="shared" si="88"/>
        <v>426.883837098247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1.9895196601282805E-13</v>
      </c>
      <c r="AJ113" s="14">
        <f>AI113*VLOOKUP('Données projet'!$B$10,Paramètres!$A$1:$I$89,3,0)*VLOOKUP('Données projet'!$B$10,Paramètres!$A$1:$I$89,5,0)</f>
        <v>1.8001173884840681E-13</v>
      </c>
      <c r="AK113" s="14">
        <f t="shared" si="89"/>
        <v>2.5254331426407198E-12</v>
      </c>
      <c r="AL113" s="22">
        <f t="shared" si="58"/>
        <v>4.7119831685935622E-12</v>
      </c>
      <c r="AM113" s="62">
        <f t="shared" si="59"/>
        <v>273.00797787803708</v>
      </c>
      <c r="AN113" s="62">
        <f ca="1">AVERAGE(OFFSET($AM$3,0,0,'Données projet'!$E$10+1,1))-AVERAGE(OFFSET($H$3,0,0,'Données projet'!$E$10+1,1))</f>
        <v>327.07074355218322</v>
      </c>
      <c r="AO113" s="62">
        <f t="shared" si="90"/>
        <v>462.01668587029087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1.7098266510677607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1.7098266510677607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-9.9316821433603781E-14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378.51861272969165</v>
      </c>
      <c r="BJ113" s="62">
        <f t="shared" si="92"/>
        <v>387.42368617035459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1.5576146658779089</v>
      </c>
      <c r="BR113" s="23">
        <f>EXP(-LN(2)/2)*BR112+(1-EXP(-LN(2)/2))/(LN(2)/2)*BL113*BO113*VLOOKUP('Données projet'!$B$11,Paramètres!$A$1:$I$89,3,0)*0.475*44/12</f>
        <v>1.6320478191281135E-11</v>
      </c>
      <c r="BS113" s="24">
        <f t="shared" si="63"/>
        <v>1.5576146658942294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5.6843418860808015E-14</v>
      </c>
      <c r="BZ113" s="14">
        <f>BY113*VLOOKUP('Données projet'!$B$12,Paramètres!$A$1:$I$89,3,0)*VLOOKUP('Données projet'!$B$12,Paramètres!$A$1:$I$89,5,0)</f>
        <v>3.3992364478763198E-14</v>
      </c>
      <c r="CA113" s="14">
        <f t="shared" si="93"/>
        <v>5.790027782444094E-13</v>
      </c>
      <c r="CB113" s="22">
        <f t="shared" si="64"/>
        <v>1.0676332069095257E-12</v>
      </c>
      <c r="CC113" s="62">
        <f t="shared" si="65"/>
        <v>273.00797787803344</v>
      </c>
      <c r="CD113" s="62">
        <f ca="1">AVERAGE(OFFSET($CC$3,0,0,'Données projet'!$E$12+1,1))-AVERAGE(OFFSET($H$3,0,0,'Données projet'!$E$12+1,1))</f>
        <v>225.71928466161592</v>
      </c>
      <c r="CE113" s="62">
        <f t="shared" si="94"/>
        <v>385.98818770742025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22.434099487251817</v>
      </c>
      <c r="CL113" s="23">
        <f>EXP(-LN(2)/25)*CL112+(1-EXP(-LN(2)/25))/(LN(2)/25)*Calculateur!CG113*Calculateur!CI113*VLOOKUP('Données projet'!$B$12,Paramètres!$A$1:$I$89,3,0)*0.475*44/12</f>
        <v>0.36378975661852386</v>
      </c>
      <c r="CM113" s="23">
        <f>EXP(-LN(2)/2)*CM112+(1-EXP(-LN(2)/2))/(LN(2)/2)*CG113*CJ113*VLOOKUP('Données projet'!$B$12,Paramètres!$A$1:$I$89,3,0)*0.475*44/12</f>
        <v>1.0018253657918099E-9</v>
      </c>
      <c r="CN113" s="24">
        <f t="shared" si="66"/>
        <v>22.797889244872167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332</v>
      </c>
      <c r="CR113" s="13">
        <f>VLOOKUP(A113,'Données projet'!$A$139:$I$159,9,0)</f>
        <v>5</v>
      </c>
      <c r="CS113" s="13">
        <f t="array" ref="CS113">INDEX(CR:CR,MIN(IF(ISNUMBER(CR113:CR309),ROW(CR113:CR309),"")))</f>
        <v>5</v>
      </c>
      <c r="CT113" s="13">
        <f>IF('Données projet'!$A$140&gt;35,CT112+CS113-DB112,IF(A113&lt;'Données projet'!$A$140,$CQ$205^A113,IF(A113='Données projet'!$A$140,'Données projet'!$B$140,CT112+CS113-DB112)))</f>
        <v>331.99999999999989</v>
      </c>
      <c r="CU113" s="18">
        <f>CT113*VLOOKUP('Données projet'!$B$13,Paramètres!$A$1:$I$89,3,0)*VLOOKUP('Données projet'!$B$13,Paramètres!$A$1:$I$89,5,0)</f>
        <v>300.39359999999988</v>
      </c>
      <c r="CV113" s="14">
        <f t="shared" si="95"/>
        <v>71.258970856492667</v>
      </c>
      <c r="CW113" s="22">
        <f t="shared" si="67"/>
        <v>647.29489424172459</v>
      </c>
      <c r="CX113" s="62">
        <f t="shared" si="68"/>
        <v>920.30287211975701</v>
      </c>
      <c r="CY113" s="62">
        <f ca="1">AVERAGE(OFFSET($CX$3,0,0,'Données projet'!$E$13+1,1))-AVERAGE(OFFSET($H$3,0,0,'Données projet'!$E$13+1,1))</f>
        <v>499.92116338695428</v>
      </c>
      <c r="CZ113" s="62">
        <f t="shared" si="96"/>
        <v>316.79403154855652</v>
      </c>
      <c r="DA113" s="16">
        <f>IF(ISNA(VLOOKUP(A113,'Données projet'!$A$139:$I$159,3,0)),0,VLOOKUP(A113,'Données projet'!$A$139:$I$159,3,0))</f>
        <v>19</v>
      </c>
      <c r="DB113" s="16">
        <f>IF(ISNA(VLOOKUP(A113,'Données projet'!$A$139:$I$159,4,0)),0,VLOOKUP(A113,'Données projet'!$A$139:$I$159,4,0))</f>
        <v>25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0.34090400273999927</v>
      </c>
      <c r="DH113" s="23">
        <f>EXP(-LN(2)/2)*DH112+(1-EXP(-LN(2)/2))/(LN(2)/2)*DB113*DE113*VLOOKUP('Données projet'!$B$13,Paramètres!$A$1:$I$89,3,0)*0.475*44/12</f>
        <v>2.6902221287566664E-12</v>
      </c>
      <c r="DI113" s="24">
        <f t="shared" si="69"/>
        <v>0.3409040027426895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135.66666666666666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211.70619219850786</v>
      </c>
      <c r="T114" s="62">
        <f t="shared" si="88"/>
        <v>426.883837098247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1.9895196601282805E-13</v>
      </c>
      <c r="AJ114" s="14">
        <f>AI114*VLOOKUP('Données projet'!$B$10,Paramètres!$A$1:$I$89,3,0)*VLOOKUP('Données projet'!$B$10,Paramètres!$A$1:$I$89,5,0)</f>
        <v>1.8001173884840681E-13</v>
      </c>
      <c r="AK114" s="14">
        <f t="shared" si="89"/>
        <v>2.5254331426407198E-12</v>
      </c>
      <c r="AL114" s="22">
        <f t="shared" si="58"/>
        <v>4.7119831685935622E-12</v>
      </c>
      <c r="AM114" s="62">
        <f t="shared" si="59"/>
        <v>273.36057735449924</v>
      </c>
      <c r="AN114" s="62">
        <f ca="1">AVERAGE(OFFSET($AM$3,0,0,'Données projet'!$E$10+1,1))-AVERAGE(OFFSET($H$3,0,0,'Données projet'!$E$10+1,1))</f>
        <v>327.07074355218322</v>
      </c>
      <c r="AO114" s="62">
        <f t="shared" si="90"/>
        <v>462.01668587029087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1.676297993331602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1.676297993331602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-9.9316821433603781E-14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378.51861272969165</v>
      </c>
      <c r="BJ114" s="62">
        <f t="shared" si="92"/>
        <v>387.42368617035459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1.5150216109280821</v>
      </c>
      <c r="BR114" s="23">
        <f>EXP(-LN(2)/2)*BR113+(1-EXP(-LN(2)/2))/(LN(2)/2)*BL114*BO114*VLOOKUP('Données projet'!$B$11,Paramètres!$A$1:$I$89,3,0)*0.475*44/12</f>
        <v>1.1540320801262051E-11</v>
      </c>
      <c r="BS114" s="24">
        <f t="shared" si="63"/>
        <v>1.5150216109396224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5.6843418860808015E-14</v>
      </c>
      <c r="BZ114" s="14">
        <f>BY114*VLOOKUP('Données projet'!$B$12,Paramètres!$A$1:$I$89,3,0)*VLOOKUP('Données projet'!$B$12,Paramètres!$A$1:$I$89,5,0)</f>
        <v>3.3992364478763198E-14</v>
      </c>
      <c r="CA114" s="14">
        <f t="shared" si="93"/>
        <v>5.790027782444094E-13</v>
      </c>
      <c r="CB114" s="22">
        <f t="shared" si="64"/>
        <v>1.0676332069095257E-12</v>
      </c>
      <c r="CC114" s="62">
        <f t="shared" si="65"/>
        <v>273.3605773544956</v>
      </c>
      <c r="CD114" s="62">
        <f ca="1">AVERAGE(OFFSET($CC$3,0,0,'Données projet'!$E$12+1,1))-AVERAGE(OFFSET($H$3,0,0,'Données projet'!$E$12+1,1))</f>
        <v>225.71928466161592</v>
      </c>
      <c r="CE114" s="62">
        <f t="shared" si="94"/>
        <v>385.98818770742025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21.994180479756366</v>
      </c>
      <c r="CL114" s="23">
        <f>EXP(-LN(2)/25)*CL113+(1-EXP(-LN(2)/25))/(LN(2)/25)*Calculateur!CG114*Calculateur!CI114*VLOOKUP('Données projet'!$B$12,Paramètres!$A$1:$I$89,3,0)*0.475*44/12</f>
        <v>0.35384190659291848</v>
      </c>
      <c r="CM114" s="23">
        <f>EXP(-LN(2)/2)*CM113+(1-EXP(-LN(2)/2))/(LN(2)/2)*CG114*CJ114*VLOOKUP('Données projet'!$B$12,Paramètres!$A$1:$I$89,3,0)*0.475*44/12</f>
        <v>7.0839750971608228E-10</v>
      </c>
      <c r="CN114" s="24">
        <f t="shared" si="66"/>
        <v>22.348022387057682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4.5999999999999996</v>
      </c>
      <c r="CT114" s="13">
        <f>IF('Données projet'!$A$140&gt;35,CT113+CS114-DB113,IF(A114&lt;'Données projet'!$A$140,$CQ$205^A114,IF(A114='Données projet'!$A$140,'Données projet'!$B$140,CT113+CS114-DB113)))</f>
        <v>311.59999999999991</v>
      </c>
      <c r="CU114" s="18">
        <f>CT114*VLOOKUP('Données projet'!$B$13,Paramètres!$A$1:$I$89,3,0)*VLOOKUP('Données projet'!$B$13,Paramètres!$A$1:$I$89,5,0)</f>
        <v>281.93567999999988</v>
      </c>
      <c r="CV114" s="14">
        <f t="shared" si="95"/>
        <v>67.375909546040361</v>
      </c>
      <c r="CW114" s="22">
        <f t="shared" si="67"/>
        <v>608.38435179268674</v>
      </c>
      <c r="CX114" s="62">
        <f t="shared" si="68"/>
        <v>881.74492914718121</v>
      </c>
      <c r="CY114" s="62">
        <f ca="1">AVERAGE(OFFSET($CX$3,0,0,'Données projet'!$E$13+1,1))-AVERAGE(OFFSET($H$3,0,0,'Données projet'!$E$13+1,1))</f>
        <v>499.92116338695428</v>
      </c>
      <c r="CZ114" s="62">
        <f t="shared" si="96"/>
        <v>316.79403154855652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0.33158196485771163</v>
      </c>
      <c r="DH114" s="23">
        <f>EXP(-LN(2)/2)*DH113+(1-EXP(-LN(2)/2))/(LN(2)/2)*DB114*DE114*VLOOKUP('Données projet'!$B$13,Paramètres!$A$1:$I$89,3,0)*0.475*44/12</f>
        <v>1.9022743101419482E-12</v>
      </c>
      <c r="DI114" s="24">
        <f t="shared" si="69"/>
        <v>0.33158196485961389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135.66666666666666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211.70619219850786</v>
      </c>
      <c r="T115" s="62">
        <f t="shared" si="88"/>
        <v>426.883837098247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1.9895196601282805E-13</v>
      </c>
      <c r="AJ115" s="14">
        <f>AI115*VLOOKUP('Données projet'!$B$10,Paramètres!$A$1:$I$89,3,0)*VLOOKUP('Données projet'!$B$10,Paramètres!$A$1:$I$89,5,0)</f>
        <v>1.8001173884840681E-13</v>
      </c>
      <c r="AK115" s="14">
        <f t="shared" si="89"/>
        <v>2.5254331426407198E-12</v>
      </c>
      <c r="AL115" s="22">
        <f t="shared" si="58"/>
        <v>4.7119831685935622E-12</v>
      </c>
      <c r="AM115" s="62">
        <f t="shared" si="59"/>
        <v>273.70706001833912</v>
      </c>
      <c r="AN115" s="62">
        <f ca="1">AVERAGE(OFFSET($AM$3,0,0,'Données projet'!$E$10+1,1))-AVERAGE(OFFSET($H$3,0,0,'Données projet'!$E$10+1,1))</f>
        <v>327.07074355218322</v>
      </c>
      <c r="AO115" s="62">
        <f t="shared" si="90"/>
        <v>462.01668587029087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1.6434268121231876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1.6434268121231876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-9.9316821433603781E-14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378.51861272969165</v>
      </c>
      <c r="BJ115" s="62">
        <f t="shared" si="92"/>
        <v>387.42368617035459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1.4735932653057298</v>
      </c>
      <c r="BR115" s="23">
        <f>EXP(-LN(2)/2)*BR114+(1-EXP(-LN(2)/2))/(LN(2)/2)*BL115*BO115*VLOOKUP('Données projet'!$B$11,Paramètres!$A$1:$I$89,3,0)*0.475*44/12</f>
        <v>8.1602390956405674E-12</v>
      </c>
      <c r="BS115" s="24">
        <f t="shared" si="63"/>
        <v>1.4735932653138899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5.6843418860808015E-14</v>
      </c>
      <c r="BZ115" s="14">
        <f>BY115*VLOOKUP('Données projet'!$B$12,Paramètres!$A$1:$I$89,3,0)*VLOOKUP('Données projet'!$B$12,Paramètres!$A$1:$I$89,5,0)</f>
        <v>3.3992364478763198E-14</v>
      </c>
      <c r="CA115" s="14">
        <f t="shared" si="93"/>
        <v>5.790027782444094E-13</v>
      </c>
      <c r="CB115" s="22">
        <f t="shared" si="64"/>
        <v>1.0676332069095257E-12</v>
      </c>
      <c r="CC115" s="62">
        <f t="shared" si="65"/>
        <v>273.70706001833548</v>
      </c>
      <c r="CD115" s="62">
        <f ca="1">AVERAGE(OFFSET($CC$3,0,0,'Données projet'!$E$12+1,1))-AVERAGE(OFFSET($H$3,0,0,'Données projet'!$E$12+1,1))</f>
        <v>225.71928466161592</v>
      </c>
      <c r="CE115" s="62">
        <f t="shared" si="94"/>
        <v>385.98818770742025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21.562888015673803</v>
      </c>
      <c r="CL115" s="23">
        <f>EXP(-LN(2)/25)*CL114+(1-EXP(-LN(2)/25))/(LN(2)/25)*Calculateur!CG115*Calculateur!CI115*VLOOKUP('Données projet'!$B$12,Paramètres!$A$1:$I$89,3,0)*0.475*44/12</f>
        <v>0.34416608104939794</v>
      </c>
      <c r="CM115" s="23">
        <f>EXP(-LN(2)/2)*CM114+(1-EXP(-LN(2)/2))/(LN(2)/2)*CG115*CJ115*VLOOKUP('Données projet'!$B$12,Paramètres!$A$1:$I$89,3,0)*0.475*44/12</f>
        <v>5.0091268289590496E-10</v>
      </c>
      <c r="CN115" s="24">
        <f t="shared" si="66"/>
        <v>21.907054097224112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4.5999999999999996</v>
      </c>
      <c r="CT115" s="13">
        <f>IF('Données projet'!$A$140&gt;35,CT114+CS115-DB114,IF(A115&lt;'Données projet'!$A$140,$CQ$205^A115,IF(A115='Données projet'!$A$140,'Données projet'!$B$140,CT114+CS115-DB114)))</f>
        <v>316.19999999999993</v>
      </c>
      <c r="CU115" s="18">
        <f>CT115*VLOOKUP('Données projet'!$B$13,Paramètres!$A$1:$I$89,3,0)*VLOOKUP('Données projet'!$B$13,Paramètres!$A$1:$I$89,5,0)</f>
        <v>286.09775999999994</v>
      </c>
      <c r="CV115" s="14">
        <f t="shared" si="95"/>
        <v>68.254020651723678</v>
      </c>
      <c r="CW115" s="22">
        <f t="shared" si="67"/>
        <v>617.16268463508527</v>
      </c>
      <c r="CX115" s="62">
        <f t="shared" si="68"/>
        <v>890.86974465341973</v>
      </c>
      <c r="CY115" s="62">
        <f ca="1">AVERAGE(OFFSET($CX$3,0,0,'Données projet'!$E$13+1,1))-AVERAGE(OFFSET($H$3,0,0,'Données projet'!$E$13+1,1))</f>
        <v>499.92116338695428</v>
      </c>
      <c r="CZ115" s="62">
        <f t="shared" si="96"/>
        <v>316.79403154855652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0.32251483859153979</v>
      </c>
      <c r="DH115" s="23">
        <f>EXP(-LN(2)/2)*DH114+(1-EXP(-LN(2)/2))/(LN(2)/2)*DB115*DE115*VLOOKUP('Données projet'!$B$13,Paramètres!$A$1:$I$89,3,0)*0.475*44/12</f>
        <v>1.3451110643783332E-12</v>
      </c>
      <c r="DI115" s="24">
        <f t="shared" si="69"/>
        <v>0.32251483859288488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135.66666666666666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211.70619219850786</v>
      </c>
      <c r="T116" s="62">
        <f t="shared" si="88"/>
        <v>426.883837098247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1.9895196601282805E-13</v>
      </c>
      <c r="AJ116" s="14">
        <f>AI116*VLOOKUP('Données projet'!$B$10,Paramètres!$A$1:$I$89,3,0)*VLOOKUP('Données projet'!$B$10,Paramètres!$A$1:$I$89,5,0)</f>
        <v>1.8001173884840681E-13</v>
      </c>
      <c r="AK116" s="14">
        <f t="shared" si="89"/>
        <v>2.5254331426407198E-12</v>
      </c>
      <c r="AL116" s="22">
        <f t="shared" si="58"/>
        <v>4.7119831685935622E-12</v>
      </c>
      <c r="AM116" s="62">
        <f t="shared" si="59"/>
        <v>274.04753198258055</v>
      </c>
      <c r="AN116" s="62">
        <f ca="1">AVERAGE(OFFSET($AM$3,0,0,'Données projet'!$E$10+1,1))-AVERAGE(OFFSET($H$3,0,0,'Données projet'!$E$10+1,1))</f>
        <v>327.07074355218322</v>
      </c>
      <c r="AO116" s="62">
        <f t="shared" si="90"/>
        <v>462.01668587029087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1.6112002147288293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1.6112002147288293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-9.9316821433603781E-14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378.51861272969165</v>
      </c>
      <c r="BJ116" s="62">
        <f t="shared" si="92"/>
        <v>387.42368617035459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1.4332977799730426</v>
      </c>
      <c r="BR116" s="23">
        <f>EXP(-LN(2)/2)*BR115+(1-EXP(-LN(2)/2))/(LN(2)/2)*BL116*BO116*VLOOKUP('Données projet'!$B$11,Paramètres!$A$1:$I$89,3,0)*0.475*44/12</f>
        <v>5.7701604006310253E-12</v>
      </c>
      <c r="BS116" s="24">
        <f t="shared" si="63"/>
        <v>1.4332977799788127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5.6843418860808015E-14</v>
      </c>
      <c r="BZ116" s="14">
        <f>BY116*VLOOKUP('Données projet'!$B$12,Paramètres!$A$1:$I$89,3,0)*VLOOKUP('Données projet'!$B$12,Paramètres!$A$1:$I$89,5,0)</f>
        <v>3.3992364478763198E-14</v>
      </c>
      <c r="CA116" s="14">
        <f t="shared" si="93"/>
        <v>5.790027782444094E-13</v>
      </c>
      <c r="CB116" s="22">
        <f t="shared" si="64"/>
        <v>1.0676332069095257E-12</v>
      </c>
      <c r="CC116" s="62">
        <f t="shared" si="65"/>
        <v>274.04753198257691</v>
      </c>
      <c r="CD116" s="62">
        <f ca="1">AVERAGE(OFFSET($CC$3,0,0,'Données projet'!$E$12+1,1))-AVERAGE(OFFSET($H$3,0,0,'Données projet'!$E$12+1,1))</f>
        <v>225.71928466161592</v>
      </c>
      <c r="CE116" s="62">
        <f t="shared" si="94"/>
        <v>385.98818770742025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21.14005293374947</v>
      </c>
      <c r="CL116" s="23">
        <f>EXP(-LN(2)/25)*CL115+(1-EXP(-LN(2)/25))/(LN(2)/25)*Calculateur!CG116*Calculateur!CI116*VLOOKUP('Données projet'!$B$12,Paramètres!$A$1:$I$89,3,0)*0.475*44/12</f>
        <v>0.33475484146419454</v>
      </c>
      <c r="CM116" s="23">
        <f>EXP(-LN(2)/2)*CM115+(1-EXP(-LN(2)/2))/(LN(2)/2)*CG116*CJ116*VLOOKUP('Données projet'!$B$12,Paramètres!$A$1:$I$89,3,0)*0.475*44/12</f>
        <v>3.5419875485804114E-10</v>
      </c>
      <c r="CN116" s="24">
        <f t="shared" si="66"/>
        <v>21.474807775567861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4.5999999999999996</v>
      </c>
      <c r="CT116" s="13">
        <f>IF('Données projet'!$A$140&gt;35,CT115+CS116-DB115,IF(A116&lt;'Données projet'!$A$140,$CQ$205^A116,IF(A116='Données projet'!$A$140,'Données projet'!$B$140,CT115+CS116-DB115)))</f>
        <v>320.79999999999995</v>
      </c>
      <c r="CU116" s="18">
        <f>CT116*VLOOKUP('Données projet'!$B$13,Paramètres!$A$1:$I$89,3,0)*VLOOKUP('Données projet'!$B$13,Paramètres!$A$1:$I$89,5,0)</f>
        <v>290.25983999999994</v>
      </c>
      <c r="CV116" s="14">
        <f t="shared" si="95"/>
        <v>69.130646003237317</v>
      </c>
      <c r="CW116" s="22">
        <f t="shared" si="67"/>
        <v>625.93842978897146</v>
      </c>
      <c r="CX116" s="62">
        <f t="shared" si="68"/>
        <v>899.9859617715473</v>
      </c>
      <c r="CY116" s="62">
        <f ca="1">AVERAGE(OFFSET($CX$3,0,0,'Données projet'!$E$13+1,1))-AVERAGE(OFFSET($H$3,0,0,'Données projet'!$E$13+1,1))</f>
        <v>499.92116338695428</v>
      </c>
      <c r="CZ116" s="62">
        <f t="shared" si="96"/>
        <v>316.79403154855652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0.31369565336993588</v>
      </c>
      <c r="DH116" s="23">
        <f>EXP(-LN(2)/2)*DH115+(1-EXP(-LN(2)/2))/(LN(2)/2)*DB116*DE116*VLOOKUP('Données projet'!$B$13,Paramètres!$A$1:$I$89,3,0)*0.475*44/12</f>
        <v>9.5113715507097409E-13</v>
      </c>
      <c r="DI116" s="24">
        <f t="shared" si="69"/>
        <v>0.31369565337088701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135.66666666666666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211.70619219850786</v>
      </c>
      <c r="T117" s="62">
        <f t="shared" si="88"/>
        <v>426.883837098247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1.9895196601282805E-13</v>
      </c>
      <c r="AJ117" s="14">
        <f>AI117*VLOOKUP('Données projet'!$B$10,Paramètres!$A$1:$I$89,3,0)*VLOOKUP('Données projet'!$B$10,Paramètres!$A$1:$I$89,5,0)</f>
        <v>1.8001173884840681E-13</v>
      </c>
      <c r="AK117" s="14">
        <f t="shared" si="89"/>
        <v>2.5254331426407198E-12</v>
      </c>
      <c r="AL117" s="22">
        <f t="shared" si="58"/>
        <v>4.7119831685935622E-12</v>
      </c>
      <c r="AM117" s="62">
        <f t="shared" si="59"/>
        <v>274.38209751942372</v>
      </c>
      <c r="AN117" s="62">
        <f ca="1">AVERAGE(OFFSET($AM$3,0,0,'Données projet'!$E$10+1,1))-AVERAGE(OFFSET($H$3,0,0,'Données projet'!$E$10+1,1))</f>
        <v>327.07074355218322</v>
      </c>
      <c r="AO117" s="62">
        <f t="shared" si="90"/>
        <v>462.01668587029087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1.579605561253091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1.579605561253091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-9.9316821433603781E-14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378.51861272969165</v>
      </c>
      <c r="BJ117" s="62">
        <f t="shared" si="92"/>
        <v>387.42368617035459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1.3941041768058253</v>
      </c>
      <c r="BR117" s="23">
        <f>EXP(-LN(2)/2)*BR116+(1-EXP(-LN(2)/2))/(LN(2)/2)*BL117*BO117*VLOOKUP('Données projet'!$B$11,Paramètres!$A$1:$I$89,3,0)*0.475*44/12</f>
        <v>4.0801195478202837E-12</v>
      </c>
      <c r="BS117" s="24">
        <f t="shared" si="63"/>
        <v>1.3941041768099054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5.6843418860808015E-14</v>
      </c>
      <c r="BZ117" s="14">
        <f>BY117*VLOOKUP('Données projet'!$B$12,Paramètres!$A$1:$I$89,3,0)*VLOOKUP('Données projet'!$B$12,Paramètres!$A$1:$I$89,5,0)</f>
        <v>3.3992364478763198E-14</v>
      </c>
      <c r="CA117" s="14">
        <f t="shared" si="93"/>
        <v>5.790027782444094E-13</v>
      </c>
      <c r="CB117" s="22">
        <f t="shared" si="64"/>
        <v>1.0676332069095257E-12</v>
      </c>
      <c r="CC117" s="62">
        <f t="shared" si="65"/>
        <v>274.38209751942009</v>
      </c>
      <c r="CD117" s="62">
        <f ca="1">AVERAGE(OFFSET($CC$3,0,0,'Données projet'!$E$12+1,1))-AVERAGE(OFFSET($H$3,0,0,'Données projet'!$E$12+1,1))</f>
        <v>225.71928466161592</v>
      </c>
      <c r="CE117" s="62">
        <f t="shared" si="94"/>
        <v>385.98818770742025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20.72550938987774</v>
      </c>
      <c r="CL117" s="23">
        <f>EXP(-LN(2)/25)*CL116+(1-EXP(-LN(2)/25))/(LN(2)/25)*Calculateur!CG117*Calculateur!CI117*VLOOKUP('Données projet'!$B$12,Paramètres!$A$1:$I$89,3,0)*0.475*44/12</f>
        <v>0.3256009527203641</v>
      </c>
      <c r="CM117" s="23">
        <f>EXP(-LN(2)/2)*CM116+(1-EXP(-LN(2)/2))/(LN(2)/2)*CG117*CJ117*VLOOKUP('Données projet'!$B$12,Paramètres!$A$1:$I$89,3,0)*0.475*44/12</f>
        <v>2.5045634144795248E-10</v>
      </c>
      <c r="CN117" s="24">
        <f t="shared" si="66"/>
        <v>21.05111034284856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4.5999999999999996</v>
      </c>
      <c r="CT117" s="13">
        <f>IF('Données projet'!$A$140&gt;35,CT116+CS117-DB116,IF(A117&lt;'Données projet'!$A$140,$CQ$205^A117,IF(A117='Données projet'!$A$140,'Données projet'!$B$140,CT116+CS117-DB116)))</f>
        <v>325.39999999999998</v>
      </c>
      <c r="CU117" s="18">
        <f>CT117*VLOOKUP('Données projet'!$B$13,Paramètres!$A$1:$I$89,3,0)*VLOOKUP('Données projet'!$B$13,Paramètres!$A$1:$I$89,5,0)</f>
        <v>294.42191999999994</v>
      </c>
      <c r="CV117" s="14">
        <f t="shared" si="95"/>
        <v>70.005809366676559</v>
      </c>
      <c r="CW117" s="22">
        <f t="shared" si="67"/>
        <v>634.71162864696146</v>
      </c>
      <c r="CX117" s="62">
        <f t="shared" si="68"/>
        <v>909.09372616638052</v>
      </c>
      <c r="CY117" s="62">
        <f ca="1">AVERAGE(OFFSET($CX$3,0,0,'Données projet'!$E$13+1,1))-AVERAGE(OFFSET($H$3,0,0,'Données projet'!$E$13+1,1))</f>
        <v>499.92116338695428</v>
      </c>
      <c r="CZ117" s="62">
        <f t="shared" si="96"/>
        <v>316.79403154855652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0.30511762923199753</v>
      </c>
      <c r="DH117" s="23">
        <f>EXP(-LN(2)/2)*DH116+(1-EXP(-LN(2)/2))/(LN(2)/2)*DB117*DE117*VLOOKUP('Données projet'!$B$13,Paramètres!$A$1:$I$89,3,0)*0.475*44/12</f>
        <v>6.7255553218916661E-13</v>
      </c>
      <c r="DI117" s="24">
        <f t="shared" si="69"/>
        <v>0.30511762923267011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135.66666666666666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211.70619219850786</v>
      </c>
      <c r="T118" s="62">
        <f t="shared" si="88"/>
        <v>426.883837098247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1.9895196601282805E-13</v>
      </c>
      <c r="AJ118" s="14">
        <f>AI118*VLOOKUP('Données projet'!$B$10,Paramètres!$A$1:$I$89,3,0)*VLOOKUP('Données projet'!$B$10,Paramètres!$A$1:$I$89,5,0)</f>
        <v>1.8001173884840681E-13</v>
      </c>
      <c r="AK118" s="14">
        <f t="shared" si="89"/>
        <v>2.5254331426407198E-12</v>
      </c>
      <c r="AL118" s="22">
        <f t="shared" si="58"/>
        <v>4.7119831685935622E-12</v>
      </c>
      <c r="AM118" s="62">
        <f t="shared" si="59"/>
        <v>274.71085909217913</v>
      </c>
      <c r="AN118" s="62">
        <f ca="1">AVERAGE(OFFSET($AM$3,0,0,'Données projet'!$E$10+1,1))-AVERAGE(OFFSET($H$3,0,0,'Données projet'!$E$10+1,1))</f>
        <v>327.07074355218322</v>
      </c>
      <c r="AO118" s="62">
        <f t="shared" si="90"/>
        <v>462.01668587029087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1.5486304596611762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1.5486304596611762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-9.9316821433603781E-14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378.51861272969165</v>
      </c>
      <c r="BJ118" s="62">
        <f t="shared" si="92"/>
        <v>387.42368617035459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1.3559823247783176</v>
      </c>
      <c r="BR118" s="23">
        <f>EXP(-LN(2)/2)*BR117+(1-EXP(-LN(2)/2))/(LN(2)/2)*BL118*BO118*VLOOKUP('Données projet'!$B$11,Paramètres!$A$1:$I$89,3,0)*0.475*44/12</f>
        <v>2.8850802003155126E-12</v>
      </c>
      <c r="BS118" s="24">
        <f t="shared" si="63"/>
        <v>1.3559823247812026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5.6843418860808015E-14</v>
      </c>
      <c r="BZ118" s="14">
        <f>BY118*VLOOKUP('Données projet'!$B$12,Paramètres!$A$1:$I$89,3,0)*VLOOKUP('Données projet'!$B$12,Paramètres!$A$1:$I$89,5,0)</f>
        <v>3.3992364478763198E-14</v>
      </c>
      <c r="CA118" s="14">
        <f t="shared" si="93"/>
        <v>5.790027782444094E-13</v>
      </c>
      <c r="CB118" s="22">
        <f t="shared" si="64"/>
        <v>1.0676332069095257E-12</v>
      </c>
      <c r="CC118" s="62">
        <f t="shared" si="65"/>
        <v>274.7108590921755</v>
      </c>
      <c r="CD118" s="62">
        <f ca="1">AVERAGE(OFFSET($CC$3,0,0,'Données projet'!$E$12+1,1))-AVERAGE(OFFSET($H$3,0,0,'Données projet'!$E$12+1,1))</f>
        <v>225.71928466161592</v>
      </c>
      <c r="CE118" s="62">
        <f t="shared" si="94"/>
        <v>385.98818770742025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20.319094792054738</v>
      </c>
      <c r="CL118" s="23">
        <f>EXP(-LN(2)/25)*CL117+(1-EXP(-LN(2)/25))/(LN(2)/25)*Calculateur!CG118*Calculateur!CI118*VLOOKUP('Données projet'!$B$12,Paramètres!$A$1:$I$89,3,0)*0.475*44/12</f>
        <v>0.31669737754561583</v>
      </c>
      <c r="CM118" s="23">
        <f>EXP(-LN(2)/2)*CM117+(1-EXP(-LN(2)/2))/(LN(2)/2)*CG118*CJ118*VLOOKUP('Données projet'!$B$12,Paramètres!$A$1:$I$89,3,0)*0.475*44/12</f>
        <v>1.7709937742902057E-10</v>
      </c>
      <c r="CN118" s="24">
        <f t="shared" si="66"/>
        <v>20.635792169777453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330</v>
      </c>
      <c r="CR118" s="13">
        <f>VLOOKUP(A118,'Données projet'!$A$139:$I$159,9,0)</f>
        <v>4.5999999999999996</v>
      </c>
      <c r="CS118" s="13">
        <f t="array" ref="CS118">INDEX(CR:CR,MIN(IF(ISNUMBER(CR118:CR314),ROW(CR118:CR314),"")))</f>
        <v>4.5999999999999996</v>
      </c>
      <c r="CT118" s="13">
        <f>IF('Données projet'!$A$140&gt;35,CT117+CS118-DB117,IF(A118&lt;'Données projet'!$A$140,$CQ$205^A118,IF(A118='Données projet'!$A$140,'Données projet'!$B$140,CT117+CS118-DB117)))</f>
        <v>330</v>
      </c>
      <c r="CU118" s="18">
        <f>CT118*VLOOKUP('Données projet'!$B$13,Paramètres!$A$1:$I$89,3,0)*VLOOKUP('Données projet'!$B$13,Paramètres!$A$1:$I$89,5,0)</f>
        <v>298.58399999999995</v>
      </c>
      <c r="CV118" s="14">
        <f t="shared" si="95"/>
        <v>70.879533797607607</v>
      </c>
      <c r="CW118" s="22">
        <f t="shared" si="67"/>
        <v>643.48232136416652</v>
      </c>
      <c r="CX118" s="62">
        <f t="shared" si="68"/>
        <v>918.193180456341</v>
      </c>
      <c r="CY118" s="62">
        <f ca="1">AVERAGE(OFFSET($CX$3,0,0,'Données projet'!$E$13+1,1))-AVERAGE(OFFSET($H$3,0,0,'Données projet'!$E$13+1,1))</f>
        <v>499.92116338695428</v>
      </c>
      <c r="CZ118" s="62">
        <f t="shared" si="96"/>
        <v>316.79403154855652</v>
      </c>
      <c r="DA118" s="16">
        <f>IF(ISNA(VLOOKUP(A118,'Données projet'!$A$139:$I$159,3,0)),0,VLOOKUP(A118,'Données projet'!$A$139:$I$159,3,0))</f>
        <v>20</v>
      </c>
      <c r="DB118" s="16">
        <f>IF(ISNA(VLOOKUP(A118,'Données projet'!$A$139:$I$159,4,0)),0,VLOOKUP(A118,'Données projet'!$A$139:$I$159,4,0))</f>
        <v>330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0.2967741716152098</v>
      </c>
      <c r="DH118" s="23">
        <f>EXP(-LN(2)/2)*DH117+(1-EXP(-LN(2)/2))/(LN(2)/2)*DB118*DE118*VLOOKUP('Données projet'!$B$13,Paramètres!$A$1:$I$89,3,0)*0.475*44/12</f>
        <v>4.7556857753548705E-13</v>
      </c>
      <c r="DI118" s="24">
        <f t="shared" si="69"/>
        <v>0.29677417161568537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135.66666666666666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211.70619219850786</v>
      </c>
      <c r="T119" s="62">
        <f t="shared" si="88"/>
        <v>426.883837098247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1.9895196601282805E-13</v>
      </c>
      <c r="AJ119" s="14">
        <f>AI119*VLOOKUP('Données projet'!$B$10,Paramètres!$A$1:$I$89,3,0)*VLOOKUP('Données projet'!$B$10,Paramètres!$A$1:$I$89,5,0)</f>
        <v>1.8001173884840681E-13</v>
      </c>
      <c r="AK119" s="14">
        <f t="shared" si="89"/>
        <v>2.5254331426407198E-12</v>
      </c>
      <c r="AL119" s="22">
        <f t="shared" si="58"/>
        <v>4.7119831685935622E-12</v>
      </c>
      <c r="AM119" s="62">
        <f t="shared" si="59"/>
        <v>275.03391738664806</v>
      </c>
      <c r="AN119" s="62">
        <f ca="1">AVERAGE(OFFSET($AM$3,0,0,'Données projet'!$E$10+1,1))-AVERAGE(OFFSET($H$3,0,0,'Données projet'!$E$10+1,1))</f>
        <v>327.07074355218322</v>
      </c>
      <c r="AO119" s="62">
        <f t="shared" si="90"/>
        <v>462.01668587029087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1.5182627609185322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1.5182627609185322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-9.9316821433603781E-14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378.51861272969165</v>
      </c>
      <c r="BJ119" s="62">
        <f t="shared" si="92"/>
        <v>387.42368617035459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1.3189029167992432</v>
      </c>
      <c r="BR119" s="23">
        <f>EXP(-LN(2)/2)*BR118+(1-EXP(-LN(2)/2))/(LN(2)/2)*BL119*BO119*VLOOKUP('Données projet'!$B$11,Paramètres!$A$1:$I$89,3,0)*0.475*44/12</f>
        <v>2.0400597739101418E-12</v>
      </c>
      <c r="BS119" s="24">
        <f t="shared" si="63"/>
        <v>1.3189029168012834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5.6843418860808015E-14</v>
      </c>
      <c r="BZ119" s="14">
        <f>BY119*VLOOKUP('Données projet'!$B$12,Paramètres!$A$1:$I$89,3,0)*VLOOKUP('Données projet'!$B$12,Paramètres!$A$1:$I$89,5,0)</f>
        <v>3.3992364478763198E-14</v>
      </c>
      <c r="CA119" s="14">
        <f t="shared" si="93"/>
        <v>5.790027782444094E-13</v>
      </c>
      <c r="CB119" s="22">
        <f t="shared" si="64"/>
        <v>1.0676332069095257E-12</v>
      </c>
      <c r="CC119" s="62">
        <f t="shared" si="65"/>
        <v>275.03391738664442</v>
      </c>
      <c r="CD119" s="62">
        <f ca="1">AVERAGE(OFFSET($CC$3,0,0,'Données projet'!$E$12+1,1))-AVERAGE(OFFSET($H$3,0,0,'Données projet'!$E$12+1,1))</f>
        <v>225.71928466161592</v>
      </c>
      <c r="CE119" s="62">
        <f t="shared" si="94"/>
        <v>385.98818770742025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19.92064973660662</v>
      </c>
      <c r="CL119" s="23">
        <f>EXP(-LN(2)/25)*CL118+(1-EXP(-LN(2)/25))/(LN(2)/25)*Calculateur!CG119*Calculateur!CI119*VLOOKUP('Données projet'!$B$12,Paramètres!$A$1:$I$89,3,0)*0.475*44/12</f>
        <v>0.30803727110223972</v>
      </c>
      <c r="CM119" s="23">
        <f>EXP(-LN(2)/2)*CM118+(1-EXP(-LN(2)/2))/(LN(2)/2)*CG119*CJ119*VLOOKUP('Données projet'!$B$12,Paramètres!$A$1:$I$89,3,0)*0.475*44/12</f>
        <v>1.2522817072397624E-10</v>
      </c>
      <c r="CN119" s="24">
        <f t="shared" si="66"/>
        <v>20.22868700783409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499.92116338695428</v>
      </c>
      <c r="CZ119" s="62">
        <f t="shared" si="96"/>
        <v>316.79403154855652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0.28865886628571652</v>
      </c>
      <c r="DH119" s="23">
        <f>EXP(-LN(2)/2)*DH118+(1-EXP(-LN(2)/2))/(LN(2)/2)*DB119*DE119*VLOOKUP('Données projet'!$B$13,Paramètres!$A$1:$I$89,3,0)*0.475*44/12</f>
        <v>3.362777660945833E-13</v>
      </c>
      <c r="DI119" s="24">
        <f t="shared" si="69"/>
        <v>0.28865886628605281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135.66666666666666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211.70619219850786</v>
      </c>
      <c r="T120" s="62">
        <f t="shared" si="88"/>
        <v>426.883837098247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1.9895196601282805E-13</v>
      </c>
      <c r="AJ120" s="14">
        <f>AI120*VLOOKUP('Données projet'!$B$10,Paramètres!$A$1:$I$89,3,0)*VLOOKUP('Données projet'!$B$10,Paramètres!$A$1:$I$89,5,0)</f>
        <v>1.8001173884840681E-13</v>
      </c>
      <c r="AK120" s="14">
        <f t="shared" si="89"/>
        <v>2.5254331426407198E-12</v>
      </c>
      <c r="AL120" s="22">
        <f t="shared" si="58"/>
        <v>4.7119831685935622E-12</v>
      </c>
      <c r="AM120" s="62">
        <f t="shared" si="59"/>
        <v>275.35137134195799</v>
      </c>
      <c r="AN120" s="62">
        <f ca="1">AVERAGE(OFFSET($AM$3,0,0,'Données projet'!$E$10+1,1))-AVERAGE(OFFSET($H$3,0,0,'Données projet'!$E$10+1,1))</f>
        <v>327.07074355218322</v>
      </c>
      <c r="AO120" s="62">
        <f t="shared" si="90"/>
        <v>462.01668587029087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1.4884905542257643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1.4884905542257643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-9.9316821433603781E-14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378.51861272969165</v>
      </c>
      <c r="BJ120" s="62">
        <f t="shared" si="92"/>
        <v>387.42368617035459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1.282837447181278</v>
      </c>
      <c r="BR120" s="23">
        <f>EXP(-LN(2)/2)*BR119+(1-EXP(-LN(2)/2))/(LN(2)/2)*BL120*BO120*VLOOKUP('Données projet'!$B$11,Paramètres!$A$1:$I$89,3,0)*0.475*44/12</f>
        <v>1.4425401001577563E-12</v>
      </c>
      <c r="BS120" s="24">
        <f t="shared" si="63"/>
        <v>1.2828374471827206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5.6843418860808015E-14</v>
      </c>
      <c r="BZ120" s="14">
        <f>BY120*VLOOKUP('Données projet'!$B$12,Paramètres!$A$1:$I$89,3,0)*VLOOKUP('Données projet'!$B$12,Paramètres!$A$1:$I$89,5,0)</f>
        <v>3.3992364478763198E-14</v>
      </c>
      <c r="CA120" s="14">
        <f t="shared" si="93"/>
        <v>5.790027782444094E-13</v>
      </c>
      <c r="CB120" s="22">
        <f t="shared" si="64"/>
        <v>1.0676332069095257E-12</v>
      </c>
      <c r="CC120" s="62">
        <f t="shared" si="65"/>
        <v>275.35137134195435</v>
      </c>
      <c r="CD120" s="62">
        <f ca="1">AVERAGE(OFFSET($CC$3,0,0,'Données projet'!$E$12+1,1))-AVERAGE(OFFSET($H$3,0,0,'Données projet'!$E$12+1,1))</f>
        <v>225.71928466161592</v>
      </c>
      <c r="CE120" s="62">
        <f t="shared" si="94"/>
        <v>385.98818770742025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19.530017945668352</v>
      </c>
      <c r="CL120" s="23">
        <f>EXP(-LN(2)/25)*CL119+(1-EXP(-LN(2)/25))/(LN(2)/25)*Calculateur!CG120*Calculateur!CI120*VLOOKUP('Données projet'!$B$12,Paramètres!$A$1:$I$89,3,0)*0.475*44/12</f>
        <v>0.29961397572497289</v>
      </c>
      <c r="CM120" s="23">
        <f>EXP(-LN(2)/2)*CM119+(1-EXP(-LN(2)/2))/(LN(2)/2)*CG120*CJ120*VLOOKUP('Données projet'!$B$12,Paramètres!$A$1:$I$89,3,0)*0.475*44/12</f>
        <v>8.8549688714510285E-11</v>
      </c>
      <c r="CN120" s="24">
        <f t="shared" si="66"/>
        <v>19.829631921481877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499.92116338695428</v>
      </c>
      <c r="CZ120" s="62">
        <f t="shared" si="96"/>
        <v>316.79403154855652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0.28076547440722355</v>
      </c>
      <c r="DH120" s="23">
        <f>EXP(-LN(2)/2)*DH119+(1-EXP(-LN(2)/2))/(LN(2)/2)*DB120*DE120*VLOOKUP('Données projet'!$B$13,Paramètres!$A$1:$I$89,3,0)*0.475*44/12</f>
        <v>2.3778428876774352E-13</v>
      </c>
      <c r="DI120" s="24">
        <f t="shared" si="69"/>
        <v>0.28076547440746136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135.66666666666666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211.70619219850786</v>
      </c>
      <c r="T121" s="62">
        <f t="shared" si="88"/>
        <v>426.883837098247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1.9895196601282805E-13</v>
      </c>
      <c r="AJ121" s="14">
        <f>AI121*VLOOKUP('Données projet'!$B$10,Paramètres!$A$1:$I$89,3,0)*VLOOKUP('Données projet'!$B$10,Paramètres!$A$1:$I$89,5,0)</f>
        <v>1.8001173884840681E-13</v>
      </c>
      <c r="AK121" s="14">
        <f t="shared" si="89"/>
        <v>2.5254331426407198E-12</v>
      </c>
      <c r="AL121" s="22">
        <f t="shared" si="58"/>
        <v>4.7119831685935622E-12</v>
      </c>
      <c r="AM121" s="62">
        <f t="shared" si="59"/>
        <v>275.66331818086405</v>
      </c>
      <c r="AN121" s="62">
        <f ca="1">AVERAGE(OFFSET($AM$3,0,0,'Données projet'!$E$10+1,1))-AVERAGE(OFFSET($H$3,0,0,'Données projet'!$E$10+1,1))</f>
        <v>327.07074355218322</v>
      </c>
      <c r="AO121" s="62">
        <f t="shared" si="90"/>
        <v>462.01668587029087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1.4593021623469884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1.4593021623469884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-9.9316821433603781E-14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378.51861272969165</v>
      </c>
      <c r="BJ121" s="62">
        <f t="shared" si="92"/>
        <v>387.42368617035459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1.2477581897266166</v>
      </c>
      <c r="BR121" s="23">
        <f>EXP(-LN(2)/2)*BR120+(1-EXP(-LN(2)/2))/(LN(2)/2)*BL121*BO121*VLOOKUP('Données projet'!$B$11,Paramètres!$A$1:$I$89,3,0)*0.475*44/12</f>
        <v>1.0200298869550709E-12</v>
      </c>
      <c r="BS121" s="24">
        <f t="shared" si="63"/>
        <v>1.2477581897276366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5.6843418860808015E-14</v>
      </c>
      <c r="BZ121" s="14">
        <f>BY121*VLOOKUP('Données projet'!$B$12,Paramètres!$A$1:$I$89,3,0)*VLOOKUP('Données projet'!$B$12,Paramètres!$A$1:$I$89,5,0)</f>
        <v>3.3992364478763198E-14</v>
      </c>
      <c r="CA121" s="14">
        <f t="shared" si="93"/>
        <v>5.790027782444094E-13</v>
      </c>
      <c r="CB121" s="22">
        <f t="shared" si="64"/>
        <v>1.0676332069095257E-12</v>
      </c>
      <c r="CC121" s="62">
        <f t="shared" si="65"/>
        <v>275.66331818086041</v>
      </c>
      <c r="CD121" s="62">
        <f ca="1">AVERAGE(OFFSET($CC$3,0,0,'Données projet'!$E$12+1,1))-AVERAGE(OFFSET($H$3,0,0,'Données projet'!$E$12+1,1))</f>
        <v>225.71928466161592</v>
      </c>
      <c r="CE121" s="62">
        <f t="shared" si="94"/>
        <v>385.98818770742025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19.147046205888515</v>
      </c>
      <c r="CL121" s="23">
        <f>EXP(-LN(2)/25)*CL120+(1-EXP(-LN(2)/25))/(LN(2)/25)*Calculateur!CG121*Calculateur!CI121*VLOOKUP('Données projet'!$B$12,Paramètres!$A$1:$I$89,3,0)*0.475*44/12</f>
        <v>0.29142101580275931</v>
      </c>
      <c r="CM121" s="23">
        <f>EXP(-LN(2)/2)*CM120+(1-EXP(-LN(2)/2))/(LN(2)/2)*CG121*CJ121*VLOOKUP('Données projet'!$B$12,Paramètres!$A$1:$I$89,3,0)*0.475*44/12</f>
        <v>6.2614085361988121E-11</v>
      </c>
      <c r="CN121" s="24">
        <f t="shared" si="66"/>
        <v>19.438467221753886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499.92116338695428</v>
      </c>
      <c r="CZ121" s="62">
        <f t="shared" si="96"/>
        <v>316.79403154855652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0.27308792774474344</v>
      </c>
      <c r="DH121" s="23">
        <f>EXP(-LN(2)/2)*DH120+(1-EXP(-LN(2)/2))/(LN(2)/2)*DB121*DE121*VLOOKUP('Données projet'!$B$13,Paramètres!$A$1:$I$89,3,0)*0.475*44/12</f>
        <v>1.6813888304729165E-13</v>
      </c>
      <c r="DI121" s="24">
        <f t="shared" si="69"/>
        <v>0.27308792774491158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135.66666666666666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211.70619219850786</v>
      </c>
      <c r="T122" s="62">
        <f t="shared" si="88"/>
        <v>426.883837098247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1.9895196601282805E-13</v>
      </c>
      <c r="AJ122" s="14">
        <f>AI122*VLOOKUP('Données projet'!$B$10,Paramètres!$A$1:$I$89,3,0)*VLOOKUP('Données projet'!$B$10,Paramètres!$A$1:$I$89,5,0)</f>
        <v>1.8001173884840681E-13</v>
      </c>
      <c r="AK122" s="14">
        <f t="shared" si="89"/>
        <v>2.5254331426407198E-12</v>
      </c>
      <c r="AL122" s="22">
        <f t="shared" si="58"/>
        <v>4.7119831685935622E-12</v>
      </c>
      <c r="AM122" s="62">
        <f t="shared" si="59"/>
        <v>275.96985343952372</v>
      </c>
      <c r="AN122" s="62">
        <f ca="1">AVERAGE(OFFSET($AM$3,0,0,'Données projet'!$E$10+1,1))-AVERAGE(OFFSET($H$3,0,0,'Données projet'!$E$10+1,1))</f>
        <v>327.07074355218322</v>
      </c>
      <c r="AO122" s="62">
        <f t="shared" si="90"/>
        <v>462.01668587029087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1.4306861370297943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1.4306861370297943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-9.9316821433603781E-14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378.51861272969165</v>
      </c>
      <c r="BJ122" s="62">
        <f t="shared" si="92"/>
        <v>387.42368617035459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1.2136381764117907</v>
      </c>
      <c r="BR122" s="23">
        <f>EXP(-LN(2)/2)*BR121+(1-EXP(-LN(2)/2))/(LN(2)/2)*BL122*BO122*VLOOKUP('Données projet'!$B$11,Paramètres!$A$1:$I$89,3,0)*0.475*44/12</f>
        <v>7.2127005007887816E-13</v>
      </c>
      <c r="BS122" s="24">
        <f t="shared" si="63"/>
        <v>1.2136381764125119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5.6843418860808015E-14</v>
      </c>
      <c r="BZ122" s="14">
        <f>BY122*VLOOKUP('Données projet'!$B$12,Paramètres!$A$1:$I$89,3,0)*VLOOKUP('Données projet'!$B$12,Paramètres!$A$1:$I$89,5,0)</f>
        <v>3.3992364478763198E-14</v>
      </c>
      <c r="CA122" s="14">
        <f t="shared" si="93"/>
        <v>5.790027782444094E-13</v>
      </c>
      <c r="CB122" s="22">
        <f t="shared" si="64"/>
        <v>1.0676332069095257E-12</v>
      </c>
      <c r="CC122" s="62">
        <f t="shared" si="65"/>
        <v>275.96985343952008</v>
      </c>
      <c r="CD122" s="62">
        <f ca="1">AVERAGE(OFFSET($CC$3,0,0,'Données projet'!$E$12+1,1))-AVERAGE(OFFSET($H$3,0,0,'Données projet'!$E$12+1,1))</f>
        <v>225.71928466161592</v>
      </c>
      <c r="CE122" s="62">
        <f t="shared" si="94"/>
        <v>385.98818770742025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18.771584308336067</v>
      </c>
      <c r="CL122" s="23">
        <f>EXP(-LN(2)/25)*CL121+(1-EXP(-LN(2)/25))/(LN(2)/25)*Calculateur!CG122*Calculateur!CI122*VLOOKUP('Données projet'!$B$12,Paramètres!$A$1:$I$89,3,0)*0.475*44/12</f>
        <v>0.28345209280046768</v>
      </c>
      <c r="CM122" s="23">
        <f>EXP(-LN(2)/2)*CM121+(1-EXP(-LN(2)/2))/(LN(2)/2)*CG122*CJ122*VLOOKUP('Données projet'!$B$12,Paramètres!$A$1:$I$89,3,0)*0.475*44/12</f>
        <v>4.4274844357255142E-11</v>
      </c>
      <c r="CN122" s="24">
        <f t="shared" si="66"/>
        <v>19.055036401180807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499.92116338695428</v>
      </c>
      <c r="CZ122" s="62">
        <f t="shared" si="96"/>
        <v>316.79403154855652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0.26562032399949348</v>
      </c>
      <c r="DH122" s="23">
        <f>EXP(-LN(2)/2)*DH121+(1-EXP(-LN(2)/2))/(LN(2)/2)*DB122*DE122*VLOOKUP('Données projet'!$B$13,Paramètres!$A$1:$I$89,3,0)*0.475*44/12</f>
        <v>1.1889214438387176E-13</v>
      </c>
      <c r="DI122" s="24">
        <f t="shared" si="69"/>
        <v>0.26562032399961238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135.66666666666666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211.70619219850786</v>
      </c>
      <c r="T123" s="62">
        <f t="shared" si="88"/>
        <v>426.883837098247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1.9895196601282805E-13</v>
      </c>
      <c r="AJ123" s="14">
        <f>AI123*VLOOKUP('Données projet'!$B$10,Paramètres!$A$1:$I$89,3,0)*VLOOKUP('Données projet'!$B$10,Paramètres!$A$1:$I$89,5,0)</f>
        <v>1.8001173884840681E-13</v>
      </c>
      <c r="AK123" s="14">
        <f t="shared" si="89"/>
        <v>2.5254331426407198E-12</v>
      </c>
      <c r="AL123" s="22">
        <f t="shared" si="58"/>
        <v>4.7119831685935622E-12</v>
      </c>
      <c r="AM123" s="62">
        <f t="shared" si="59"/>
        <v>276.2710709967559</v>
      </c>
      <c r="AN123" s="62">
        <f ca="1">AVERAGE(OFFSET($AM$3,0,0,'Données projet'!$E$10+1,1))-AVERAGE(OFFSET($H$3,0,0,'Données projet'!$E$10+1,1))</f>
        <v>327.07074355218322</v>
      </c>
      <c r="AO123" s="62">
        <f t="shared" si="90"/>
        <v>462.01668587029087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1.4026312545150184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1.4026312545150184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-9.9316821433603781E-14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378.51861272969165</v>
      </c>
      <c r="BJ123" s="62">
        <f t="shared" si="92"/>
        <v>387.42368617035459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1.1804511766553525</v>
      </c>
      <c r="BR123" s="23">
        <f>EXP(-LN(2)/2)*BR122+(1-EXP(-LN(2)/2))/(LN(2)/2)*BL123*BO123*VLOOKUP('Données projet'!$B$11,Paramètres!$A$1:$I$89,3,0)*0.475*44/12</f>
        <v>5.1001494347753546E-13</v>
      </c>
      <c r="BS123" s="24">
        <f t="shared" si="63"/>
        <v>1.1804511766558625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5.6843418860808015E-14</v>
      </c>
      <c r="BZ123" s="14">
        <f>BY123*VLOOKUP('Données projet'!$B$12,Paramètres!$A$1:$I$89,3,0)*VLOOKUP('Données projet'!$B$12,Paramètres!$A$1:$I$89,5,0)</f>
        <v>3.3992364478763198E-14</v>
      </c>
      <c r="CA123" s="14">
        <f t="shared" si="93"/>
        <v>5.790027782444094E-13</v>
      </c>
      <c r="CB123" s="22">
        <f t="shared" si="64"/>
        <v>1.0676332069095257E-12</v>
      </c>
      <c r="CC123" s="62">
        <f t="shared" si="65"/>
        <v>276.27107099675226</v>
      </c>
      <c r="CD123" s="62">
        <f ca="1">AVERAGE(OFFSET($CC$3,0,0,'Données projet'!$E$12+1,1))-AVERAGE(OFFSET($H$3,0,0,'Données projet'!$E$12+1,1))</f>
        <v>225.71928466161592</v>
      </c>
      <c r="CE123" s="62">
        <f t="shared" si="94"/>
        <v>385.98818770742025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18.403484989585476</v>
      </c>
      <c r="CL123" s="23">
        <f>EXP(-LN(2)/25)*CL122+(1-EXP(-LN(2)/25))/(LN(2)/25)*Calculateur!CG123*Calculateur!CI123*VLOOKUP('Données projet'!$B$12,Paramètres!$A$1:$I$89,3,0)*0.475*44/12</f>
        <v>0.27570108041674118</v>
      </c>
      <c r="CM123" s="23">
        <f>EXP(-LN(2)/2)*CM122+(1-EXP(-LN(2)/2))/(LN(2)/2)*CG123*CJ123*VLOOKUP('Données projet'!$B$12,Paramètres!$A$1:$I$89,3,0)*0.475*44/12</f>
        <v>3.130704268099406E-11</v>
      </c>
      <c r="CN123" s="24">
        <f t="shared" si="66"/>
        <v>18.679186070033523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499.92116338695428</v>
      </c>
      <c r="CZ123" s="62">
        <f t="shared" si="96"/>
        <v>316.79403154855652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0.25835692227136159</v>
      </c>
      <c r="DH123" s="23">
        <f>EXP(-LN(2)/2)*DH122+(1-EXP(-LN(2)/2))/(LN(2)/2)*DB123*DE123*VLOOKUP('Données projet'!$B$13,Paramètres!$A$1:$I$89,3,0)*0.475*44/12</f>
        <v>8.4069441523645826E-14</v>
      </c>
      <c r="DI123" s="24">
        <f t="shared" si="69"/>
        <v>0.25835692227144563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135.66666666666666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211.70619219850786</v>
      </c>
      <c r="T124" s="62">
        <f t="shared" si="88"/>
        <v>426.883837098247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1.9895196601282805E-13</v>
      </c>
      <c r="AJ124" s="14">
        <f>AI124*VLOOKUP('Données projet'!$B$10,Paramètres!$A$1:$I$89,3,0)*VLOOKUP('Données projet'!$B$10,Paramètres!$A$1:$I$89,5,0)</f>
        <v>1.8001173884840681E-13</v>
      </c>
      <c r="AK124" s="14">
        <f t="shared" si="89"/>
        <v>2.5254331426407198E-12</v>
      </c>
      <c r="AL124" s="22">
        <f t="shared" si="58"/>
        <v>4.7119831685935622E-12</v>
      </c>
      <c r="AM124" s="62">
        <f t="shared" si="59"/>
        <v>276.56706310279162</v>
      </c>
      <c r="AN124" s="62">
        <f ca="1">AVERAGE(OFFSET($AM$3,0,0,'Données projet'!$E$10+1,1))-AVERAGE(OFFSET($H$3,0,0,'Données projet'!$E$10+1,1))</f>
        <v>327.07074355218322</v>
      </c>
      <c r="AO124" s="62">
        <f t="shared" si="90"/>
        <v>462.01668587029087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1.3751265111345685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1.3751265111345685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-9.9316821433603781E-14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378.51861272969165</v>
      </c>
      <c r="BJ124" s="62">
        <f t="shared" si="92"/>
        <v>387.42368617035459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1.1481716771524824</v>
      </c>
      <c r="BR124" s="23">
        <f>EXP(-LN(2)/2)*BR123+(1-EXP(-LN(2)/2))/(LN(2)/2)*BL124*BO124*VLOOKUP('Données projet'!$B$11,Paramètres!$A$1:$I$89,3,0)*0.475*44/12</f>
        <v>3.6063502503943908E-13</v>
      </c>
      <c r="BS124" s="24">
        <f t="shared" si="63"/>
        <v>1.148171677152843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5.6843418860808015E-14</v>
      </c>
      <c r="BZ124" s="14">
        <f>BY124*VLOOKUP('Données projet'!$B$12,Paramètres!$A$1:$I$89,3,0)*VLOOKUP('Données projet'!$B$12,Paramètres!$A$1:$I$89,5,0)</f>
        <v>3.3992364478763198E-14</v>
      </c>
      <c r="CA124" s="14">
        <f t="shared" si="93"/>
        <v>5.790027782444094E-13</v>
      </c>
      <c r="CB124" s="22">
        <f t="shared" si="64"/>
        <v>1.0676332069095257E-12</v>
      </c>
      <c r="CC124" s="62">
        <f t="shared" si="65"/>
        <v>276.56706310278798</v>
      </c>
      <c r="CD124" s="62">
        <f ca="1">AVERAGE(OFFSET($CC$3,0,0,'Données projet'!$E$12+1,1))-AVERAGE(OFFSET($H$3,0,0,'Données projet'!$E$12+1,1))</f>
        <v>225.71928466161592</v>
      </c>
      <c r="CE124" s="62">
        <f t="shared" si="94"/>
        <v>385.98818770742025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18.042603873957169</v>
      </c>
      <c r="CL124" s="23">
        <f>EXP(-LN(2)/25)*CL123+(1-EXP(-LN(2)/25))/(LN(2)/25)*Calculateur!CG124*Calculateur!CI124*VLOOKUP('Données projet'!$B$12,Paramètres!$A$1:$I$89,3,0)*0.475*44/12</f>
        <v>0.2681620198742557</v>
      </c>
      <c r="CM124" s="23">
        <f>EXP(-LN(2)/2)*CM123+(1-EXP(-LN(2)/2))/(LN(2)/2)*CG124*CJ124*VLOOKUP('Données projet'!$B$12,Paramètres!$A$1:$I$89,3,0)*0.475*44/12</f>
        <v>2.2137422178627571E-11</v>
      </c>
      <c r="CN124" s="24">
        <f t="shared" si="66"/>
        <v>18.310765893853564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499.92116338695428</v>
      </c>
      <c r="CZ124" s="62">
        <f t="shared" si="96"/>
        <v>316.79403154855652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0.25129213864545114</v>
      </c>
      <c r="DH124" s="23">
        <f>EXP(-LN(2)/2)*DH123+(1-EXP(-LN(2)/2))/(LN(2)/2)*DB124*DE124*VLOOKUP('Données projet'!$B$13,Paramètres!$A$1:$I$89,3,0)*0.475*44/12</f>
        <v>5.9446072191935881E-14</v>
      </c>
      <c r="DI124" s="24">
        <f t="shared" si="69"/>
        <v>0.25129213864551059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135.66666666666666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211.70619219850786</v>
      </c>
      <c r="T125" s="62">
        <f t="shared" si="88"/>
        <v>426.883837098247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1.9895196601282805E-13</v>
      </c>
      <c r="AJ125" s="14">
        <f>AI125*VLOOKUP('Données projet'!$B$10,Paramètres!$A$1:$I$89,3,0)*VLOOKUP('Données projet'!$B$10,Paramètres!$A$1:$I$89,5,0)</f>
        <v>1.8001173884840681E-13</v>
      </c>
      <c r="AK125" s="14">
        <f t="shared" si="89"/>
        <v>2.5254331426407198E-12</v>
      </c>
      <c r="AL125" s="22">
        <f t="shared" si="58"/>
        <v>4.7119831685935622E-12</v>
      </c>
      <c r="AM125" s="62">
        <f t="shared" si="59"/>
        <v>276.85792040752688</v>
      </c>
      <c r="AN125" s="62">
        <f ca="1">AVERAGE(OFFSET($AM$3,0,0,'Données projet'!$E$10+1,1))-AVERAGE(OFFSET($H$3,0,0,'Données projet'!$E$10+1,1))</f>
        <v>327.07074355218322</v>
      </c>
      <c r="AO125" s="62">
        <f t="shared" si="90"/>
        <v>462.01668587029087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1.3481611189955722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1.3481611189955722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-9.9316821433603781E-14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378.51861272969165</v>
      </c>
      <c r="BJ125" s="62">
        <f t="shared" si="92"/>
        <v>387.42368617035459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1.1167748622610234</v>
      </c>
      <c r="BR125" s="23">
        <f>EXP(-LN(2)/2)*BR124+(1-EXP(-LN(2)/2))/(LN(2)/2)*BL125*BO125*VLOOKUP('Données projet'!$B$11,Paramètres!$A$1:$I$89,3,0)*0.475*44/12</f>
        <v>2.5500747173876773E-13</v>
      </c>
      <c r="BS125" s="24">
        <f t="shared" si="63"/>
        <v>1.1167748622612783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5.6843418860808015E-14</v>
      </c>
      <c r="BZ125" s="14">
        <f>BY125*VLOOKUP('Données projet'!$B$12,Paramètres!$A$1:$I$89,3,0)*VLOOKUP('Données projet'!$B$12,Paramètres!$A$1:$I$89,5,0)</f>
        <v>3.3992364478763198E-14</v>
      </c>
      <c r="CA125" s="14">
        <f t="shared" si="93"/>
        <v>5.790027782444094E-13</v>
      </c>
      <c r="CB125" s="22">
        <f t="shared" si="64"/>
        <v>1.0676332069095257E-12</v>
      </c>
      <c r="CC125" s="62">
        <f t="shared" si="65"/>
        <v>276.85792040752324</v>
      </c>
      <c r="CD125" s="62">
        <f ca="1">AVERAGE(OFFSET($CC$3,0,0,'Données projet'!$E$12+1,1))-AVERAGE(OFFSET($H$3,0,0,'Données projet'!$E$12+1,1))</f>
        <v>225.71928466161592</v>
      </c>
      <c r="CE125" s="62">
        <f t="shared" si="94"/>
        <v>385.98818770742025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17.688799416890589</v>
      </c>
      <c r="CL125" s="23">
        <f>EXP(-LN(2)/25)*CL124+(1-EXP(-LN(2)/25))/(LN(2)/25)*Calculateur!CG125*Calculateur!CI125*VLOOKUP('Données projet'!$B$12,Paramètres!$A$1:$I$89,3,0)*0.475*44/12</f>
        <v>0.26082911533876646</v>
      </c>
      <c r="CM125" s="23">
        <f>EXP(-LN(2)/2)*CM124+(1-EXP(-LN(2)/2))/(LN(2)/2)*CG125*CJ125*VLOOKUP('Données projet'!$B$12,Paramètres!$A$1:$I$89,3,0)*0.475*44/12</f>
        <v>1.565352134049703E-11</v>
      </c>
      <c r="CN125" s="24">
        <f t="shared" si="66"/>
        <v>17.949628532245008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499.92116338695428</v>
      </c>
      <c r="CZ125" s="62">
        <f t="shared" si="96"/>
        <v>316.79403154855652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0.24442054189931203</v>
      </c>
      <c r="DH125" s="23">
        <f>EXP(-LN(2)/2)*DH124+(1-EXP(-LN(2)/2))/(LN(2)/2)*DB125*DE125*VLOOKUP('Données projet'!$B$13,Paramètres!$A$1:$I$89,3,0)*0.475*44/12</f>
        <v>4.2034720761822913E-14</v>
      </c>
      <c r="DI125" s="24">
        <f t="shared" si="69"/>
        <v>0.24442054189935405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135.66666666666666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211.70619219850786</v>
      </c>
      <c r="T126" s="62">
        <f t="shared" si="88"/>
        <v>426.883837098247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1.9895196601282805E-13</v>
      </c>
      <c r="AJ126" s="14">
        <f>AI126*VLOOKUP('Données projet'!$B$10,Paramètres!$A$1:$I$89,3,0)*VLOOKUP('Données projet'!$B$10,Paramètres!$A$1:$I$89,5,0)</f>
        <v>1.8001173884840681E-13</v>
      </c>
      <c r="AK126" s="14">
        <f t="shared" si="89"/>
        <v>2.5254331426407198E-12</v>
      </c>
      <c r="AL126" s="22">
        <f t="shared" si="58"/>
        <v>4.7119831685935622E-12</v>
      </c>
      <c r="AM126" s="62">
        <f t="shared" si="59"/>
        <v>277.14373198828446</v>
      </c>
      <c r="AN126" s="62">
        <f ca="1">AVERAGE(OFFSET($AM$3,0,0,'Données projet'!$E$10+1,1))-AVERAGE(OFFSET($H$3,0,0,'Données projet'!$E$10+1,1))</f>
        <v>327.07074355218322</v>
      </c>
      <c r="AO126" s="62">
        <f t="shared" si="90"/>
        <v>462.01668587029087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1.3217245017491566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1.3217245017491566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-9.9316821433603781E-14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378.51861272969165</v>
      </c>
      <c r="BJ126" s="62">
        <f t="shared" si="92"/>
        <v>387.42368617035459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1.0862365949238582</v>
      </c>
      <c r="BR126" s="23">
        <f>EXP(-LN(2)/2)*BR125+(1-EXP(-LN(2)/2))/(LN(2)/2)*BL126*BO126*VLOOKUP('Données projet'!$B$11,Paramètres!$A$1:$I$89,3,0)*0.475*44/12</f>
        <v>1.8031751251971954E-13</v>
      </c>
      <c r="BS126" s="24">
        <f t="shared" si="63"/>
        <v>1.0862365949240385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5.6843418860808015E-14</v>
      </c>
      <c r="BZ126" s="14">
        <f>BY126*VLOOKUP('Données projet'!$B$12,Paramètres!$A$1:$I$89,3,0)*VLOOKUP('Données projet'!$B$12,Paramètres!$A$1:$I$89,5,0)</f>
        <v>3.3992364478763198E-14</v>
      </c>
      <c r="CA126" s="14">
        <f t="shared" si="93"/>
        <v>5.790027782444094E-13</v>
      </c>
      <c r="CB126" s="22">
        <f t="shared" si="64"/>
        <v>1.0676332069095257E-12</v>
      </c>
      <c r="CC126" s="62">
        <f t="shared" si="65"/>
        <v>277.14373198828082</v>
      </c>
      <c r="CD126" s="62">
        <f ca="1">AVERAGE(OFFSET($CC$3,0,0,'Données projet'!$E$12+1,1))-AVERAGE(OFFSET($H$3,0,0,'Données projet'!$E$12+1,1))</f>
        <v>225.71928466161592</v>
      </c>
      <c r="CE126" s="62">
        <f t="shared" si="94"/>
        <v>385.98818770742025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17.341932849427675</v>
      </c>
      <c r="CL126" s="23">
        <f>EXP(-LN(2)/25)*CL125+(1-EXP(-LN(2)/25))/(LN(2)/25)*Calculateur!CG126*Calculateur!CI126*VLOOKUP('Données projet'!$B$12,Paramètres!$A$1:$I$89,3,0)*0.475*44/12</f>
        <v>0.25369672946342087</v>
      </c>
      <c r="CM126" s="23">
        <f>EXP(-LN(2)/2)*CM125+(1-EXP(-LN(2)/2))/(LN(2)/2)*CG126*CJ126*VLOOKUP('Données projet'!$B$12,Paramètres!$A$1:$I$89,3,0)*0.475*44/12</f>
        <v>1.1068711089313786E-11</v>
      </c>
      <c r="CN126" s="24">
        <f t="shared" si="66"/>
        <v>17.595629578902166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499.92116338695428</v>
      </c>
      <c r="CZ126" s="62">
        <f t="shared" si="96"/>
        <v>316.79403154855652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0.23773684932755768</v>
      </c>
      <c r="DH126" s="23">
        <f>EXP(-LN(2)/2)*DH125+(1-EXP(-LN(2)/2))/(LN(2)/2)*DB126*DE126*VLOOKUP('Données projet'!$B$13,Paramètres!$A$1:$I$89,3,0)*0.475*44/12</f>
        <v>2.972303609596794E-14</v>
      </c>
      <c r="DI126" s="24">
        <f t="shared" si="69"/>
        <v>0.2377368493275874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135.66666666666666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211.70619219850786</v>
      </c>
      <c r="T127" s="62">
        <f t="shared" si="88"/>
        <v>426.883837098247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1.9895196601282805E-13</v>
      </c>
      <c r="AJ127" s="14">
        <f>AI127*VLOOKUP('Données projet'!$B$10,Paramètres!$A$1:$I$89,3,0)*VLOOKUP('Données projet'!$B$10,Paramètres!$A$1:$I$89,5,0)</f>
        <v>1.8001173884840681E-13</v>
      </c>
      <c r="AK127" s="14">
        <f t="shared" si="89"/>
        <v>2.5254331426407198E-12</v>
      </c>
      <c r="AL127" s="22">
        <f t="shared" si="58"/>
        <v>4.7119831685935622E-12</v>
      </c>
      <c r="AM127" s="62">
        <f t="shared" si="59"/>
        <v>277.42458537709484</v>
      </c>
      <c r="AN127" s="62">
        <f ca="1">AVERAGE(OFFSET($AM$3,0,0,'Données projet'!$E$10+1,1))-AVERAGE(OFFSET($H$3,0,0,'Données projet'!$E$10+1,1))</f>
        <v>327.07074355218322</v>
      </c>
      <c r="AO127" s="62">
        <f t="shared" si="90"/>
        <v>462.01668587029087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1.2958062904421987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1.2958062904421987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-9.9316821433603781E-14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378.51861272969165</v>
      </c>
      <c r="BJ127" s="62">
        <f t="shared" si="92"/>
        <v>387.42368617035459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1.0565333981129654</v>
      </c>
      <c r="BR127" s="23">
        <f>EXP(-LN(2)/2)*BR126+(1-EXP(-LN(2)/2))/(LN(2)/2)*BL127*BO127*VLOOKUP('Données projet'!$B$11,Paramètres!$A$1:$I$89,3,0)*0.475*44/12</f>
        <v>1.2750373586938387E-13</v>
      </c>
      <c r="BS127" s="24">
        <f t="shared" si="63"/>
        <v>1.0565333981130929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5.6843418860808015E-14</v>
      </c>
      <c r="BZ127" s="14">
        <f>BY127*VLOOKUP('Données projet'!$B$12,Paramètres!$A$1:$I$89,3,0)*VLOOKUP('Données projet'!$B$12,Paramètres!$A$1:$I$89,5,0)</f>
        <v>3.3992364478763198E-14</v>
      </c>
      <c r="CA127" s="14">
        <f t="shared" si="93"/>
        <v>5.790027782444094E-13</v>
      </c>
      <c r="CB127" s="22">
        <f t="shared" si="64"/>
        <v>1.0676332069095257E-12</v>
      </c>
      <c r="CC127" s="62">
        <f t="shared" si="65"/>
        <v>277.4245853770912</v>
      </c>
      <c r="CD127" s="62">
        <f ca="1">AVERAGE(OFFSET($CC$3,0,0,'Données projet'!$E$12+1,1))-AVERAGE(OFFSET($H$3,0,0,'Données projet'!$E$12+1,1))</f>
        <v>225.71928466161592</v>
      </c>
      <c r="CE127" s="62">
        <f t="shared" si="94"/>
        <v>385.98818770742025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17.001868123784991</v>
      </c>
      <c r="CL127" s="23">
        <f>EXP(-LN(2)/25)*CL126+(1-EXP(-LN(2)/25))/(LN(2)/25)*Calculateur!CG127*Calculateur!CI127*VLOOKUP('Données projet'!$B$12,Paramètres!$A$1:$I$89,3,0)*0.475*44/12</f>
        <v>0.24675937905491246</v>
      </c>
      <c r="CM127" s="23">
        <f>EXP(-LN(2)/2)*CM126+(1-EXP(-LN(2)/2))/(LN(2)/2)*CG127*CJ127*VLOOKUP('Données projet'!$B$12,Paramètres!$A$1:$I$89,3,0)*0.475*44/12</f>
        <v>7.8267606702485151E-12</v>
      </c>
      <c r="CN127" s="24">
        <f t="shared" si="66"/>
        <v>17.248627502847729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499.92116338695428</v>
      </c>
      <c r="CZ127" s="62">
        <f t="shared" si="96"/>
        <v>316.79403154855652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0.23123592268065807</v>
      </c>
      <c r="DH127" s="23">
        <f>EXP(-LN(2)/2)*DH126+(1-EXP(-LN(2)/2))/(LN(2)/2)*DB127*DE127*VLOOKUP('Données projet'!$B$13,Paramètres!$A$1:$I$89,3,0)*0.475*44/12</f>
        <v>2.1017360380911457E-14</v>
      </c>
      <c r="DI127" s="24">
        <f t="shared" si="69"/>
        <v>0.23123592268067908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135.66666666666666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211.70619219850786</v>
      </c>
      <c r="T128" s="62">
        <f t="shared" si="88"/>
        <v>426.883837098247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1.9895196601282805E-13</v>
      </c>
      <c r="AJ128" s="14">
        <f>AI128*VLOOKUP('Données projet'!$B$10,Paramètres!$A$1:$I$89,3,0)*VLOOKUP('Données projet'!$B$10,Paramètres!$A$1:$I$89,5,0)</f>
        <v>1.8001173884840681E-13</v>
      </c>
      <c r="AK128" s="14">
        <f t="shared" si="89"/>
        <v>2.5254331426407198E-12</v>
      </c>
      <c r="AL128" s="22">
        <f t="shared" si="58"/>
        <v>4.7119831685935622E-12</v>
      </c>
      <c r="AM128" s="62">
        <f t="shared" si="59"/>
        <v>277.70056658750349</v>
      </c>
      <c r="AN128" s="62">
        <f ca="1">AVERAGE(OFFSET($AM$3,0,0,'Données projet'!$E$10+1,1))-AVERAGE(OFFSET($H$3,0,0,'Données projet'!$E$10+1,1))</f>
        <v>327.07074355218322</v>
      </c>
      <c r="AO128" s="62">
        <f t="shared" si="90"/>
        <v>462.01668587029087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1.2703963194504224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1.2703963194504224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-9.9316821433603781E-14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378.51861272969165</v>
      </c>
      <c r="BJ128" s="62">
        <f t="shared" si="92"/>
        <v>387.42368617035459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1.0276424367808896</v>
      </c>
      <c r="BR128" s="23">
        <f>EXP(-LN(2)/2)*BR127+(1-EXP(-LN(2)/2))/(LN(2)/2)*BL128*BO128*VLOOKUP('Données projet'!$B$11,Paramètres!$A$1:$I$89,3,0)*0.475*44/12</f>
        <v>9.015875625985977E-14</v>
      </c>
      <c r="BS128" s="24">
        <f t="shared" si="63"/>
        <v>1.0276424367809798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5.6843418860808015E-14</v>
      </c>
      <c r="BZ128" s="14">
        <f>BY128*VLOOKUP('Données projet'!$B$12,Paramètres!$A$1:$I$89,3,0)*VLOOKUP('Données projet'!$B$12,Paramètres!$A$1:$I$89,5,0)</f>
        <v>3.3992364478763198E-14</v>
      </c>
      <c r="CA128" s="14">
        <f t="shared" si="93"/>
        <v>5.790027782444094E-13</v>
      </c>
      <c r="CB128" s="22">
        <f t="shared" si="64"/>
        <v>1.0676332069095257E-12</v>
      </c>
      <c r="CC128" s="62">
        <f t="shared" si="65"/>
        <v>277.70056658749985</v>
      </c>
      <c r="CD128" s="62">
        <f ca="1">AVERAGE(OFFSET($CC$3,0,0,'Données projet'!$E$12+1,1))-AVERAGE(OFFSET($H$3,0,0,'Données projet'!$E$12+1,1))</f>
        <v>225.71928466161592</v>
      </c>
      <c r="CE128" s="62">
        <f t="shared" si="94"/>
        <v>385.98818770742025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16.668471859993158</v>
      </c>
      <c r="CL128" s="23">
        <f>EXP(-LN(2)/25)*CL127+(1-EXP(-LN(2)/25))/(LN(2)/25)*Calculateur!CG128*Calculateur!CI128*VLOOKUP('Données projet'!$B$12,Paramètres!$A$1:$I$89,3,0)*0.475*44/12</f>
        <v>0.24001173085814412</v>
      </c>
      <c r="CM128" s="23">
        <f>EXP(-LN(2)/2)*CM127+(1-EXP(-LN(2)/2))/(LN(2)/2)*CG128*CJ128*VLOOKUP('Données projet'!$B$12,Paramètres!$A$1:$I$89,3,0)*0.475*44/12</f>
        <v>5.5343555446568928E-12</v>
      </c>
      <c r="CN128" s="24">
        <f t="shared" si="66"/>
        <v>16.908483590856836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499.92116338695428</v>
      </c>
      <c r="CZ128" s="62">
        <f t="shared" si="96"/>
        <v>316.79403154855652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0.22491276421478679</v>
      </c>
      <c r="DH128" s="23">
        <f>EXP(-LN(2)/2)*DH127+(1-EXP(-LN(2)/2))/(LN(2)/2)*DB128*DE128*VLOOKUP('Données projet'!$B$13,Paramètres!$A$1:$I$89,3,0)*0.475*44/12</f>
        <v>1.486151804798397E-14</v>
      </c>
      <c r="DI128" s="24">
        <f t="shared" si="69"/>
        <v>0.22491276421480164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135.66666666666666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211.70619219850786</v>
      </c>
      <c r="T129" s="62">
        <f t="shared" si="88"/>
        <v>426.883837098247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1.9895196601282805E-13</v>
      </c>
      <c r="AJ129" s="14">
        <f>AI129*VLOOKUP('Données projet'!$B$10,Paramètres!$A$1:$I$89,3,0)*VLOOKUP('Données projet'!$B$10,Paramètres!$A$1:$I$89,5,0)</f>
        <v>1.8001173884840681E-13</v>
      </c>
      <c r="AK129" s="14">
        <f t="shared" si="89"/>
        <v>2.5254331426407198E-12</v>
      </c>
      <c r="AL129" s="22">
        <f t="shared" si="58"/>
        <v>4.7119831685935622E-12</v>
      </c>
      <c r="AM129" s="62">
        <f t="shared" si="59"/>
        <v>277.97176014091309</v>
      </c>
      <c r="AN129" s="62">
        <f ca="1">AVERAGE(OFFSET($AM$3,0,0,'Données projet'!$E$10+1,1))-AVERAGE(OFFSET($H$3,0,0,'Données projet'!$E$10+1,1))</f>
        <v>327.07074355218322</v>
      </c>
      <c r="AO129" s="62">
        <f t="shared" si="90"/>
        <v>462.01668587029087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1.2454846224912428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1.2454846224912428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-9.9316821433603781E-14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378.51861272969165</v>
      </c>
      <c r="BJ129" s="62">
        <f t="shared" si="92"/>
        <v>387.42368617035459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0.99954150030574918</v>
      </c>
      <c r="BR129" s="23">
        <f>EXP(-LN(2)/2)*BR128+(1-EXP(-LN(2)/2))/(LN(2)/2)*BL129*BO129*VLOOKUP('Données projet'!$B$11,Paramètres!$A$1:$I$89,3,0)*0.475*44/12</f>
        <v>6.3751867934691933E-14</v>
      </c>
      <c r="BS129" s="24">
        <f t="shared" si="63"/>
        <v>0.9995415003058129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5.6843418860808015E-14</v>
      </c>
      <c r="BZ129" s="14">
        <f>BY129*VLOOKUP('Données projet'!$B$12,Paramètres!$A$1:$I$89,3,0)*VLOOKUP('Données projet'!$B$12,Paramètres!$A$1:$I$89,5,0)</f>
        <v>3.3992364478763198E-14</v>
      </c>
      <c r="CA129" s="14">
        <f t="shared" si="93"/>
        <v>5.790027782444094E-13</v>
      </c>
      <c r="CB129" s="22">
        <f t="shared" si="64"/>
        <v>1.0676332069095257E-12</v>
      </c>
      <c r="CC129" s="62">
        <f t="shared" si="65"/>
        <v>277.97176014090945</v>
      </c>
      <c r="CD129" s="62">
        <f ca="1">AVERAGE(OFFSET($CC$3,0,0,'Données projet'!$E$12+1,1))-AVERAGE(OFFSET($H$3,0,0,'Données projet'!$E$12+1,1))</f>
        <v>225.71928466161592</v>
      </c>
      <c r="CE129" s="62">
        <f t="shared" si="94"/>
        <v>385.98818770742025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16.341613293582643</v>
      </c>
      <c r="CL129" s="23">
        <f>EXP(-LN(2)/25)*CL128+(1-EXP(-LN(2)/25))/(LN(2)/25)*Calculateur!CG129*Calculateur!CI129*VLOOKUP('Données projet'!$B$12,Paramètres!$A$1:$I$89,3,0)*0.475*44/12</f>
        <v>0.23344859745615978</v>
      </c>
      <c r="CM129" s="23">
        <f>EXP(-LN(2)/2)*CM128+(1-EXP(-LN(2)/2))/(LN(2)/2)*CG129*CJ129*VLOOKUP('Données projet'!$B$12,Paramètres!$A$1:$I$89,3,0)*0.475*44/12</f>
        <v>3.9133803351242575E-12</v>
      </c>
      <c r="CN129" s="24">
        <f t="shared" si="66"/>
        <v>16.575061891042719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499.92116338695428</v>
      </c>
      <c r="CZ129" s="62">
        <f t="shared" si="96"/>
        <v>316.79403154855652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0.2187625128496852</v>
      </c>
      <c r="DH129" s="23">
        <f>EXP(-LN(2)/2)*DH128+(1-EXP(-LN(2)/2))/(LN(2)/2)*DB129*DE129*VLOOKUP('Données projet'!$B$13,Paramètres!$A$1:$I$89,3,0)*0.475*44/12</f>
        <v>1.0508680190455728E-14</v>
      </c>
      <c r="DI129" s="24">
        <f t="shared" si="69"/>
        <v>0.21876251284969572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135.66666666666666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211.70619219850786</v>
      </c>
      <c r="T130" s="62">
        <f t="shared" si="88"/>
        <v>426.883837098247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1.9895196601282805E-13</v>
      </c>
      <c r="AJ130" s="14">
        <f>AI130*VLOOKUP('Données projet'!$B$10,Paramètres!$A$1:$I$89,3,0)*VLOOKUP('Données projet'!$B$10,Paramètres!$A$1:$I$89,5,0)</f>
        <v>1.8001173884840681E-13</v>
      </c>
      <c r="AK130" s="14">
        <f t="shared" si="89"/>
        <v>2.5254331426407198E-12</v>
      </c>
      <c r="AL130" s="22">
        <f t="shared" si="58"/>
        <v>4.7119831685935622E-12</v>
      </c>
      <c r="AM130" s="62">
        <f t="shared" si="59"/>
        <v>278.238249092469</v>
      </c>
      <c r="AN130" s="62">
        <f ca="1">AVERAGE(OFFSET($AM$3,0,0,'Données projet'!$E$10+1,1))-AVERAGE(OFFSET($H$3,0,0,'Données projet'!$E$10+1,1))</f>
        <v>327.07074355218322</v>
      </c>
      <c r="AO130" s="62">
        <f t="shared" si="90"/>
        <v>462.01668587029087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1.2210614287147981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1.2210614287147981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-9.9316821433603781E-14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378.51861272969165</v>
      </c>
      <c r="BJ130" s="62">
        <f t="shared" si="92"/>
        <v>387.42368617035459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0.97220898541628542</v>
      </c>
      <c r="BR130" s="23">
        <f>EXP(-LN(2)/2)*BR129+(1-EXP(-LN(2)/2))/(LN(2)/2)*BL130*BO130*VLOOKUP('Données projet'!$B$11,Paramètres!$A$1:$I$89,3,0)*0.475*44/12</f>
        <v>4.5079378129929885E-14</v>
      </c>
      <c r="BS130" s="24">
        <f t="shared" si="63"/>
        <v>0.9722089854163305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5.6843418860808015E-14</v>
      </c>
      <c r="BZ130" s="14">
        <f>BY130*VLOOKUP('Données projet'!$B$12,Paramètres!$A$1:$I$89,3,0)*VLOOKUP('Données projet'!$B$12,Paramètres!$A$1:$I$89,5,0)</f>
        <v>3.3992364478763198E-14</v>
      </c>
      <c r="CA130" s="14">
        <f t="shared" si="93"/>
        <v>5.790027782444094E-13</v>
      </c>
      <c r="CB130" s="22">
        <f t="shared" si="64"/>
        <v>1.0676332069095257E-12</v>
      </c>
      <c r="CC130" s="62">
        <f t="shared" si="65"/>
        <v>278.23824909246537</v>
      </c>
      <c r="CD130" s="62">
        <f ca="1">AVERAGE(OFFSET($CC$3,0,0,'Données projet'!$E$12+1,1))-AVERAGE(OFFSET($H$3,0,0,'Données projet'!$E$12+1,1))</f>
        <v>225.71928466161592</v>
      </c>
      <c r="CE130" s="62">
        <f t="shared" si="94"/>
        <v>385.98818770742025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16.021164224295397</v>
      </c>
      <c r="CL130" s="23">
        <f>EXP(-LN(2)/25)*CL129+(1-EXP(-LN(2)/25))/(LN(2)/25)*Calculateur!CG130*Calculateur!CI130*VLOOKUP('Données projet'!$B$12,Paramètres!$A$1:$I$89,3,0)*0.475*44/12</f>
        <v>0.2270649332821929</v>
      </c>
      <c r="CM130" s="23">
        <f>EXP(-LN(2)/2)*CM129+(1-EXP(-LN(2)/2))/(LN(2)/2)*CG130*CJ130*VLOOKUP('Données projet'!$B$12,Paramètres!$A$1:$I$89,3,0)*0.475*44/12</f>
        <v>2.7671777723284464E-12</v>
      </c>
      <c r="CN130" s="24">
        <f t="shared" si="66"/>
        <v>16.248229157580358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499.92116338695428</v>
      </c>
      <c r="CZ130" s="62">
        <f t="shared" si="96"/>
        <v>316.79403154855652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0.21278044043159</v>
      </c>
      <c r="DH130" s="23">
        <f>EXP(-LN(2)/2)*DH129+(1-EXP(-LN(2)/2))/(LN(2)/2)*DB130*DE130*VLOOKUP('Données projet'!$B$13,Paramètres!$A$1:$I$89,3,0)*0.475*44/12</f>
        <v>7.4307590239919851E-15</v>
      </c>
      <c r="DI130" s="24">
        <f t="shared" si="69"/>
        <v>0.21278044043159744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135.66666666666666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211.70619219850786</v>
      </c>
      <c r="T131" s="62">
        <f t="shared" si="88"/>
        <v>426.883837098247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1.9895196601282805E-13</v>
      </c>
      <c r="AJ131" s="14">
        <f>AI131*VLOOKUP('Données projet'!$B$10,Paramètres!$A$1:$I$89,3,0)*VLOOKUP('Données projet'!$B$10,Paramètres!$A$1:$I$89,5,0)</f>
        <v>1.8001173884840681E-13</v>
      </c>
      <c r="AK131" s="14">
        <f t="shared" si="89"/>
        <v>2.5254331426407198E-12</v>
      </c>
      <c r="AL131" s="22">
        <f t="shared" si="58"/>
        <v>4.7119831685935622E-12</v>
      </c>
      <c r="AM131" s="62">
        <f t="shared" si="59"/>
        <v>278.50011505649547</v>
      </c>
      <c r="AN131" s="62">
        <f ca="1">AVERAGE(OFFSET($AM$3,0,0,'Données projet'!$E$10+1,1))-AVERAGE(OFFSET($H$3,0,0,'Données projet'!$E$10+1,1))</f>
        <v>327.07074355218322</v>
      </c>
      <c r="AO131" s="62">
        <f t="shared" si="90"/>
        <v>462.01668587029087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1.1971171588716321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1.1971171588716321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-9.9316821433603781E-14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378.51861272969165</v>
      </c>
      <c r="BJ131" s="62">
        <f t="shared" si="92"/>
        <v>387.42368617035459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0.94562387958382854</v>
      </c>
      <c r="BR131" s="23">
        <f>EXP(-LN(2)/2)*BR130+(1-EXP(-LN(2)/2))/(LN(2)/2)*BL131*BO131*VLOOKUP('Données projet'!$B$11,Paramètres!$A$1:$I$89,3,0)*0.475*44/12</f>
        <v>3.1875933967345966E-14</v>
      </c>
      <c r="BS131" s="24">
        <f t="shared" si="63"/>
        <v>0.9456238795838604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5.6843418860808015E-14</v>
      </c>
      <c r="BZ131" s="14">
        <f>BY131*VLOOKUP('Données projet'!$B$12,Paramètres!$A$1:$I$89,3,0)*VLOOKUP('Données projet'!$B$12,Paramètres!$A$1:$I$89,5,0)</f>
        <v>3.3992364478763198E-14</v>
      </c>
      <c r="CA131" s="14">
        <f t="shared" si="93"/>
        <v>5.790027782444094E-13</v>
      </c>
      <c r="CB131" s="22">
        <f t="shared" si="64"/>
        <v>1.0676332069095257E-12</v>
      </c>
      <c r="CC131" s="62">
        <f t="shared" si="65"/>
        <v>278.50011505649184</v>
      </c>
      <c r="CD131" s="62">
        <f ca="1">AVERAGE(OFFSET($CC$3,0,0,'Données projet'!$E$12+1,1))-AVERAGE(OFFSET($H$3,0,0,'Données projet'!$E$12+1,1))</f>
        <v>225.71928466161592</v>
      </c>
      <c r="CE131" s="62">
        <f t="shared" si="94"/>
        <v>385.98818770742025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15.706998965802242</v>
      </c>
      <c r="CL131" s="23">
        <f>EXP(-LN(2)/25)*CL130+(1-EXP(-LN(2)/25))/(LN(2)/25)*Calculateur!CG131*Calculateur!CI131*VLOOKUP('Données projet'!$B$12,Paramètres!$A$1:$I$89,3,0)*0.475*44/12</f>
        <v>0.22085583074076545</v>
      </c>
      <c r="CM131" s="23">
        <f>EXP(-LN(2)/2)*CM130+(1-EXP(-LN(2)/2))/(LN(2)/2)*CG131*CJ131*VLOOKUP('Données projet'!$B$12,Paramètres!$A$1:$I$89,3,0)*0.475*44/12</f>
        <v>1.9566901675621288E-12</v>
      </c>
      <c r="CN131" s="24">
        <f t="shared" si="66"/>
        <v>15.927854796544965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499.92116338695428</v>
      </c>
      <c r="CZ131" s="62">
        <f t="shared" si="96"/>
        <v>316.79403154855652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0.20696194809835114</v>
      </c>
      <c r="DH131" s="23">
        <f>EXP(-LN(2)/2)*DH130+(1-EXP(-LN(2)/2))/(LN(2)/2)*DB131*DE131*VLOOKUP('Données projet'!$B$13,Paramètres!$A$1:$I$89,3,0)*0.475*44/12</f>
        <v>5.2543400952278641E-15</v>
      </c>
      <c r="DI131" s="24">
        <f t="shared" si="69"/>
        <v>0.20696194809835639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135.66666666666666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211.70619219850786</v>
      </c>
      <c r="T132" s="62">
        <f t="shared" si="88"/>
        <v>426.883837098247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1.9895196601282805E-13</v>
      </c>
      <c r="AJ132" s="14">
        <f>AI132*VLOOKUP('Données projet'!$B$10,Paramètres!$A$1:$I$89,3,0)*VLOOKUP('Données projet'!$B$10,Paramètres!$A$1:$I$89,5,0)</f>
        <v>1.8001173884840681E-13</v>
      </c>
      <c r="AK132" s="14">
        <f t="shared" si="89"/>
        <v>2.5254331426407198E-12</v>
      </c>
      <c r="AL132" s="22">
        <f t="shared" ref="AL132:AL153" si="112">(AJ132+AK132)*0.475*44/12</f>
        <v>4.7119831685935622E-12</v>
      </c>
      <c r="AM132" s="62">
        <f t="shared" ref="AM132:AM195" si="113">AL132+(AD132+AE132)*44/12</f>
        <v>278.75743823149065</v>
      </c>
      <c r="AN132" s="62">
        <f ca="1">AVERAGE(OFFSET($AM$3,0,0,'Données projet'!$E$10+1,1))-AVERAGE(OFFSET($H$3,0,0,'Données projet'!$E$10+1,1))</f>
        <v>327.07074355218322</v>
      </c>
      <c r="AO132" s="62">
        <f t="shared" si="90"/>
        <v>462.01668587029087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1.1736424215555281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1.1736424215555281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-9.9316821433603781E-14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378.51861272969165</v>
      </c>
      <c r="BJ132" s="62">
        <f t="shared" si="92"/>
        <v>387.42368617035459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0.91976574486841023</v>
      </c>
      <c r="BR132" s="23">
        <f>EXP(-LN(2)/2)*BR131+(1-EXP(-LN(2)/2))/(LN(2)/2)*BL132*BO132*VLOOKUP('Données projet'!$B$11,Paramètres!$A$1:$I$89,3,0)*0.475*44/12</f>
        <v>2.2539689064964942E-14</v>
      </c>
      <c r="BS132" s="24">
        <f t="shared" ref="BS132:BS153" si="117">SUM(BP132:BR132)</f>
        <v>0.91976574486843277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5.6843418860808015E-14</v>
      </c>
      <c r="BZ132" s="14">
        <f>BY132*VLOOKUP('Données projet'!$B$12,Paramètres!$A$1:$I$89,3,0)*VLOOKUP('Données projet'!$B$12,Paramètres!$A$1:$I$89,5,0)</f>
        <v>3.3992364478763198E-14</v>
      </c>
      <c r="CA132" s="14">
        <f t="shared" si="93"/>
        <v>5.790027782444094E-13</v>
      </c>
      <c r="CB132" s="22">
        <f t="shared" ref="CB132:CB153" si="118">(BZ132+CA132)*0.475*44/12</f>
        <v>1.0676332069095257E-12</v>
      </c>
      <c r="CC132" s="62">
        <f t="shared" ref="CC132:CC195" si="119">CB132+(BT132+BU132)*44/12</f>
        <v>278.75743823148701</v>
      </c>
      <c r="CD132" s="62">
        <f ca="1">AVERAGE(OFFSET($CC$3,0,0,'Données projet'!$E$12+1,1))-AVERAGE(OFFSET($H$3,0,0,'Données projet'!$E$12+1,1))</f>
        <v>225.71928466161592</v>
      </c>
      <c r="CE132" s="62">
        <f t="shared" si="94"/>
        <v>385.98818770742025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15.398994296406251</v>
      </c>
      <c r="CL132" s="23">
        <f>EXP(-LN(2)/25)*CL131+(1-EXP(-LN(2)/25))/(LN(2)/25)*Calculateur!CG132*Calculateur!CI132*VLOOKUP('Données projet'!$B$12,Paramètres!$A$1:$I$89,3,0)*0.475*44/12</f>
        <v>0.21481651643485586</v>
      </c>
      <c r="CM132" s="23">
        <f>EXP(-LN(2)/2)*CM131+(1-EXP(-LN(2)/2))/(LN(2)/2)*CG132*CJ132*VLOOKUP('Données projet'!$B$12,Paramètres!$A$1:$I$89,3,0)*0.475*44/12</f>
        <v>1.3835888861642232E-12</v>
      </c>
      <c r="CN132" s="24">
        <f t="shared" ref="CN132:CN153" si="120">SUM(CK132:CM132)</f>
        <v>15.613810812842491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499.92116338695428</v>
      </c>
      <c r="CZ132" s="62">
        <f t="shared" si="96"/>
        <v>316.79403154855652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0.2013025627439459</v>
      </c>
      <c r="DH132" s="23">
        <f>EXP(-LN(2)/2)*DH131+(1-EXP(-LN(2)/2))/(LN(2)/2)*DB132*DE132*VLOOKUP('Données projet'!$B$13,Paramètres!$A$1:$I$89,3,0)*0.475*44/12</f>
        <v>3.7153795119959926E-15</v>
      </c>
      <c r="DI132" s="24">
        <f t="shared" ref="DI132:DI153" si="123">SUM(DF132:DH132)</f>
        <v>0.20130256274394961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135.66666666666666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211.70619219850786</v>
      </c>
      <c r="T133" s="62">
        <f t="shared" ref="T133:T196" si="142">$T$3</f>
        <v>426.883837098247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1.9895196601282805E-13</v>
      </c>
      <c r="AJ133" s="14">
        <f>AI133*VLOOKUP('Données projet'!$B$10,Paramètres!$A$1:$I$89,3,0)*VLOOKUP('Données projet'!$B$10,Paramètres!$A$1:$I$89,5,0)</f>
        <v>1.8001173884840681E-13</v>
      </c>
      <c r="AK133" s="14">
        <f t="shared" ref="AK133:AK153" si="143">EXP(-1.0587+0.8836*LN(AJ133)+0.284)</f>
        <v>2.5254331426407198E-12</v>
      </c>
      <c r="AL133" s="22">
        <f t="shared" si="112"/>
        <v>4.7119831685935622E-12</v>
      </c>
      <c r="AM133" s="62">
        <f t="shared" si="113"/>
        <v>279.01029742468813</v>
      </c>
      <c r="AN133" s="62">
        <f ca="1">AVERAGE(OFFSET($AM$3,0,0,'Données projet'!$E$10+1,1))-AVERAGE(OFFSET($H$3,0,0,'Données projet'!$E$10+1,1))</f>
        <v>327.07074355218322</v>
      </c>
      <c r="AO133" s="62">
        <f t="shared" ref="AO133:AO196" si="144">$AO$3</f>
        <v>462.01668587029087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1.150628009520017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1.150628009520017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-9.9316821433603781E-14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378.51861272969165</v>
      </c>
      <c r="BJ133" s="62">
        <f t="shared" ref="BJ133:BJ196" si="146">$BJ$3</f>
        <v>387.42368617035459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0.89461470220660522</v>
      </c>
      <c r="BR133" s="23">
        <f>EXP(-LN(2)/2)*BR132+(1-EXP(-LN(2)/2))/(LN(2)/2)*BL133*BO133*VLOOKUP('Données projet'!$B$11,Paramètres!$A$1:$I$89,3,0)*0.475*44/12</f>
        <v>1.5937966983672983E-14</v>
      </c>
      <c r="BS133" s="24">
        <f t="shared" si="117"/>
        <v>0.8946147022066212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5.6843418860808015E-14</v>
      </c>
      <c r="BZ133" s="14">
        <f>BY133*VLOOKUP('Données projet'!$B$12,Paramètres!$A$1:$I$89,3,0)*VLOOKUP('Données projet'!$B$12,Paramètres!$A$1:$I$89,5,0)</f>
        <v>3.3992364478763198E-14</v>
      </c>
      <c r="CA133" s="14">
        <f t="shared" ref="CA133:CA153" si="147">EXP(-1.0587+0.8836*LN(BZ133)+0.284)</f>
        <v>5.790027782444094E-13</v>
      </c>
      <c r="CB133" s="22">
        <f t="shared" si="118"/>
        <v>1.0676332069095257E-12</v>
      </c>
      <c r="CC133" s="62">
        <f t="shared" si="119"/>
        <v>279.0102974246845</v>
      </c>
      <c r="CD133" s="62">
        <f ca="1">AVERAGE(OFFSET($CC$3,0,0,'Données projet'!$E$12+1,1))-AVERAGE(OFFSET($H$3,0,0,'Données projet'!$E$12+1,1))</f>
        <v>225.71928466161592</v>
      </c>
      <c r="CE133" s="62">
        <f t="shared" ref="CE133:CE196" si="148">$CE$3</f>
        <v>385.98818770742025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15.097029410712816</v>
      </c>
      <c r="CL133" s="23">
        <f>EXP(-LN(2)/25)*CL132+(1-EXP(-LN(2)/25))/(LN(2)/25)*Calculateur!CG133*Calculateur!CI133*VLOOKUP('Données projet'!$B$12,Paramètres!$A$1:$I$89,3,0)*0.475*44/12</f>
        <v>0.20894234749623511</v>
      </c>
      <c r="CM133" s="23">
        <f>EXP(-LN(2)/2)*CM132+(1-EXP(-LN(2)/2))/(LN(2)/2)*CG133*CJ133*VLOOKUP('Données projet'!$B$12,Paramètres!$A$1:$I$89,3,0)*0.475*44/12</f>
        <v>9.7834508378106438E-13</v>
      </c>
      <c r="CN133" s="24">
        <f t="shared" si="120"/>
        <v>15.305971758210029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499.92116338695428</v>
      </c>
      <c r="CZ133" s="62">
        <f t="shared" ref="CZ133:CZ196" si="150">$CZ$3</f>
        <v>316.79403154855652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0.19579793357967101</v>
      </c>
      <c r="DH133" s="23">
        <f>EXP(-LN(2)/2)*DH132+(1-EXP(-LN(2)/2))/(LN(2)/2)*DB133*DE133*VLOOKUP('Données projet'!$B$13,Paramètres!$A$1:$I$89,3,0)*0.475*44/12</f>
        <v>2.6271700476139321E-15</v>
      </c>
      <c r="DI133" s="24">
        <f t="shared" si="123"/>
        <v>0.19579793357967365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135.66666666666666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211.70619219850786</v>
      </c>
      <c r="T134" s="62">
        <f t="shared" si="142"/>
        <v>426.883837098247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1.9895196601282805E-13</v>
      </c>
      <c r="AJ134" s="14">
        <f>AI134*VLOOKUP('Données projet'!$B$10,Paramètres!$A$1:$I$89,3,0)*VLOOKUP('Données projet'!$B$10,Paramètres!$A$1:$I$89,5,0)</f>
        <v>1.8001173884840681E-13</v>
      </c>
      <c r="AK134" s="14">
        <f t="shared" si="143"/>
        <v>2.5254331426407198E-12</v>
      </c>
      <c r="AL134" s="22">
        <f t="shared" si="112"/>
        <v>4.7119831685935622E-12</v>
      </c>
      <c r="AM134" s="62">
        <f t="shared" si="113"/>
        <v>279.25877007619209</v>
      </c>
      <c r="AN134" s="62">
        <f ca="1">AVERAGE(OFFSET($AM$3,0,0,'Données projet'!$E$10+1,1))-AVERAGE(OFFSET($H$3,0,0,'Données projet'!$E$10+1,1))</f>
        <v>327.07074355218322</v>
      </c>
      <c r="AO134" s="62">
        <f t="shared" si="144"/>
        <v>462.01668587029087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1.1280648960671169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1.1280648960671169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-9.9316821433603781E-14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378.51861272969165</v>
      </c>
      <c r="BJ134" s="62">
        <f t="shared" si="146"/>
        <v>387.42368617035459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0.87015141612902303</v>
      </c>
      <c r="BR134" s="23">
        <f>EXP(-LN(2)/2)*BR133+(1-EXP(-LN(2)/2))/(LN(2)/2)*BL134*BO134*VLOOKUP('Données projet'!$B$11,Paramètres!$A$1:$I$89,3,0)*0.475*44/12</f>
        <v>1.1269844532482471E-14</v>
      </c>
      <c r="BS134" s="24">
        <f t="shared" si="117"/>
        <v>0.87015141612903435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5.6843418860808015E-14</v>
      </c>
      <c r="BZ134" s="14">
        <f>BY134*VLOOKUP('Données projet'!$B$12,Paramètres!$A$1:$I$89,3,0)*VLOOKUP('Données projet'!$B$12,Paramètres!$A$1:$I$89,5,0)</f>
        <v>3.3992364478763198E-14</v>
      </c>
      <c r="CA134" s="14">
        <f t="shared" si="147"/>
        <v>5.790027782444094E-13</v>
      </c>
      <c r="CB134" s="22">
        <f t="shared" si="118"/>
        <v>1.0676332069095257E-12</v>
      </c>
      <c r="CC134" s="62">
        <f t="shared" si="119"/>
        <v>279.25877007618845</v>
      </c>
      <c r="CD134" s="62">
        <f ca="1">AVERAGE(OFFSET($CC$3,0,0,'Données projet'!$E$12+1,1))-AVERAGE(OFFSET($H$3,0,0,'Données projet'!$E$12+1,1))</f>
        <v>225.71928466161592</v>
      </c>
      <c r="CE134" s="62">
        <f t="shared" si="148"/>
        <v>385.98818770742025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14.800985872247436</v>
      </c>
      <c r="CL134" s="23">
        <f>EXP(-LN(2)/25)*CL133+(1-EXP(-LN(2)/25))/(LN(2)/25)*Calculateur!CG134*Calculateur!CI134*VLOOKUP('Données projet'!$B$12,Paramètres!$A$1:$I$89,3,0)*0.475*44/12</f>
        <v>0.20322880801615004</v>
      </c>
      <c r="CM134" s="23">
        <f>EXP(-LN(2)/2)*CM133+(1-EXP(-LN(2)/2))/(LN(2)/2)*CG134*CJ134*VLOOKUP('Données projet'!$B$12,Paramètres!$A$1:$I$89,3,0)*0.475*44/12</f>
        <v>6.917944430821116E-13</v>
      </c>
      <c r="CN134" s="24">
        <f t="shared" si="120"/>
        <v>15.004214680264276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499.92116338695428</v>
      </c>
      <c r="CZ134" s="62">
        <f t="shared" si="150"/>
        <v>316.79403154855652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0.19044382878936908</v>
      </c>
      <c r="DH134" s="23">
        <f>EXP(-LN(2)/2)*DH133+(1-EXP(-LN(2)/2))/(LN(2)/2)*DB134*DE134*VLOOKUP('Données projet'!$B$13,Paramètres!$A$1:$I$89,3,0)*0.475*44/12</f>
        <v>1.8576897559979963E-15</v>
      </c>
      <c r="DI134" s="24">
        <f t="shared" si="123"/>
        <v>0.19044382878937094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135.66666666666666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211.70619219850786</v>
      </c>
      <c r="T135" s="62">
        <f t="shared" si="142"/>
        <v>426.883837098247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1.9895196601282805E-13</v>
      </c>
      <c r="AJ135" s="14">
        <f>AI135*VLOOKUP('Données projet'!$B$10,Paramètres!$A$1:$I$89,3,0)*VLOOKUP('Données projet'!$B$10,Paramètres!$A$1:$I$89,5,0)</f>
        <v>1.8001173884840681E-13</v>
      </c>
      <c r="AK135" s="14">
        <f t="shared" si="143"/>
        <v>2.5254331426407198E-12</v>
      </c>
      <c r="AL135" s="22">
        <f t="shared" si="112"/>
        <v>4.7119831685935622E-12</v>
      </c>
      <c r="AM135" s="62">
        <f t="shared" si="113"/>
        <v>279.50293228269413</v>
      </c>
      <c r="AN135" s="62">
        <f ca="1">AVERAGE(OFFSET($AM$3,0,0,'Données projet'!$E$10+1,1))-AVERAGE(OFFSET($H$3,0,0,'Données projet'!$E$10+1,1))</f>
        <v>327.07074355218322</v>
      </c>
      <c r="AO135" s="62">
        <f t="shared" si="144"/>
        <v>462.01668587029087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1.1059442315068879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1.1059442315068879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-9.9316821433603781E-14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378.51861272969165</v>
      </c>
      <c r="BJ135" s="62">
        <f t="shared" si="146"/>
        <v>387.42368617035459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0.84635707989570064</v>
      </c>
      <c r="BR135" s="23">
        <f>EXP(-LN(2)/2)*BR134+(1-EXP(-LN(2)/2))/(LN(2)/2)*BL135*BO135*VLOOKUP('Données projet'!$B$11,Paramètres!$A$1:$I$89,3,0)*0.475*44/12</f>
        <v>7.9689834918364916E-15</v>
      </c>
      <c r="BS135" s="24">
        <f t="shared" si="117"/>
        <v>0.84635707989570863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5.6843418860808015E-14</v>
      </c>
      <c r="BZ135" s="14">
        <f>BY135*VLOOKUP('Données projet'!$B$12,Paramètres!$A$1:$I$89,3,0)*VLOOKUP('Données projet'!$B$12,Paramètres!$A$1:$I$89,5,0)</f>
        <v>3.3992364478763198E-14</v>
      </c>
      <c r="CA135" s="14">
        <f t="shared" si="147"/>
        <v>5.790027782444094E-13</v>
      </c>
      <c r="CB135" s="22">
        <f t="shared" si="118"/>
        <v>1.0676332069095257E-12</v>
      </c>
      <c r="CC135" s="62">
        <f t="shared" si="119"/>
        <v>279.50293228269049</v>
      </c>
      <c r="CD135" s="62">
        <f ca="1">AVERAGE(OFFSET($CC$3,0,0,'Données projet'!$E$12+1,1))-AVERAGE(OFFSET($H$3,0,0,'Données projet'!$E$12+1,1))</f>
        <v>225.71928466161592</v>
      </c>
      <c r="CE135" s="62">
        <f t="shared" si="148"/>
        <v>385.98818770742025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14.510747567002634</v>
      </c>
      <c r="CL135" s="23">
        <f>EXP(-LN(2)/25)*CL134+(1-EXP(-LN(2)/25))/(LN(2)/25)*Calculateur!CG135*Calculateur!CI135*VLOOKUP('Données projet'!$B$12,Paramètres!$A$1:$I$89,3,0)*0.475*44/12</f>
        <v>0.19767150557360988</v>
      </c>
      <c r="CM135" s="23">
        <f>EXP(-LN(2)/2)*CM134+(1-EXP(-LN(2)/2))/(LN(2)/2)*CG135*CJ135*VLOOKUP('Données projet'!$B$12,Paramètres!$A$1:$I$89,3,0)*0.475*44/12</f>
        <v>4.8917254189053219E-13</v>
      </c>
      <c r="CN135" s="24">
        <f t="shared" si="120"/>
        <v>14.708419072576731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499.92116338695428</v>
      </c>
      <c r="CZ135" s="62">
        <f t="shared" si="150"/>
        <v>316.79403154855652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0.1852361322761181</v>
      </c>
      <c r="DH135" s="23">
        <f>EXP(-LN(2)/2)*DH134+(1-EXP(-LN(2)/2))/(LN(2)/2)*DB135*DE135*VLOOKUP('Données projet'!$B$13,Paramètres!$A$1:$I$89,3,0)*0.475*44/12</f>
        <v>1.313585023806966E-15</v>
      </c>
      <c r="DI135" s="24">
        <f t="shared" si="123"/>
        <v>0.1852361322761194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135.66666666666666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211.70619219850786</v>
      </c>
      <c r="T136" s="62">
        <f t="shared" si="142"/>
        <v>426.883837098247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1.9895196601282805E-13</v>
      </c>
      <c r="AJ136" s="14">
        <f>AI136*VLOOKUP('Données projet'!$B$10,Paramètres!$A$1:$I$89,3,0)*VLOOKUP('Données projet'!$B$10,Paramètres!$A$1:$I$89,5,0)</f>
        <v>1.8001173884840681E-13</v>
      </c>
      <c r="AK136" s="14">
        <f t="shared" si="143"/>
        <v>2.5254331426407198E-12</v>
      </c>
      <c r="AL136" s="22">
        <f t="shared" si="112"/>
        <v>4.7119831685935622E-12</v>
      </c>
      <c r="AM136" s="62">
        <f t="shared" si="113"/>
        <v>279.74285882077822</v>
      </c>
      <c r="AN136" s="62">
        <f ca="1">AVERAGE(OFFSET($AM$3,0,0,'Données projet'!$E$10+1,1))-AVERAGE(OFFSET($H$3,0,0,'Données projet'!$E$10+1,1))</f>
        <v>327.07074355218322</v>
      </c>
      <c r="AO136" s="62">
        <f t="shared" si="144"/>
        <v>462.01668587029087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1.0842573396864119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1.0842573396864119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-9.9316821433603781E-14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378.51861272969165</v>
      </c>
      <c r="BJ136" s="62">
        <f t="shared" si="146"/>
        <v>387.42368617035459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0.82321340103796825</v>
      </c>
      <c r="BR136" s="23">
        <f>EXP(-LN(2)/2)*BR135+(1-EXP(-LN(2)/2))/(LN(2)/2)*BL136*BO136*VLOOKUP('Données projet'!$B$11,Paramètres!$A$1:$I$89,3,0)*0.475*44/12</f>
        <v>5.6349222662412356E-15</v>
      </c>
      <c r="BS136" s="24">
        <f t="shared" si="117"/>
        <v>0.82321340103797391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5.6843418860808015E-14</v>
      </c>
      <c r="BZ136" s="14">
        <f>BY136*VLOOKUP('Données projet'!$B$12,Paramètres!$A$1:$I$89,3,0)*VLOOKUP('Données projet'!$B$12,Paramètres!$A$1:$I$89,5,0)</f>
        <v>3.3992364478763198E-14</v>
      </c>
      <c r="CA136" s="14">
        <f t="shared" si="147"/>
        <v>5.790027782444094E-13</v>
      </c>
      <c r="CB136" s="22">
        <f t="shared" si="118"/>
        <v>1.0676332069095257E-12</v>
      </c>
      <c r="CC136" s="62">
        <f t="shared" si="119"/>
        <v>279.74285882077459</v>
      </c>
      <c r="CD136" s="62">
        <f ca="1">AVERAGE(OFFSET($CC$3,0,0,'Données projet'!$E$12+1,1))-AVERAGE(OFFSET($H$3,0,0,'Données projet'!$E$12+1,1))</f>
        <v>225.71928466161592</v>
      </c>
      <c r="CE136" s="62">
        <f t="shared" si="148"/>
        <v>385.98818770742025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14.226200657895795</v>
      </c>
      <c r="CL136" s="23">
        <f>EXP(-LN(2)/25)*CL135+(1-EXP(-LN(2)/25))/(LN(2)/25)*Calculateur!CG136*Calculateur!CI136*VLOOKUP('Données projet'!$B$12,Paramètres!$A$1:$I$89,3,0)*0.475*44/12</f>
        <v>0.19226616785860681</v>
      </c>
      <c r="CM136" s="23">
        <f>EXP(-LN(2)/2)*CM135+(1-EXP(-LN(2)/2))/(LN(2)/2)*CG136*CJ136*VLOOKUP('Données projet'!$B$12,Paramètres!$A$1:$I$89,3,0)*0.475*44/12</f>
        <v>3.458972215410558E-13</v>
      </c>
      <c r="CN136" s="24">
        <f t="shared" si="120"/>
        <v>14.418466825754749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499.92116338695428</v>
      </c>
      <c r="CZ136" s="62">
        <f t="shared" si="150"/>
        <v>316.79403154855652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0.18017084049788282</v>
      </c>
      <c r="DH136" s="23">
        <f>EXP(-LN(2)/2)*DH135+(1-EXP(-LN(2)/2))/(LN(2)/2)*DB136*DE136*VLOOKUP('Données projet'!$B$13,Paramètres!$A$1:$I$89,3,0)*0.475*44/12</f>
        <v>9.2884487799899814E-16</v>
      </c>
      <c r="DI136" s="24">
        <f t="shared" si="123"/>
        <v>0.18017084049788373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135.66666666666666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211.70619219850786</v>
      </c>
      <c r="T137" s="62">
        <f t="shared" si="142"/>
        <v>426.883837098247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1.9895196601282805E-13</v>
      </c>
      <c r="AJ137" s="14">
        <f>AI137*VLOOKUP('Données projet'!$B$10,Paramètres!$A$1:$I$89,3,0)*VLOOKUP('Données projet'!$B$10,Paramètres!$A$1:$I$89,5,0)</f>
        <v>1.8001173884840681E-13</v>
      </c>
      <c r="AK137" s="14">
        <f t="shared" si="143"/>
        <v>2.5254331426407198E-12</v>
      </c>
      <c r="AL137" s="22">
        <f t="shared" si="112"/>
        <v>4.7119831685935622E-12</v>
      </c>
      <c r="AM137" s="62">
        <f t="shared" si="113"/>
        <v>279.97862316982196</v>
      </c>
      <c r="AN137" s="62">
        <f ca="1">AVERAGE(OFFSET($AM$3,0,0,'Données projet'!$E$10+1,1))-AVERAGE(OFFSET($H$3,0,0,'Données projet'!$E$10+1,1))</f>
        <v>327.07074355218322</v>
      </c>
      <c r="AO137" s="62">
        <f t="shared" si="144"/>
        <v>462.01668587029087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1.0629957145868376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1.0629957145868376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-9.9316821433603781E-14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378.51861272969165</v>
      </c>
      <c r="BJ137" s="62">
        <f t="shared" si="146"/>
        <v>387.42368617035459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0.80070258729567367</v>
      </c>
      <c r="BR137" s="23">
        <f>EXP(-LN(2)/2)*BR136+(1-EXP(-LN(2)/2))/(LN(2)/2)*BL137*BO137*VLOOKUP('Données projet'!$B$11,Paramètres!$A$1:$I$89,3,0)*0.475*44/12</f>
        <v>3.9844917459182458E-15</v>
      </c>
      <c r="BS137" s="24">
        <f t="shared" si="117"/>
        <v>0.80070258729567767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5.6843418860808015E-14</v>
      </c>
      <c r="BZ137" s="14">
        <f>BY137*VLOOKUP('Données projet'!$B$12,Paramètres!$A$1:$I$89,3,0)*VLOOKUP('Données projet'!$B$12,Paramètres!$A$1:$I$89,5,0)</f>
        <v>3.3992364478763198E-14</v>
      </c>
      <c r="CA137" s="14">
        <f t="shared" si="147"/>
        <v>5.790027782444094E-13</v>
      </c>
      <c r="CB137" s="22">
        <f t="shared" si="118"/>
        <v>1.0676332069095257E-12</v>
      </c>
      <c r="CC137" s="62">
        <f t="shared" si="119"/>
        <v>279.97862316981832</v>
      </c>
      <c r="CD137" s="62">
        <f ca="1">AVERAGE(OFFSET($CC$3,0,0,'Données projet'!$E$12+1,1))-AVERAGE(OFFSET($H$3,0,0,'Données projet'!$E$12+1,1))</f>
        <v>225.71928466161592</v>
      </c>
      <c r="CE137" s="62">
        <f t="shared" si="148"/>
        <v>385.98818770742025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13.947233540120065</v>
      </c>
      <c r="CL137" s="23">
        <f>EXP(-LN(2)/25)*CL136+(1-EXP(-LN(2)/25))/(LN(2)/25)*Calculateur!CG137*Calculateur!CI137*VLOOKUP('Données projet'!$B$12,Paramètres!$A$1:$I$89,3,0)*0.475*44/12</f>
        <v>0.18700863938767487</v>
      </c>
      <c r="CM137" s="23">
        <f>EXP(-LN(2)/2)*CM136+(1-EXP(-LN(2)/2))/(LN(2)/2)*CG137*CJ137*VLOOKUP('Données projet'!$B$12,Paramètres!$A$1:$I$89,3,0)*0.475*44/12</f>
        <v>2.445862709452661E-13</v>
      </c>
      <c r="CN137" s="24">
        <f t="shared" si="120"/>
        <v>14.134242179507986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499.92116338695428</v>
      </c>
      <c r="CZ137" s="62">
        <f t="shared" si="150"/>
        <v>316.79403154855652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0.17524405938969551</v>
      </c>
      <c r="DH137" s="23">
        <f>EXP(-LN(2)/2)*DH136+(1-EXP(-LN(2)/2))/(LN(2)/2)*DB137*DE137*VLOOKUP('Données projet'!$B$13,Paramètres!$A$1:$I$89,3,0)*0.475*44/12</f>
        <v>6.5679251190348302E-16</v>
      </c>
      <c r="DI137" s="24">
        <f t="shared" si="123"/>
        <v>0.17524405938969617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135.66666666666666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211.70619219850786</v>
      </c>
      <c r="T138" s="62">
        <f t="shared" si="142"/>
        <v>426.883837098247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1.9895196601282805E-13</v>
      </c>
      <c r="AJ138" s="14">
        <f>AI138*VLOOKUP('Données projet'!$B$10,Paramètres!$A$1:$I$89,3,0)*VLOOKUP('Données projet'!$B$10,Paramètres!$A$1:$I$89,5,0)</f>
        <v>1.8001173884840681E-13</v>
      </c>
      <c r="AK138" s="14">
        <f t="shared" si="143"/>
        <v>2.5254331426407198E-12</v>
      </c>
      <c r="AL138" s="22">
        <f t="shared" si="112"/>
        <v>4.7119831685935622E-12</v>
      </c>
      <c r="AM138" s="62">
        <f t="shared" si="113"/>
        <v>280.21029753449989</v>
      </c>
      <c r="AN138" s="62">
        <f ca="1">AVERAGE(OFFSET($AM$3,0,0,'Données projet'!$E$10+1,1))-AVERAGE(OFFSET($H$3,0,0,'Données projet'!$E$10+1,1))</f>
        <v>327.07074355218322</v>
      </c>
      <c r="AO138" s="62">
        <f t="shared" si="144"/>
        <v>462.01668587029087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1.0421510169871551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1.0421510169871551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-9.9316821433603781E-14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378.51861272969165</v>
      </c>
      <c r="BJ138" s="62">
        <f t="shared" si="146"/>
        <v>387.42368617035459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0.77880733293895443</v>
      </c>
      <c r="BR138" s="23">
        <f>EXP(-LN(2)/2)*BR137+(1-EXP(-LN(2)/2))/(LN(2)/2)*BL138*BO138*VLOOKUP('Données projet'!$B$11,Paramètres!$A$1:$I$89,3,0)*0.475*44/12</f>
        <v>2.8174611331206178E-15</v>
      </c>
      <c r="BS138" s="24">
        <f t="shared" si="117"/>
        <v>0.77880733293895721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5.6843418860808015E-14</v>
      </c>
      <c r="BZ138" s="14">
        <f>BY138*VLOOKUP('Données projet'!$B$12,Paramètres!$A$1:$I$89,3,0)*VLOOKUP('Données projet'!$B$12,Paramètres!$A$1:$I$89,5,0)</f>
        <v>3.3992364478763198E-14</v>
      </c>
      <c r="CA138" s="14">
        <f t="shared" si="147"/>
        <v>5.790027782444094E-13</v>
      </c>
      <c r="CB138" s="22">
        <f t="shared" si="118"/>
        <v>1.0676332069095257E-12</v>
      </c>
      <c r="CC138" s="62">
        <f t="shared" si="119"/>
        <v>280.21029753449625</v>
      </c>
      <c r="CD138" s="62">
        <f ca="1">AVERAGE(OFFSET($CC$3,0,0,'Données projet'!$E$12+1,1))-AVERAGE(OFFSET($H$3,0,0,'Données projet'!$E$12+1,1))</f>
        <v>225.71928466161592</v>
      </c>
      <c r="CE138" s="62">
        <f t="shared" si="148"/>
        <v>385.98818770742025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13.673736797370776</v>
      </c>
      <c r="CL138" s="23">
        <f>EXP(-LN(2)/25)*CL137+(1-EXP(-LN(2)/25))/(LN(2)/25)*Calculateur!CG138*Calculateur!CI138*VLOOKUP('Données projet'!$B$12,Paramètres!$A$1:$I$89,3,0)*0.475*44/12</f>
        <v>0.18189487830926196</v>
      </c>
      <c r="CM138" s="23">
        <f>EXP(-LN(2)/2)*CM137+(1-EXP(-LN(2)/2))/(LN(2)/2)*CG138*CJ138*VLOOKUP('Données projet'!$B$12,Paramètres!$A$1:$I$89,3,0)*0.475*44/12</f>
        <v>1.729486107705279E-13</v>
      </c>
      <c r="CN138" s="24">
        <f t="shared" si="120"/>
        <v>13.855631675680209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499.92116338695428</v>
      </c>
      <c r="CZ138" s="62">
        <f t="shared" si="150"/>
        <v>316.79403154855652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0.17045200136999972</v>
      </c>
      <c r="DH138" s="23">
        <f>EXP(-LN(2)/2)*DH137+(1-EXP(-LN(2)/2))/(LN(2)/2)*DB138*DE138*VLOOKUP('Données projet'!$B$13,Paramètres!$A$1:$I$89,3,0)*0.475*44/12</f>
        <v>4.6442243899949907E-16</v>
      </c>
      <c r="DI138" s="24">
        <f t="shared" si="123"/>
        <v>0.17045200137000019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135.66666666666666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211.70619219850786</v>
      </c>
      <c r="T139" s="62">
        <f t="shared" si="142"/>
        <v>426.883837098247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1.9895196601282805E-13</v>
      </c>
      <c r="AJ139" s="14">
        <f>AI139*VLOOKUP('Données projet'!$B$10,Paramètres!$A$1:$I$89,3,0)*VLOOKUP('Données projet'!$B$10,Paramètres!$A$1:$I$89,5,0)</f>
        <v>1.8001173884840681E-13</v>
      </c>
      <c r="AK139" s="14">
        <f t="shared" si="143"/>
        <v>2.5254331426407198E-12</v>
      </c>
      <c r="AL139" s="22">
        <f t="shared" si="112"/>
        <v>4.7119831685935622E-12</v>
      </c>
      <c r="AM139" s="62">
        <f t="shared" si="113"/>
        <v>280.43795286689686</v>
      </c>
      <c r="AN139" s="62">
        <f ca="1">AVERAGE(OFFSET($AM$3,0,0,'Données projet'!$E$10+1,1))-AVERAGE(OFFSET($H$3,0,0,'Données projet'!$E$10+1,1))</f>
        <v>327.07074355218322</v>
      </c>
      <c r="AO139" s="62">
        <f t="shared" si="144"/>
        <v>462.01668587029087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1.0217150711933922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1.0217150711933922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-9.9316821433603781E-14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378.51861272969165</v>
      </c>
      <c r="BJ139" s="62">
        <f t="shared" si="146"/>
        <v>387.42368617035459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0.75751080546404104</v>
      </c>
      <c r="BR139" s="23">
        <f>EXP(-LN(2)/2)*BR138+(1-EXP(-LN(2)/2))/(LN(2)/2)*BL139*BO139*VLOOKUP('Données projet'!$B$11,Paramètres!$A$1:$I$89,3,0)*0.475*44/12</f>
        <v>1.9922458729591229E-15</v>
      </c>
      <c r="BS139" s="24">
        <f t="shared" si="117"/>
        <v>0.75751080546404304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5.6843418860808015E-14</v>
      </c>
      <c r="BZ139" s="14">
        <f>BY139*VLOOKUP('Données projet'!$B$12,Paramètres!$A$1:$I$89,3,0)*VLOOKUP('Données projet'!$B$12,Paramètres!$A$1:$I$89,5,0)</f>
        <v>3.3992364478763198E-14</v>
      </c>
      <c r="CA139" s="14">
        <f t="shared" si="147"/>
        <v>5.790027782444094E-13</v>
      </c>
      <c r="CB139" s="22">
        <f t="shared" si="118"/>
        <v>1.0676332069095257E-12</v>
      </c>
      <c r="CC139" s="62">
        <f t="shared" si="119"/>
        <v>280.43795286689323</v>
      </c>
      <c r="CD139" s="62">
        <f ca="1">AVERAGE(OFFSET($CC$3,0,0,'Données projet'!$E$12+1,1))-AVERAGE(OFFSET($H$3,0,0,'Données projet'!$E$12+1,1))</f>
        <v>225.71928466161592</v>
      </c>
      <c r="CE139" s="62">
        <f t="shared" si="148"/>
        <v>385.98818770742025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13.405603158930258</v>
      </c>
      <c r="CL139" s="23">
        <f>EXP(-LN(2)/25)*CL138+(1-EXP(-LN(2)/25))/(LN(2)/25)*Calculateur!CG139*Calculateur!CI139*VLOOKUP('Données projet'!$B$12,Paramètres!$A$1:$I$89,3,0)*0.475*44/12</f>
        <v>0.17692095329645927</v>
      </c>
      <c r="CM139" s="23">
        <f>EXP(-LN(2)/2)*CM138+(1-EXP(-LN(2)/2))/(LN(2)/2)*CG139*CJ139*VLOOKUP('Données projet'!$B$12,Paramètres!$A$1:$I$89,3,0)*0.475*44/12</f>
        <v>1.2229313547263305E-13</v>
      </c>
      <c r="CN139" s="24">
        <f t="shared" si="120"/>
        <v>13.582524112226841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499.92116338695428</v>
      </c>
      <c r="CZ139" s="62">
        <f t="shared" si="150"/>
        <v>316.79403154855652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0.1657909824288559</v>
      </c>
      <c r="DH139" s="23">
        <f>EXP(-LN(2)/2)*DH138+(1-EXP(-LN(2)/2))/(LN(2)/2)*DB139*DE139*VLOOKUP('Données projet'!$B$13,Paramètres!$A$1:$I$89,3,0)*0.475*44/12</f>
        <v>3.2839625595174151E-16</v>
      </c>
      <c r="DI139" s="24">
        <f t="shared" si="123"/>
        <v>0.16579098242885623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135.66666666666666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211.70619219850786</v>
      </c>
      <c r="T140" s="62">
        <f t="shared" si="142"/>
        <v>426.883837098247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1.9895196601282805E-13</v>
      </c>
      <c r="AJ140" s="14">
        <f>AI140*VLOOKUP('Données projet'!$B$10,Paramètres!$A$1:$I$89,3,0)*VLOOKUP('Données projet'!$B$10,Paramètres!$A$1:$I$89,5,0)</f>
        <v>1.8001173884840681E-13</v>
      </c>
      <c r="AK140" s="14">
        <f t="shared" si="143"/>
        <v>2.5254331426407198E-12</v>
      </c>
      <c r="AL140" s="22">
        <f t="shared" si="112"/>
        <v>4.7119831685935622E-12</v>
      </c>
      <c r="AM140" s="62">
        <f t="shared" si="113"/>
        <v>280.66165888823792</v>
      </c>
      <c r="AN140" s="62">
        <f ca="1">AVERAGE(OFFSET($AM$3,0,0,'Données projet'!$E$10+1,1))-AVERAGE(OFFSET($H$3,0,0,'Données projet'!$E$10+1,1))</f>
        <v>327.07074355218322</v>
      </c>
      <c r="AO140" s="62">
        <f t="shared" si="144"/>
        <v>462.01668587029087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1.0016798618319489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1.0016798618319489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-9.9316821433603781E-14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378.51861272969165</v>
      </c>
      <c r="BJ140" s="62">
        <f t="shared" si="146"/>
        <v>387.42368617035459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0.73679663265286488</v>
      </c>
      <c r="BR140" s="23">
        <f>EXP(-LN(2)/2)*BR139+(1-EXP(-LN(2)/2))/(LN(2)/2)*BL140*BO140*VLOOKUP('Données projet'!$B$11,Paramètres!$A$1:$I$89,3,0)*0.475*44/12</f>
        <v>1.4087305665603089E-15</v>
      </c>
      <c r="BS140" s="24">
        <f t="shared" si="117"/>
        <v>0.73679663265286632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5.6843418860808015E-14</v>
      </c>
      <c r="BZ140" s="14">
        <f>BY140*VLOOKUP('Données projet'!$B$12,Paramètres!$A$1:$I$89,3,0)*VLOOKUP('Données projet'!$B$12,Paramètres!$A$1:$I$89,5,0)</f>
        <v>3.3992364478763198E-14</v>
      </c>
      <c r="CA140" s="14">
        <f t="shared" si="147"/>
        <v>5.790027782444094E-13</v>
      </c>
      <c r="CB140" s="22">
        <f t="shared" si="118"/>
        <v>1.0676332069095257E-12</v>
      </c>
      <c r="CC140" s="62">
        <f t="shared" si="119"/>
        <v>280.66165888823429</v>
      </c>
      <c r="CD140" s="62">
        <f ca="1">AVERAGE(OFFSET($CC$3,0,0,'Données projet'!$E$12+1,1))-AVERAGE(OFFSET($H$3,0,0,'Données projet'!$E$12+1,1))</f>
        <v>225.71928466161592</v>
      </c>
      <c r="CE140" s="62">
        <f t="shared" si="148"/>
        <v>385.98818770742025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13.142727457594189</v>
      </c>
      <c r="CL140" s="23">
        <f>EXP(-LN(2)/25)*CL139+(1-EXP(-LN(2)/25))/(LN(2)/25)*Calculateur!CG140*Calculateur!CI140*VLOOKUP('Données projet'!$B$12,Paramètres!$A$1:$I$89,3,0)*0.475*44/12</f>
        <v>0.172083040524699</v>
      </c>
      <c r="CM140" s="23">
        <f>EXP(-LN(2)/2)*CM139+(1-EXP(-LN(2)/2))/(LN(2)/2)*CG140*CJ140*VLOOKUP('Données projet'!$B$12,Paramètres!$A$1:$I$89,3,0)*0.475*44/12</f>
        <v>8.647430538526395E-14</v>
      </c>
      <c r="CN140" s="24">
        <f t="shared" si="120"/>
        <v>13.314810498118975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499.92116338695428</v>
      </c>
      <c r="CZ140" s="62">
        <f t="shared" si="150"/>
        <v>316.79403154855652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0.16125741929576998</v>
      </c>
      <c r="DH140" s="23">
        <f>EXP(-LN(2)/2)*DH139+(1-EXP(-LN(2)/2))/(LN(2)/2)*DB140*DE140*VLOOKUP('Données projet'!$B$13,Paramètres!$A$1:$I$89,3,0)*0.475*44/12</f>
        <v>2.3221121949974953E-16</v>
      </c>
      <c r="DI140" s="24">
        <f t="shared" si="123"/>
        <v>0.1612574192957702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135.66666666666666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211.70619219850786</v>
      </c>
      <c r="T141" s="62">
        <f t="shared" si="142"/>
        <v>426.883837098247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1.9895196601282805E-13</v>
      </c>
      <c r="AJ141" s="14">
        <f>AI141*VLOOKUP('Données projet'!$B$10,Paramètres!$A$1:$I$89,3,0)*VLOOKUP('Données projet'!$B$10,Paramètres!$A$1:$I$89,5,0)</f>
        <v>1.8001173884840681E-13</v>
      </c>
      <c r="AK141" s="14">
        <f t="shared" si="143"/>
        <v>2.5254331426407198E-12</v>
      </c>
      <c r="AL141" s="22">
        <f t="shared" si="112"/>
        <v>4.7119831685935622E-12</v>
      </c>
      <c r="AM141" s="62">
        <f t="shared" si="113"/>
        <v>280.88148411024042</v>
      </c>
      <c r="AN141" s="62">
        <f ca="1">AVERAGE(OFFSET($AM$3,0,0,'Données projet'!$E$10+1,1))-AVERAGE(OFFSET($H$3,0,0,'Données projet'!$E$10+1,1))</f>
        <v>327.07074355218322</v>
      </c>
      <c r="AO141" s="62">
        <f t="shared" si="144"/>
        <v>462.01668587029087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0.98203753070581234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0.98203753070581234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-9.9316821433603781E-14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378.51861272969165</v>
      </c>
      <c r="BJ141" s="62">
        <f t="shared" si="146"/>
        <v>387.42368617035459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0.71664888998652132</v>
      </c>
      <c r="BR141" s="23">
        <f>EXP(-LN(2)/2)*BR140+(1-EXP(-LN(2)/2))/(LN(2)/2)*BL141*BO141*VLOOKUP('Données projet'!$B$11,Paramètres!$A$1:$I$89,3,0)*0.475*44/12</f>
        <v>9.9612293647956145E-16</v>
      </c>
      <c r="BS141" s="24">
        <f t="shared" si="117"/>
        <v>0.71664888998652232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5.6843418860808015E-14</v>
      </c>
      <c r="BZ141" s="14">
        <f>BY141*VLOOKUP('Données projet'!$B$12,Paramètres!$A$1:$I$89,3,0)*VLOOKUP('Données projet'!$B$12,Paramètres!$A$1:$I$89,5,0)</f>
        <v>3.3992364478763198E-14</v>
      </c>
      <c r="CA141" s="14">
        <f t="shared" si="147"/>
        <v>5.790027782444094E-13</v>
      </c>
      <c r="CB141" s="22">
        <f t="shared" si="118"/>
        <v>1.0676332069095257E-12</v>
      </c>
      <c r="CC141" s="62">
        <f t="shared" si="119"/>
        <v>280.88148411023678</v>
      </c>
      <c r="CD141" s="62">
        <f ca="1">AVERAGE(OFFSET($CC$3,0,0,'Données projet'!$E$12+1,1))-AVERAGE(OFFSET($H$3,0,0,'Données projet'!$E$12+1,1))</f>
        <v>225.71928466161592</v>
      </c>
      <c r="CE141" s="62">
        <f t="shared" si="148"/>
        <v>385.98818770742025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12.885006588422975</v>
      </c>
      <c r="CL141" s="23">
        <f>EXP(-LN(2)/25)*CL140+(1-EXP(-LN(2)/25))/(LN(2)/25)*Calculateur!CG141*Calculateur!CI141*VLOOKUP('Données projet'!$B$12,Paramètres!$A$1:$I$89,3,0)*0.475*44/12</f>
        <v>0.1673774207320973</v>
      </c>
      <c r="CM141" s="23">
        <f>EXP(-LN(2)/2)*CM140+(1-EXP(-LN(2)/2))/(LN(2)/2)*CG141*CJ141*VLOOKUP('Données projet'!$B$12,Paramètres!$A$1:$I$89,3,0)*0.475*44/12</f>
        <v>6.1146567736316524E-14</v>
      </c>
      <c r="CN141" s="24">
        <f t="shared" si="120"/>
        <v>13.052384009155134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499.92116338695428</v>
      </c>
      <c r="CZ141" s="62">
        <f t="shared" si="150"/>
        <v>316.79403154855652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0.15684782668496802</v>
      </c>
      <c r="DH141" s="23">
        <f>EXP(-LN(2)/2)*DH140+(1-EXP(-LN(2)/2))/(LN(2)/2)*DB141*DE141*VLOOKUP('Données projet'!$B$13,Paramètres!$A$1:$I$89,3,0)*0.475*44/12</f>
        <v>1.6419812797587075E-16</v>
      </c>
      <c r="DI141" s="24">
        <f t="shared" si="123"/>
        <v>0.15684782668496819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135.66666666666666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211.70619219850786</v>
      </c>
      <c r="T142" s="62">
        <f t="shared" si="142"/>
        <v>426.883837098247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1.9895196601282805E-13</v>
      </c>
      <c r="AJ142" s="14">
        <f>AI142*VLOOKUP('Données projet'!$B$10,Paramètres!$A$1:$I$89,3,0)*VLOOKUP('Données projet'!$B$10,Paramètres!$A$1:$I$89,5,0)</f>
        <v>1.8001173884840681E-13</v>
      </c>
      <c r="AK142" s="14">
        <f t="shared" si="143"/>
        <v>2.5254331426407198E-12</v>
      </c>
      <c r="AL142" s="22">
        <f t="shared" si="112"/>
        <v>4.7119831685935622E-12</v>
      </c>
      <c r="AM142" s="62">
        <f t="shared" si="113"/>
        <v>281.09749585609677</v>
      </c>
      <c r="AN142" s="62">
        <f ca="1">AVERAGE(OFFSET($AM$3,0,0,'Données projet'!$E$10+1,1))-AVERAGE(OFFSET($H$3,0,0,'Données projet'!$E$10+1,1))</f>
        <v>327.07074355218322</v>
      </c>
      <c r="AO142" s="62">
        <f t="shared" si="144"/>
        <v>462.01668587029087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0.96278037371242031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0.96278037371242031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-9.9316821433603781E-14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378.51861272969165</v>
      </c>
      <c r="BJ142" s="62">
        <f t="shared" si="146"/>
        <v>387.42368617035459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0.69705208840291266</v>
      </c>
      <c r="BR142" s="23">
        <f>EXP(-LN(2)/2)*BR141+(1-EXP(-LN(2)/2))/(LN(2)/2)*BL142*BO142*VLOOKUP('Données projet'!$B$11,Paramètres!$A$1:$I$89,3,0)*0.475*44/12</f>
        <v>7.0436528328015445E-16</v>
      </c>
      <c r="BS142" s="24">
        <f t="shared" si="117"/>
        <v>0.69705208840291333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5.6843418860808015E-14</v>
      </c>
      <c r="BZ142" s="14">
        <f>BY142*VLOOKUP('Données projet'!$B$12,Paramètres!$A$1:$I$89,3,0)*VLOOKUP('Données projet'!$B$12,Paramètres!$A$1:$I$89,5,0)</f>
        <v>3.3992364478763198E-14</v>
      </c>
      <c r="CA142" s="14">
        <f t="shared" si="147"/>
        <v>5.790027782444094E-13</v>
      </c>
      <c r="CB142" s="22">
        <f t="shared" si="118"/>
        <v>1.0676332069095257E-12</v>
      </c>
      <c r="CC142" s="62">
        <f t="shared" si="119"/>
        <v>281.09749585609313</v>
      </c>
      <c r="CD142" s="62">
        <f ca="1">AVERAGE(OFFSET($CC$3,0,0,'Données projet'!$E$12+1,1))-AVERAGE(OFFSET($H$3,0,0,'Données projet'!$E$12+1,1))</f>
        <v>225.71928466161592</v>
      </c>
      <c r="CE142" s="62">
        <f t="shared" si="148"/>
        <v>385.98818770742025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12.632339468302</v>
      </c>
      <c r="CL142" s="23">
        <f>EXP(-LN(2)/25)*CL141+(1-EXP(-LN(2)/25))/(LN(2)/25)*Calculateur!CG142*Calculateur!CI142*VLOOKUP('Données projet'!$B$12,Paramètres!$A$1:$I$89,3,0)*0.475*44/12</f>
        <v>0.16280047636018208</v>
      </c>
      <c r="CM142" s="23">
        <f>EXP(-LN(2)/2)*CM141+(1-EXP(-LN(2)/2))/(LN(2)/2)*CG142*CJ142*VLOOKUP('Données projet'!$B$12,Paramètres!$A$1:$I$89,3,0)*0.475*44/12</f>
        <v>4.3237152692631975E-14</v>
      </c>
      <c r="CN142" s="24">
        <f t="shared" si="120"/>
        <v>12.795139944662225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499.92116338695428</v>
      </c>
      <c r="CZ142" s="62">
        <f t="shared" si="150"/>
        <v>316.79403154855652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0.15255881461599885</v>
      </c>
      <c r="DH142" s="23">
        <f>EXP(-LN(2)/2)*DH141+(1-EXP(-LN(2)/2))/(LN(2)/2)*DB142*DE142*VLOOKUP('Données projet'!$B$13,Paramètres!$A$1:$I$89,3,0)*0.475*44/12</f>
        <v>1.1610560974987477E-16</v>
      </c>
      <c r="DI142" s="24">
        <f t="shared" si="123"/>
        <v>0.15255881461599896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135.66666666666666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211.70619219850786</v>
      </c>
      <c r="T143" s="62">
        <f t="shared" si="142"/>
        <v>426.883837098247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1.9895196601282805E-13</v>
      </c>
      <c r="AJ143" s="14">
        <f>AI143*VLOOKUP('Données projet'!$B$10,Paramètres!$A$1:$I$89,3,0)*VLOOKUP('Données projet'!$B$10,Paramètres!$A$1:$I$89,5,0)</f>
        <v>1.8001173884840681E-13</v>
      </c>
      <c r="AK143" s="14">
        <f t="shared" si="143"/>
        <v>2.5254331426407198E-12</v>
      </c>
      <c r="AL143" s="22">
        <f t="shared" si="112"/>
        <v>4.7119831685935622E-12</v>
      </c>
      <c r="AM143" s="62">
        <f t="shared" si="113"/>
        <v>281.30976028109245</v>
      </c>
      <c r="AN143" s="62">
        <f ca="1">AVERAGE(OFFSET($AM$3,0,0,'Données projet'!$E$10+1,1))-AVERAGE(OFFSET($H$3,0,0,'Données projet'!$E$10+1,1))</f>
        <v>327.07074355218322</v>
      </c>
      <c r="AO143" s="62">
        <f t="shared" si="144"/>
        <v>462.01668587029087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0.94390083782196277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0.94390083782196277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-9.9316821433603781E-14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378.51861272969165</v>
      </c>
      <c r="BJ143" s="62">
        <f t="shared" si="146"/>
        <v>387.42368617035459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0.6779911623891588</v>
      </c>
      <c r="BR143" s="23">
        <f>EXP(-LN(2)/2)*BR142+(1-EXP(-LN(2)/2))/(LN(2)/2)*BL143*BO143*VLOOKUP('Données projet'!$B$11,Paramètres!$A$1:$I$89,3,0)*0.475*44/12</f>
        <v>4.9806146823978072E-16</v>
      </c>
      <c r="BS143" s="24">
        <f t="shared" si="117"/>
        <v>0.67799116238915924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5.6843418860808015E-14</v>
      </c>
      <c r="BZ143" s="14">
        <f>BY143*VLOOKUP('Données projet'!$B$12,Paramètres!$A$1:$I$89,3,0)*VLOOKUP('Données projet'!$B$12,Paramètres!$A$1:$I$89,5,0)</f>
        <v>3.3992364478763198E-14</v>
      </c>
      <c r="CA143" s="14">
        <f t="shared" si="147"/>
        <v>5.790027782444094E-13</v>
      </c>
      <c r="CB143" s="22">
        <f t="shared" si="118"/>
        <v>1.0676332069095257E-12</v>
      </c>
      <c r="CC143" s="62">
        <f t="shared" si="119"/>
        <v>281.30976028108881</v>
      </c>
      <c r="CD143" s="62">
        <f ca="1">AVERAGE(OFFSET($CC$3,0,0,'Données projet'!$E$12+1,1))-AVERAGE(OFFSET($H$3,0,0,'Données projet'!$E$12+1,1))</f>
        <v>225.71928466161592</v>
      </c>
      <c r="CE143" s="62">
        <f t="shared" si="148"/>
        <v>385.98818770742025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12.384626996294871</v>
      </c>
      <c r="CL143" s="23">
        <f>EXP(-LN(2)/25)*CL142+(1-EXP(-LN(2)/25))/(LN(2)/25)*Calculateur!CG143*Calculateur!CI143*VLOOKUP('Données projet'!$B$12,Paramètres!$A$1:$I$89,3,0)*0.475*44/12</f>
        <v>0.15834868877280794</v>
      </c>
      <c r="CM143" s="23">
        <f>EXP(-LN(2)/2)*CM142+(1-EXP(-LN(2)/2))/(LN(2)/2)*CG143*CJ143*VLOOKUP('Données projet'!$B$12,Paramètres!$A$1:$I$89,3,0)*0.475*44/12</f>
        <v>3.0573283868158262E-14</v>
      </c>
      <c r="CN143" s="24">
        <f t="shared" si="120"/>
        <v>12.542975685067709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499.92116338695428</v>
      </c>
      <c r="CZ143" s="62">
        <f t="shared" si="150"/>
        <v>316.79403154855652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0.14838708580760498</v>
      </c>
      <c r="DH143" s="23">
        <f>EXP(-LN(2)/2)*DH142+(1-EXP(-LN(2)/2))/(LN(2)/2)*DB143*DE143*VLOOKUP('Données projet'!$B$13,Paramètres!$A$1:$I$89,3,0)*0.475*44/12</f>
        <v>8.2099063987935377E-17</v>
      </c>
      <c r="DI143" s="24">
        <f t="shared" si="123"/>
        <v>0.14838708580760507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135.66666666666666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211.70619219850786</v>
      </c>
      <c r="T144" s="62">
        <f t="shared" si="142"/>
        <v>426.883837098247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1.9895196601282805E-13</v>
      </c>
      <c r="AJ144" s="14">
        <f>AI144*VLOOKUP('Données projet'!$B$10,Paramètres!$A$1:$I$89,3,0)*VLOOKUP('Données projet'!$B$10,Paramètres!$A$1:$I$89,5,0)</f>
        <v>1.8001173884840681E-13</v>
      </c>
      <c r="AK144" s="14">
        <f t="shared" si="143"/>
        <v>2.5254331426407198E-12</v>
      </c>
      <c r="AL144" s="22">
        <f t="shared" si="112"/>
        <v>4.7119831685935622E-12</v>
      </c>
      <c r="AM144" s="62">
        <f t="shared" si="113"/>
        <v>281.51834239286654</v>
      </c>
      <c r="AN144" s="62">
        <f ca="1">AVERAGE(OFFSET($AM$3,0,0,'Données projet'!$E$10+1,1))-AVERAGE(OFFSET($H$3,0,0,'Données projet'!$E$10+1,1))</f>
        <v>327.07074355218322</v>
      </c>
      <c r="AO144" s="62">
        <f t="shared" si="144"/>
        <v>462.01668587029087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0.92539151811493725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0.92539151811493725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-9.9316821433603781E-14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378.51861272969165</v>
      </c>
      <c r="BJ144" s="62">
        <f t="shared" si="146"/>
        <v>387.42368617035459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0.6594514583996216</v>
      </c>
      <c r="BR144" s="23">
        <f>EXP(-LN(2)/2)*BR143+(1-EXP(-LN(2)/2))/(LN(2)/2)*BL144*BO144*VLOOKUP('Données projet'!$B$11,Paramètres!$A$1:$I$89,3,0)*0.475*44/12</f>
        <v>3.5218264164007723E-16</v>
      </c>
      <c r="BS144" s="24">
        <f t="shared" si="117"/>
        <v>0.65945145839962194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5.6843418860808015E-14</v>
      </c>
      <c r="BZ144" s="14">
        <f>BY144*VLOOKUP('Données projet'!$B$12,Paramètres!$A$1:$I$89,3,0)*VLOOKUP('Données projet'!$B$12,Paramètres!$A$1:$I$89,5,0)</f>
        <v>3.3992364478763198E-14</v>
      </c>
      <c r="CA144" s="14">
        <f t="shared" si="147"/>
        <v>5.790027782444094E-13</v>
      </c>
      <c r="CB144" s="22">
        <f t="shared" si="118"/>
        <v>1.0676332069095257E-12</v>
      </c>
      <c r="CC144" s="62">
        <f t="shared" si="119"/>
        <v>281.51834239286291</v>
      </c>
      <c r="CD144" s="62">
        <f ca="1">AVERAGE(OFFSET($CC$3,0,0,'Données projet'!$E$12+1,1))-AVERAGE(OFFSET($H$3,0,0,'Données projet'!$E$12+1,1))</f>
        <v>225.71928466161592</v>
      </c>
      <c r="CE144" s="62">
        <f t="shared" si="148"/>
        <v>385.98818770742025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12.141772014774114</v>
      </c>
      <c r="CL144" s="23">
        <f>EXP(-LN(2)/25)*CL143+(1-EXP(-LN(2)/25))/(LN(2)/25)*Calculateur!CG144*Calculateur!CI144*VLOOKUP('Données projet'!$B$12,Paramètres!$A$1:$I$89,3,0)*0.475*44/12</f>
        <v>0.15401863555111989</v>
      </c>
      <c r="CM144" s="23">
        <f>EXP(-LN(2)/2)*CM143+(1-EXP(-LN(2)/2))/(LN(2)/2)*CG144*CJ144*VLOOKUP('Données projet'!$B$12,Paramètres!$A$1:$I$89,3,0)*0.475*44/12</f>
        <v>2.1618576346315987E-14</v>
      </c>
      <c r="CN144" s="24">
        <f t="shared" si="120"/>
        <v>12.295790650325255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499.92116338695428</v>
      </c>
      <c r="CZ144" s="62">
        <f t="shared" si="150"/>
        <v>316.79403154855652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0.14432943314285832</v>
      </c>
      <c r="DH144" s="23">
        <f>EXP(-LN(2)/2)*DH143+(1-EXP(-LN(2)/2))/(LN(2)/2)*DB144*DE144*VLOOKUP('Données projet'!$B$13,Paramètres!$A$1:$I$89,3,0)*0.475*44/12</f>
        <v>5.8052804874937384E-17</v>
      </c>
      <c r="DI144" s="24">
        <f t="shared" si="123"/>
        <v>0.14432943314285837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135.66666666666666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211.70619219850786</v>
      </c>
      <c r="T145" s="62">
        <f t="shared" si="142"/>
        <v>426.883837098247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1.9895196601282805E-13</v>
      </c>
      <c r="AJ145" s="14">
        <f>AI145*VLOOKUP('Données projet'!$B$10,Paramètres!$A$1:$I$89,3,0)*VLOOKUP('Données projet'!$B$10,Paramètres!$A$1:$I$89,5,0)</f>
        <v>1.8001173884840681E-13</v>
      </c>
      <c r="AK145" s="14">
        <f t="shared" si="143"/>
        <v>2.5254331426407198E-12</v>
      </c>
      <c r="AL145" s="22">
        <f t="shared" si="112"/>
        <v>4.7119831685935622E-12</v>
      </c>
      <c r="AM145" s="62">
        <f t="shared" si="113"/>
        <v>281.72330607132119</v>
      </c>
      <c r="AN145" s="62">
        <f ca="1">AVERAGE(OFFSET($AM$3,0,0,'Données projet'!$E$10+1,1))-AVERAGE(OFFSET($H$3,0,0,'Données projet'!$E$10+1,1))</f>
        <v>327.07074355218322</v>
      </c>
      <c r="AO145" s="62">
        <f t="shared" si="144"/>
        <v>462.01668587029087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0.90724515487779622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0.90724515487779622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-9.9316821433603781E-14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378.51861272969165</v>
      </c>
      <c r="BJ145" s="62">
        <f t="shared" si="146"/>
        <v>387.42368617035459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0.64141872359063901</v>
      </c>
      <c r="BR145" s="23">
        <f>EXP(-LN(2)/2)*BR144+(1-EXP(-LN(2)/2))/(LN(2)/2)*BL145*BO145*VLOOKUP('Données projet'!$B$11,Paramètres!$A$1:$I$89,3,0)*0.475*44/12</f>
        <v>2.4903073411989036E-16</v>
      </c>
      <c r="BS145" s="24">
        <f t="shared" si="117"/>
        <v>0.64141872359063923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5.6843418860808015E-14</v>
      </c>
      <c r="BZ145" s="14">
        <f>BY145*VLOOKUP('Données projet'!$B$12,Paramètres!$A$1:$I$89,3,0)*VLOOKUP('Données projet'!$B$12,Paramètres!$A$1:$I$89,5,0)</f>
        <v>3.3992364478763198E-14</v>
      </c>
      <c r="CA145" s="14">
        <f t="shared" si="147"/>
        <v>5.790027782444094E-13</v>
      </c>
      <c r="CB145" s="22">
        <f t="shared" si="118"/>
        <v>1.0676332069095257E-12</v>
      </c>
      <c r="CC145" s="62">
        <f t="shared" si="119"/>
        <v>281.72330607131755</v>
      </c>
      <c r="CD145" s="62">
        <f ca="1">AVERAGE(OFFSET($CC$3,0,0,'Données projet'!$E$12+1,1))-AVERAGE(OFFSET($H$3,0,0,'Données projet'!$E$12+1,1))</f>
        <v>225.71928466161592</v>
      </c>
      <c r="CE145" s="62">
        <f t="shared" si="148"/>
        <v>385.98818770742025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11.903679271314065</v>
      </c>
      <c r="CL145" s="23">
        <f>EXP(-LN(2)/25)*CL144+(1-EXP(-LN(2)/25))/(LN(2)/25)*Calculateur!CG145*Calculateur!CI145*VLOOKUP('Données projet'!$B$12,Paramètres!$A$1:$I$89,3,0)*0.475*44/12</f>
        <v>0.14980698786248647</v>
      </c>
      <c r="CM145" s="23">
        <f>EXP(-LN(2)/2)*CM144+(1-EXP(-LN(2)/2))/(LN(2)/2)*CG145*CJ145*VLOOKUP('Données projet'!$B$12,Paramètres!$A$1:$I$89,3,0)*0.475*44/12</f>
        <v>1.5286641934079131E-14</v>
      </c>
      <c r="CN145" s="24">
        <f t="shared" si="120"/>
        <v>12.053486259176568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499.92116338695428</v>
      </c>
      <c r="CZ145" s="62">
        <f t="shared" si="150"/>
        <v>316.79403154855652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0.14038273720361183</v>
      </c>
      <c r="DH145" s="23">
        <f>EXP(-LN(2)/2)*DH144+(1-EXP(-LN(2)/2))/(LN(2)/2)*DB145*DE145*VLOOKUP('Données projet'!$B$13,Paramètres!$A$1:$I$89,3,0)*0.475*44/12</f>
        <v>4.1049531993967689E-17</v>
      </c>
      <c r="DI145" s="24">
        <f t="shared" si="123"/>
        <v>0.14038273720361186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135.66666666666666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211.70619219850786</v>
      </c>
      <c r="T146" s="62">
        <f t="shared" si="142"/>
        <v>426.883837098247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1.9895196601282805E-13</v>
      </c>
      <c r="AJ146" s="14">
        <f>AI146*VLOOKUP('Données projet'!$B$10,Paramètres!$A$1:$I$89,3,0)*VLOOKUP('Données projet'!$B$10,Paramètres!$A$1:$I$89,5,0)</f>
        <v>1.8001173884840681E-13</v>
      </c>
      <c r="AK146" s="14">
        <f t="shared" si="143"/>
        <v>2.5254331426407198E-12</v>
      </c>
      <c r="AL146" s="22">
        <f t="shared" si="112"/>
        <v>4.7119831685935622E-12</v>
      </c>
      <c r="AM146" s="62">
        <f t="shared" si="113"/>
        <v>281.92471408818471</v>
      </c>
      <c r="AN146" s="62">
        <f ca="1">AVERAGE(OFFSET($AM$3,0,0,'Données projet'!$E$10+1,1))-AVERAGE(OFFSET($H$3,0,0,'Données projet'!$E$10+1,1))</f>
        <v>327.07074355218322</v>
      </c>
      <c r="AO146" s="62">
        <f t="shared" si="144"/>
        <v>462.01668587029087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0.88945463075554687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0.88945463075554687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-9.9316821433603781E-14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378.51861272969165</v>
      </c>
      <c r="BJ146" s="62">
        <f t="shared" si="146"/>
        <v>387.42368617035459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0.62387909486330828</v>
      </c>
      <c r="BR146" s="23">
        <f>EXP(-LN(2)/2)*BR145+(1-EXP(-LN(2)/2))/(LN(2)/2)*BL146*BO146*VLOOKUP('Données projet'!$B$11,Paramètres!$A$1:$I$89,3,0)*0.475*44/12</f>
        <v>1.7609132082003861E-16</v>
      </c>
      <c r="BS146" s="24">
        <f t="shared" si="117"/>
        <v>0.6238790948633085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5.6843418860808015E-14</v>
      </c>
      <c r="BZ146" s="14">
        <f>BY146*VLOOKUP('Données projet'!$B$12,Paramètres!$A$1:$I$89,3,0)*VLOOKUP('Données projet'!$B$12,Paramètres!$A$1:$I$89,5,0)</f>
        <v>3.3992364478763198E-14</v>
      </c>
      <c r="CA146" s="14">
        <f t="shared" si="147"/>
        <v>5.790027782444094E-13</v>
      </c>
      <c r="CB146" s="22">
        <f t="shared" si="118"/>
        <v>1.0676332069095257E-12</v>
      </c>
      <c r="CC146" s="62">
        <f t="shared" si="119"/>
        <v>281.92471408818108</v>
      </c>
      <c r="CD146" s="62">
        <f ca="1">AVERAGE(OFFSET($CC$3,0,0,'Données projet'!$E$12+1,1))-AVERAGE(OFFSET($H$3,0,0,'Données projet'!$E$12+1,1))</f>
        <v>225.71928466161592</v>
      </c>
      <c r="CE146" s="62">
        <f t="shared" si="148"/>
        <v>385.98818770742025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11.670255381331033</v>
      </c>
      <c r="CL146" s="23">
        <f>EXP(-LN(2)/25)*CL145+(1-EXP(-LN(2)/25))/(LN(2)/25)*Calculateur!CG146*Calculateur!CI146*VLOOKUP('Données projet'!$B$12,Paramètres!$A$1:$I$89,3,0)*0.475*44/12</f>
        <v>0.14571050790137968</v>
      </c>
      <c r="CM146" s="23">
        <f>EXP(-LN(2)/2)*CM145+(1-EXP(-LN(2)/2))/(LN(2)/2)*CG146*CJ146*VLOOKUP('Données projet'!$B$12,Paramètres!$A$1:$I$89,3,0)*0.475*44/12</f>
        <v>1.0809288173157994E-14</v>
      </c>
      <c r="CN146" s="24">
        <f t="shared" si="120"/>
        <v>11.815965889232423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499.92116338695428</v>
      </c>
      <c r="CZ146" s="62">
        <f t="shared" si="150"/>
        <v>316.79403154855652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0.13654396387237178</v>
      </c>
      <c r="DH146" s="23">
        <f>EXP(-LN(2)/2)*DH145+(1-EXP(-LN(2)/2))/(LN(2)/2)*DB146*DE146*VLOOKUP('Données projet'!$B$13,Paramètres!$A$1:$I$89,3,0)*0.475*44/12</f>
        <v>2.9026402437468692E-17</v>
      </c>
      <c r="DI146" s="24">
        <f t="shared" si="123"/>
        <v>0.1365439638723718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135.66666666666666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211.70619219850786</v>
      </c>
      <c r="T147" s="62">
        <f t="shared" si="142"/>
        <v>426.883837098247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1.9895196601282805E-13</v>
      </c>
      <c r="AJ147" s="14">
        <f>AI147*VLOOKUP('Données projet'!$B$10,Paramètres!$A$1:$I$89,3,0)*VLOOKUP('Données projet'!$B$10,Paramètres!$A$1:$I$89,5,0)</f>
        <v>1.8001173884840681E-13</v>
      </c>
      <c r="AK147" s="14">
        <f t="shared" si="143"/>
        <v>2.5254331426407198E-12</v>
      </c>
      <c r="AL147" s="22">
        <f t="shared" si="112"/>
        <v>4.7119831685935622E-12</v>
      </c>
      <c r="AM147" s="62">
        <f t="shared" si="113"/>
        <v>282.12262812623646</v>
      </c>
      <c r="AN147" s="62">
        <f ca="1">AVERAGE(OFFSET($AM$3,0,0,'Données projet'!$E$10+1,1))-AVERAGE(OFFSET($H$3,0,0,'Données projet'!$E$10+1,1))</f>
        <v>327.07074355218322</v>
      </c>
      <c r="AO147" s="62">
        <f t="shared" si="144"/>
        <v>462.01668587029087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0.87201296796018657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0.87201296796018657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-9.9316821433603781E-14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378.51861272969165</v>
      </c>
      <c r="BJ147" s="62">
        <f t="shared" si="146"/>
        <v>387.42368617035459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0.60681908820589536</v>
      </c>
      <c r="BR147" s="23">
        <f>EXP(-LN(2)/2)*BR146+(1-EXP(-LN(2)/2))/(LN(2)/2)*BL147*BO147*VLOOKUP('Données projet'!$B$11,Paramètres!$A$1:$I$89,3,0)*0.475*44/12</f>
        <v>1.2451536705994518E-16</v>
      </c>
      <c r="BS147" s="24">
        <f t="shared" si="117"/>
        <v>0.60681908820589547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5.6843418860808015E-14</v>
      </c>
      <c r="BZ147" s="14">
        <f>BY147*VLOOKUP('Données projet'!$B$12,Paramètres!$A$1:$I$89,3,0)*VLOOKUP('Données projet'!$B$12,Paramètres!$A$1:$I$89,5,0)</f>
        <v>3.3992364478763198E-14</v>
      </c>
      <c r="CA147" s="14">
        <f t="shared" si="147"/>
        <v>5.790027782444094E-13</v>
      </c>
      <c r="CB147" s="22">
        <f t="shared" si="118"/>
        <v>1.0676332069095257E-12</v>
      </c>
      <c r="CC147" s="62">
        <f t="shared" si="119"/>
        <v>282.12262812623283</v>
      </c>
      <c r="CD147" s="62">
        <f ca="1">AVERAGE(OFFSET($CC$3,0,0,'Données projet'!$E$12+1,1))-AVERAGE(OFFSET($H$3,0,0,'Données projet'!$E$12+1,1))</f>
        <v>225.71928466161592</v>
      </c>
      <c r="CE147" s="62">
        <f t="shared" si="148"/>
        <v>385.98818770742025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11.441408791456055</v>
      </c>
      <c r="CL147" s="23">
        <f>EXP(-LN(2)/25)*CL146+(1-EXP(-LN(2)/25))/(LN(2)/25)*Calculateur!CG147*Calculateur!CI147*VLOOKUP('Données projet'!$B$12,Paramètres!$A$1:$I$89,3,0)*0.475*44/12</f>
        <v>0.14172604640023387</v>
      </c>
      <c r="CM147" s="23">
        <f>EXP(-LN(2)/2)*CM146+(1-EXP(-LN(2)/2))/(LN(2)/2)*CG147*CJ147*VLOOKUP('Données projet'!$B$12,Paramètres!$A$1:$I$89,3,0)*0.475*44/12</f>
        <v>7.6433209670395655E-15</v>
      </c>
      <c r="CN147" s="24">
        <f t="shared" si="120"/>
        <v>11.583134837856296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499.92116338695428</v>
      </c>
      <c r="CZ147" s="62">
        <f t="shared" si="150"/>
        <v>316.79403154855652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0.1328101619997468</v>
      </c>
      <c r="DH147" s="23">
        <f>EXP(-LN(2)/2)*DH146+(1-EXP(-LN(2)/2))/(LN(2)/2)*DB147*DE147*VLOOKUP('Données projet'!$B$13,Paramètres!$A$1:$I$89,3,0)*0.475*44/12</f>
        <v>2.0524765996983844E-17</v>
      </c>
      <c r="DI147" s="24">
        <f t="shared" si="123"/>
        <v>0.13281016199974682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135.66666666666666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211.70619219850786</v>
      </c>
      <c r="T148" s="62">
        <f t="shared" si="142"/>
        <v>426.883837098247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1.9895196601282805E-13</v>
      </c>
      <c r="AJ148" s="14">
        <f>AI148*VLOOKUP('Données projet'!$B$10,Paramètres!$A$1:$I$89,3,0)*VLOOKUP('Données projet'!$B$10,Paramètres!$A$1:$I$89,5,0)</f>
        <v>1.8001173884840681E-13</v>
      </c>
      <c r="AK148" s="14">
        <f t="shared" si="143"/>
        <v>2.5254331426407198E-12</v>
      </c>
      <c r="AL148" s="22">
        <f t="shared" si="112"/>
        <v>4.7119831685935622E-12</v>
      </c>
      <c r="AM148" s="62">
        <f t="shared" si="113"/>
        <v>282.31710879819769</v>
      </c>
      <c r="AN148" s="62">
        <f ca="1">AVERAGE(OFFSET($AM$3,0,0,'Données projet'!$E$10+1,1))-AVERAGE(OFFSET($H$3,0,0,'Données projet'!$E$10+1,1))</f>
        <v>327.07074355218322</v>
      </c>
      <c r="AO148" s="62">
        <f t="shared" si="144"/>
        <v>462.01668587029087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0.85491332553387944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0.85491332553387944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-9.9316821433603781E-14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378.51861272969165</v>
      </c>
      <c r="BJ148" s="62">
        <f t="shared" si="146"/>
        <v>387.42368617035459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0.59022558832767624</v>
      </c>
      <c r="BR148" s="23">
        <f>EXP(-LN(2)/2)*BR147+(1-EXP(-LN(2)/2))/(LN(2)/2)*BL148*BO148*VLOOKUP('Données projet'!$B$11,Paramètres!$A$1:$I$89,3,0)*0.475*44/12</f>
        <v>8.8045660410019306E-17</v>
      </c>
      <c r="BS148" s="24">
        <f t="shared" si="117"/>
        <v>0.59022558832767635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5.6843418860808015E-14</v>
      </c>
      <c r="BZ148" s="14">
        <f>BY148*VLOOKUP('Données projet'!$B$12,Paramètres!$A$1:$I$89,3,0)*VLOOKUP('Données projet'!$B$12,Paramètres!$A$1:$I$89,5,0)</f>
        <v>3.3992364478763198E-14</v>
      </c>
      <c r="CA148" s="14">
        <f t="shared" si="147"/>
        <v>5.790027782444094E-13</v>
      </c>
      <c r="CB148" s="22">
        <f t="shared" si="118"/>
        <v>1.0676332069095257E-12</v>
      </c>
      <c r="CC148" s="62">
        <f t="shared" si="119"/>
        <v>282.31710879819406</v>
      </c>
      <c r="CD148" s="62">
        <f ca="1">AVERAGE(OFFSET($CC$3,0,0,'Données projet'!$E$12+1,1))-AVERAGE(OFFSET($H$3,0,0,'Données projet'!$E$12+1,1))</f>
        <v>225.71928466161592</v>
      </c>
      <c r="CE148" s="62">
        <f t="shared" si="148"/>
        <v>385.98818770742025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11.217049743625889</v>
      </c>
      <c r="CL148" s="23">
        <f>EXP(-LN(2)/25)*CL147+(1-EXP(-LN(2)/25))/(LN(2)/25)*Calculateur!CG148*Calculateur!CI148*VLOOKUP('Données projet'!$B$12,Paramètres!$A$1:$I$89,3,0)*0.475*44/12</f>
        <v>0.13785054020837062</v>
      </c>
      <c r="CM148" s="23">
        <f>EXP(-LN(2)/2)*CM147+(1-EXP(-LN(2)/2))/(LN(2)/2)*CG148*CJ148*VLOOKUP('Données projet'!$B$12,Paramètres!$A$1:$I$89,3,0)*0.475*44/12</f>
        <v>5.4046440865789969E-15</v>
      </c>
      <c r="CN148" s="24">
        <f t="shared" si="120"/>
        <v>11.354900283834265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499.92116338695428</v>
      </c>
      <c r="CZ148" s="62">
        <f t="shared" si="150"/>
        <v>316.79403154855652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0.12917846113568085</v>
      </c>
      <c r="DH148" s="23">
        <f>EXP(-LN(2)/2)*DH147+(1-EXP(-LN(2)/2))/(LN(2)/2)*DB148*DE148*VLOOKUP('Données projet'!$B$13,Paramètres!$A$1:$I$89,3,0)*0.475*44/12</f>
        <v>1.4513201218734346E-17</v>
      </c>
      <c r="DI148" s="24">
        <f t="shared" si="123"/>
        <v>0.12917846113568088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135.66666666666666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211.70619219850786</v>
      </c>
      <c r="T149" s="62">
        <f t="shared" si="142"/>
        <v>426.883837098247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1.9895196601282805E-13</v>
      </c>
      <c r="AJ149" s="14">
        <f>AI149*VLOOKUP('Données projet'!$B$10,Paramètres!$A$1:$I$89,3,0)*VLOOKUP('Données projet'!$B$10,Paramètres!$A$1:$I$89,5,0)</f>
        <v>1.8001173884840681E-13</v>
      </c>
      <c r="AK149" s="14">
        <f t="shared" si="143"/>
        <v>2.5254331426407198E-12</v>
      </c>
      <c r="AL149" s="22">
        <f t="shared" si="112"/>
        <v>4.7119831685935622E-12</v>
      </c>
      <c r="AM149" s="62">
        <f t="shared" si="113"/>
        <v>282.50821566529396</v>
      </c>
      <c r="AN149" s="62">
        <f ca="1">AVERAGE(OFFSET($AM$3,0,0,'Données projet'!$E$10+1,1))-AVERAGE(OFFSET($H$3,0,0,'Données projet'!$E$10+1,1))</f>
        <v>327.07074355218322</v>
      </c>
      <c r="AO149" s="62">
        <f t="shared" si="144"/>
        <v>462.01668587029087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0.83814899666580012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0.83814899666580012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-9.9316821433603781E-14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378.51861272969165</v>
      </c>
      <c r="BJ149" s="62">
        <f t="shared" si="146"/>
        <v>387.42368617035459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0.57408583857624118</v>
      </c>
      <c r="BR149" s="23">
        <f>EXP(-LN(2)/2)*BR148+(1-EXP(-LN(2)/2))/(LN(2)/2)*BL149*BO149*VLOOKUP('Données projet'!$B$11,Paramètres!$A$1:$I$89,3,0)*0.475*44/12</f>
        <v>6.2257683529972591E-17</v>
      </c>
      <c r="BS149" s="24">
        <f t="shared" si="117"/>
        <v>0.57408583857624129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5.6843418860808015E-14</v>
      </c>
      <c r="BZ149" s="14">
        <f>BY149*VLOOKUP('Données projet'!$B$12,Paramètres!$A$1:$I$89,3,0)*VLOOKUP('Données projet'!$B$12,Paramètres!$A$1:$I$89,5,0)</f>
        <v>3.3992364478763198E-14</v>
      </c>
      <c r="CA149" s="14">
        <f t="shared" si="147"/>
        <v>5.790027782444094E-13</v>
      </c>
      <c r="CB149" s="22">
        <f t="shared" si="118"/>
        <v>1.0676332069095257E-12</v>
      </c>
      <c r="CC149" s="62">
        <f t="shared" si="119"/>
        <v>282.50821566529032</v>
      </c>
      <c r="CD149" s="62">
        <f ca="1">AVERAGE(OFFSET($CC$3,0,0,'Données projet'!$E$12+1,1))-AVERAGE(OFFSET($H$3,0,0,'Données projet'!$E$12+1,1))</f>
        <v>225.71928466161592</v>
      </c>
      <c r="CE149" s="62">
        <f t="shared" si="148"/>
        <v>385.98818770742025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10.997090239878165</v>
      </c>
      <c r="CL149" s="23">
        <f>EXP(-LN(2)/25)*CL148+(1-EXP(-LN(2)/25))/(LN(2)/25)*Calculateur!CG149*Calculateur!CI149*VLOOKUP('Données projet'!$B$12,Paramètres!$A$1:$I$89,3,0)*0.475*44/12</f>
        <v>0.13408100993712788</v>
      </c>
      <c r="CM149" s="23">
        <f>EXP(-LN(2)/2)*CM148+(1-EXP(-LN(2)/2))/(LN(2)/2)*CG149*CJ149*VLOOKUP('Données projet'!$B$12,Paramètres!$A$1:$I$89,3,0)*0.475*44/12</f>
        <v>3.8216604835197828E-15</v>
      </c>
      <c r="CN149" s="24">
        <f t="shared" si="120"/>
        <v>11.131171249815297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499.92116338695428</v>
      </c>
      <c r="CZ149" s="62">
        <f t="shared" si="150"/>
        <v>316.79403154855652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0.12564606932272562</v>
      </c>
      <c r="DH149" s="23">
        <f>EXP(-LN(2)/2)*DH148+(1-EXP(-LN(2)/2))/(LN(2)/2)*DB149*DE149*VLOOKUP('Données projet'!$B$13,Paramètres!$A$1:$I$89,3,0)*0.475*44/12</f>
        <v>1.0262382998491922E-17</v>
      </c>
      <c r="DI149" s="24">
        <f t="shared" si="123"/>
        <v>0.12564606932272562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135.66666666666666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211.70619219850786</v>
      </c>
      <c r="T150" s="62">
        <f t="shared" si="142"/>
        <v>426.883837098247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1.9895196601282805E-13</v>
      </c>
      <c r="AJ150" s="14">
        <f>AI150*VLOOKUP('Données projet'!$B$10,Paramètres!$A$1:$I$89,3,0)*VLOOKUP('Données projet'!$B$10,Paramètres!$A$1:$I$89,5,0)</f>
        <v>1.8001173884840681E-13</v>
      </c>
      <c r="AK150" s="14">
        <f t="shared" si="143"/>
        <v>2.5254331426407198E-12</v>
      </c>
      <c r="AL150" s="22">
        <f t="shared" si="112"/>
        <v>4.7119831685935622E-12</v>
      </c>
      <c r="AM150" s="62">
        <f t="shared" si="113"/>
        <v>282.69600725549702</v>
      </c>
      <c r="AN150" s="62">
        <f ca="1">AVERAGE(OFFSET($AM$3,0,0,'Données projet'!$E$10+1,1))-AVERAGE(OFFSET($H$3,0,0,'Données projet'!$E$10+1,1))</f>
        <v>327.07074355218322</v>
      </c>
      <c r="AO150" s="62">
        <f t="shared" si="144"/>
        <v>462.01668587029087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0.82171340606159293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0.82171340606159293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-9.9316821433603781E-14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378.51861272969165</v>
      </c>
      <c r="BJ150" s="62">
        <f t="shared" si="146"/>
        <v>387.42368617035459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0.5583874311305117</v>
      </c>
      <c r="BR150" s="23">
        <f>EXP(-LN(2)/2)*BR149+(1-EXP(-LN(2)/2))/(LN(2)/2)*BL150*BO150*VLOOKUP('Données projet'!$B$11,Paramètres!$A$1:$I$89,3,0)*0.475*44/12</f>
        <v>4.4022830205009653E-17</v>
      </c>
      <c r="BS150" s="24">
        <f t="shared" si="117"/>
        <v>0.5583874311305117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5.6843418860808015E-14</v>
      </c>
      <c r="BZ150" s="14">
        <f>BY150*VLOOKUP('Données projet'!$B$12,Paramètres!$A$1:$I$89,3,0)*VLOOKUP('Données projet'!$B$12,Paramètres!$A$1:$I$89,5,0)</f>
        <v>3.3992364478763198E-14</v>
      </c>
      <c r="CA150" s="14">
        <f t="shared" si="147"/>
        <v>5.790027782444094E-13</v>
      </c>
      <c r="CB150" s="22">
        <f t="shared" si="118"/>
        <v>1.0676332069095257E-12</v>
      </c>
      <c r="CC150" s="62">
        <f t="shared" si="119"/>
        <v>282.69600725549338</v>
      </c>
      <c r="CD150" s="62">
        <f ca="1">AVERAGE(OFFSET($CC$3,0,0,'Données projet'!$E$12+1,1))-AVERAGE(OFFSET($H$3,0,0,'Données projet'!$E$12+1,1))</f>
        <v>225.71928466161592</v>
      </c>
      <c r="CE150" s="62">
        <f t="shared" si="148"/>
        <v>385.98818770742025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10.781444007836884</v>
      </c>
      <c r="CL150" s="23">
        <f>EXP(-LN(2)/25)*CL149+(1-EXP(-LN(2)/25))/(LN(2)/25)*Calculateur!CG150*Calculateur!CI150*VLOOKUP('Données projet'!$B$12,Paramètres!$A$1:$I$89,3,0)*0.475*44/12</f>
        <v>0.13041455766938326</v>
      </c>
      <c r="CM150" s="23">
        <f>EXP(-LN(2)/2)*CM149+(1-EXP(-LN(2)/2))/(LN(2)/2)*CG150*CJ150*VLOOKUP('Données projet'!$B$12,Paramètres!$A$1:$I$89,3,0)*0.475*44/12</f>
        <v>2.7023220432894984E-15</v>
      </c>
      <c r="CN150" s="24">
        <f t="shared" si="120"/>
        <v>10.91185856550627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499.92116338695428</v>
      </c>
      <c r="CZ150" s="62">
        <f t="shared" si="150"/>
        <v>316.79403154855652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0.12221027094965607</v>
      </c>
      <c r="DH150" s="23">
        <f>EXP(-LN(2)/2)*DH149+(1-EXP(-LN(2)/2))/(LN(2)/2)*DB150*DE150*VLOOKUP('Données projet'!$B$13,Paramètres!$A$1:$I$89,3,0)*0.475*44/12</f>
        <v>7.256600609367173E-18</v>
      </c>
      <c r="DI150" s="24">
        <f t="shared" si="123"/>
        <v>0.12221027094965609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135.66666666666666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211.70619219850786</v>
      </c>
      <c r="T151" s="62">
        <f t="shared" si="142"/>
        <v>426.883837098247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1.9895196601282805E-13</v>
      </c>
      <c r="AJ151" s="14">
        <f>AI151*VLOOKUP('Données projet'!$B$10,Paramètres!$A$1:$I$89,3,0)*VLOOKUP('Données projet'!$B$10,Paramètres!$A$1:$I$89,5,0)</f>
        <v>1.8001173884840681E-13</v>
      </c>
      <c r="AK151" s="14">
        <f t="shared" si="143"/>
        <v>2.5254331426407198E-12</v>
      </c>
      <c r="AL151" s="22">
        <f t="shared" si="112"/>
        <v>4.7119831685935622E-12</v>
      </c>
      <c r="AM151" s="62">
        <f t="shared" si="113"/>
        <v>282.88054108144917</v>
      </c>
      <c r="AN151" s="62">
        <f ca="1">AVERAGE(OFFSET($AM$3,0,0,'Données projet'!$E$10+1,1))-AVERAGE(OFFSET($H$3,0,0,'Données projet'!$E$10+1,1))</f>
        <v>327.07074355218322</v>
      </c>
      <c r="AO151" s="62">
        <f t="shared" si="144"/>
        <v>462.01668587029087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0.80560010736441379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0.80560010736441379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-9.9316821433603781E-14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378.51861272969165</v>
      </c>
      <c r="BJ151" s="62">
        <f t="shared" si="146"/>
        <v>387.42368617035459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0.54311829746192908</v>
      </c>
      <c r="BR151" s="23">
        <f>EXP(-LN(2)/2)*BR150+(1-EXP(-LN(2)/2))/(LN(2)/2)*BL151*BO151*VLOOKUP('Données projet'!$B$11,Paramètres!$A$1:$I$89,3,0)*0.475*44/12</f>
        <v>3.1128841764986295E-17</v>
      </c>
      <c r="BS151" s="24">
        <f t="shared" si="117"/>
        <v>0.54311829746192908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5.6843418860808015E-14</v>
      </c>
      <c r="BZ151" s="14">
        <f>BY151*VLOOKUP('Données projet'!$B$12,Paramètres!$A$1:$I$89,3,0)*VLOOKUP('Données projet'!$B$12,Paramètres!$A$1:$I$89,5,0)</f>
        <v>3.3992364478763198E-14</v>
      </c>
      <c r="CA151" s="14">
        <f t="shared" si="147"/>
        <v>5.790027782444094E-13</v>
      </c>
      <c r="CB151" s="22">
        <f t="shared" si="118"/>
        <v>1.0676332069095257E-12</v>
      </c>
      <c r="CC151" s="62">
        <f t="shared" si="119"/>
        <v>282.88054108144553</v>
      </c>
      <c r="CD151" s="62">
        <f ca="1">AVERAGE(OFFSET($CC$3,0,0,'Données projet'!$E$12+1,1))-AVERAGE(OFFSET($H$3,0,0,'Données projet'!$E$12+1,1))</f>
        <v>225.71928466161592</v>
      </c>
      <c r="CE151" s="62">
        <f t="shared" si="148"/>
        <v>385.98818770742025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10.570026466874719</v>
      </c>
      <c r="CL151" s="23">
        <f>EXP(-LN(2)/25)*CL150+(1-EXP(-LN(2)/25))/(LN(2)/25)*Calculateur!CG151*Calculateur!CI151*VLOOKUP('Données projet'!$B$12,Paramètres!$A$1:$I$89,3,0)*0.475*44/12</f>
        <v>0.12684836473171046</v>
      </c>
      <c r="CM151" s="23">
        <f>EXP(-LN(2)/2)*CM150+(1-EXP(-LN(2)/2))/(LN(2)/2)*CG151*CJ151*VLOOKUP('Données projet'!$B$12,Paramètres!$A$1:$I$89,3,0)*0.475*44/12</f>
        <v>1.9108302417598914E-15</v>
      </c>
      <c r="CN151" s="24">
        <f t="shared" si="120"/>
        <v>10.696874831606431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499.92116338695428</v>
      </c>
      <c r="CZ151" s="62">
        <f t="shared" si="150"/>
        <v>316.79403154855652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0.11886842466377889</v>
      </c>
      <c r="DH151" s="23">
        <f>EXP(-LN(2)/2)*DH150+(1-EXP(-LN(2)/2))/(LN(2)/2)*DB151*DE151*VLOOKUP('Données projet'!$B$13,Paramètres!$A$1:$I$89,3,0)*0.475*44/12</f>
        <v>5.1311914992459611E-18</v>
      </c>
      <c r="DI151" s="24">
        <f t="shared" si="123"/>
        <v>0.11886842466377889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135.66666666666666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211.70619219850786</v>
      </c>
      <c r="T152" s="62">
        <f t="shared" si="142"/>
        <v>426.883837098247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1.9895196601282805E-13</v>
      </c>
      <c r="AJ152" s="14">
        <f>AI152*VLOOKUP('Données projet'!$B$10,Paramètres!$A$1:$I$89,3,0)*VLOOKUP('Données projet'!$B$10,Paramètres!$A$1:$I$89,5,0)</f>
        <v>1.8001173884840681E-13</v>
      </c>
      <c r="AK152" s="14">
        <f t="shared" si="143"/>
        <v>2.5254331426407198E-12</v>
      </c>
      <c r="AL152" s="22">
        <f t="shared" si="112"/>
        <v>4.7119831685935622E-12</v>
      </c>
      <c r="AM152" s="62">
        <f t="shared" si="113"/>
        <v>283.06187365807688</v>
      </c>
      <c r="AN152" s="62">
        <f ca="1">AVERAGE(OFFSET($AM$3,0,0,'Données projet'!$E$10+1,1))-AVERAGE(OFFSET($H$3,0,0,'Données projet'!$E$10+1,1))</f>
        <v>327.07074355218322</v>
      </c>
      <c r="AO152" s="62">
        <f t="shared" si="144"/>
        <v>462.01668587029087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0.78980278062654463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0.78980278062654463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-9.9316821433603781E-14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378.51861272969165</v>
      </c>
      <c r="BJ152" s="62">
        <f t="shared" si="146"/>
        <v>387.42368617035459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0.52826669905648271</v>
      </c>
      <c r="BR152" s="23">
        <f>EXP(-LN(2)/2)*BR151+(1-EXP(-LN(2)/2))/(LN(2)/2)*BL152*BO152*VLOOKUP('Données projet'!$B$11,Paramètres!$A$1:$I$89,3,0)*0.475*44/12</f>
        <v>2.2011415102504827E-17</v>
      </c>
      <c r="BS152" s="24">
        <f t="shared" si="117"/>
        <v>0.52826669905648271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5.6843418860808015E-14</v>
      </c>
      <c r="BZ152" s="14">
        <f>BY152*VLOOKUP('Données projet'!$B$12,Paramètres!$A$1:$I$89,3,0)*VLOOKUP('Données projet'!$B$12,Paramètres!$A$1:$I$89,5,0)</f>
        <v>3.3992364478763198E-14</v>
      </c>
      <c r="CA152" s="14">
        <f t="shared" si="147"/>
        <v>5.790027782444094E-13</v>
      </c>
      <c r="CB152" s="22">
        <f t="shared" si="118"/>
        <v>1.0676332069095257E-12</v>
      </c>
      <c r="CC152" s="62">
        <f t="shared" si="119"/>
        <v>283.06187365807324</v>
      </c>
      <c r="CD152" s="62">
        <f ca="1">AVERAGE(OFFSET($CC$3,0,0,'Données projet'!$E$12+1,1))-AVERAGE(OFFSET($H$3,0,0,'Données projet'!$E$12+1,1))</f>
        <v>225.71928466161592</v>
      </c>
      <c r="CE152" s="62">
        <f t="shared" si="148"/>
        <v>385.98818770742025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10.362754694938854</v>
      </c>
      <c r="CL152" s="23">
        <f>EXP(-LN(2)/25)*CL151+(1-EXP(-LN(2)/25))/(LN(2)/25)*Calculateur!CG152*Calculateur!CI152*VLOOKUP('Données projet'!$B$12,Paramètres!$A$1:$I$89,3,0)*0.475*44/12</f>
        <v>0.12337968952745626</v>
      </c>
      <c r="CM152" s="23">
        <f>EXP(-LN(2)/2)*CM151+(1-EXP(-LN(2)/2))/(LN(2)/2)*CG152*CJ152*VLOOKUP('Données projet'!$B$12,Paramètres!$A$1:$I$89,3,0)*0.475*44/12</f>
        <v>1.3511610216447492E-15</v>
      </c>
      <c r="CN152" s="24">
        <f t="shared" si="120"/>
        <v>10.486134384466311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499.92116338695428</v>
      </c>
      <c r="CZ152" s="62">
        <f t="shared" si="150"/>
        <v>316.79403154855652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0.11561796134032909</v>
      </c>
      <c r="DH152" s="23">
        <f>EXP(-LN(2)/2)*DH151+(1-EXP(-LN(2)/2))/(LN(2)/2)*DB152*DE152*VLOOKUP('Données projet'!$B$13,Paramètres!$A$1:$I$89,3,0)*0.475*44/12</f>
        <v>3.6283003046835865E-18</v>
      </c>
      <c r="DI152" s="24">
        <f t="shared" si="123"/>
        <v>0.11561796134032909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135.66666666666666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211.70619219850786</v>
      </c>
      <c r="T153" s="62">
        <f t="shared" si="142"/>
        <v>426.883837098247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1.9895196601282805E-13</v>
      </c>
      <c r="AJ153" s="14">
        <f>AI153*VLOOKUP('Données projet'!$B$10,Paramètres!$A$1:$I$89,3,0)*VLOOKUP('Données projet'!$B$10,Paramètres!$A$1:$I$89,5,0)</f>
        <v>1.8001173884840681E-13</v>
      </c>
      <c r="AK153" s="14">
        <f t="shared" si="143"/>
        <v>2.5254331426407198E-12</v>
      </c>
      <c r="AL153" s="22">
        <f t="shared" si="112"/>
        <v>4.7119831685935622E-12</v>
      </c>
      <c r="AM153" s="62">
        <f t="shared" si="113"/>
        <v>283.24006051989903</v>
      </c>
      <c r="AN153" s="62">
        <f ca="1">AVERAGE(OFFSET($AM$3,0,0,'Données projet'!$E$10+1,1))-AVERAGE(OFFSET($H$3,0,0,'Données projet'!$E$10+1,1))</f>
        <v>327.07074355218322</v>
      </c>
      <c r="AO153" s="62">
        <f t="shared" si="144"/>
        <v>462.01668587029087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0.7743152298305872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0.7743152298305872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-9.9316821433603781E-14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378.51861272969165</v>
      </c>
      <c r="BJ153" s="62">
        <f t="shared" si="146"/>
        <v>387.42368617035459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0.51382121839044481</v>
      </c>
      <c r="BR153" s="23">
        <f>EXP(-LN(2)/2)*BR152+(1-EXP(-LN(2)/2))/(LN(2)/2)*BL153*BO153*VLOOKUP('Données projet'!$B$11,Paramètres!$A$1:$I$89,3,0)*0.475*44/12</f>
        <v>1.5564420882493148E-17</v>
      </c>
      <c r="BS153" s="24">
        <f t="shared" si="117"/>
        <v>0.51382121839044481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5.6843418860808015E-14</v>
      </c>
      <c r="BZ153" s="14">
        <f>BY153*VLOOKUP('Données projet'!$B$12,Paramètres!$A$1:$I$89,3,0)*VLOOKUP('Données projet'!$B$12,Paramètres!$A$1:$I$89,5,0)</f>
        <v>3.3992364478763198E-14</v>
      </c>
      <c r="CA153" s="14">
        <f t="shared" si="147"/>
        <v>5.790027782444094E-13</v>
      </c>
      <c r="CB153" s="22">
        <f t="shared" si="118"/>
        <v>1.0676332069095257E-12</v>
      </c>
      <c r="CC153" s="62">
        <f t="shared" si="119"/>
        <v>283.24006051989539</v>
      </c>
      <c r="CD153" s="62">
        <f ca="1">AVERAGE(OFFSET($CC$3,0,0,'Données projet'!$E$12+1,1))-AVERAGE(OFFSET($H$3,0,0,'Données projet'!$E$12+1,1))</f>
        <v>225.71928466161592</v>
      </c>
      <c r="CE153" s="62">
        <f t="shared" si="148"/>
        <v>385.98818770742025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10.159547396027353</v>
      </c>
      <c r="CL153" s="23">
        <f>EXP(-LN(2)/25)*CL152+(1-EXP(-LN(2)/25))/(LN(2)/25)*Calculateur!CG153*Calculateur!CI153*VLOOKUP('Données projet'!$B$12,Paramètres!$A$1:$I$89,3,0)*0.475*44/12</f>
        <v>0.12000586542907209</v>
      </c>
      <c r="CM153" s="23">
        <f>EXP(-LN(2)/2)*CM152+(1-EXP(-LN(2)/2))/(LN(2)/2)*CG153*CJ153*VLOOKUP('Données projet'!$B$12,Paramètres!$A$1:$I$89,3,0)*0.475*44/12</f>
        <v>9.5541512087994569E-16</v>
      </c>
      <c r="CN153" s="24">
        <f t="shared" si="120"/>
        <v>10.279553261456426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499.92116338695428</v>
      </c>
      <c r="CZ153" s="62">
        <f t="shared" si="150"/>
        <v>316.79403154855652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0.11245638210739345</v>
      </c>
      <c r="DH153" s="23">
        <f>EXP(-LN(2)/2)*DH152+(1-EXP(-LN(2)/2))/(LN(2)/2)*DB153*DE153*VLOOKUP('Données projet'!$B$13,Paramètres!$A$1:$I$89,3,0)*0.475*44/12</f>
        <v>2.5655957496229805E-18</v>
      </c>
      <c r="DI153" s="24">
        <f t="shared" si="123"/>
        <v>0.11245638210739345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135.66666666666666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211.70619219850786</v>
      </c>
      <c r="T154" s="62">
        <f t="shared" si="142"/>
        <v>426.883837098247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1.9895196601282805E-13</v>
      </c>
      <c r="AJ154" s="14">
        <f>AI154*VLOOKUP('Données projet'!$B$10,Paramètres!$A$1:$I$89,3,0)*VLOOKUP('Données projet'!$B$10,Paramètres!$A$1:$I$89,5,0)</f>
        <v>1.8001173884840681E-13</v>
      </c>
      <c r="AK154" s="14">
        <f t="shared" ref="AK154:AK203" si="164">EXP(-1.0587+0.8836*LN(AJ154)+0.284)</f>
        <v>2.5254331426407198E-12</v>
      </c>
      <c r="AL154" s="22">
        <f t="shared" ref="AL154:AL203" si="165">(AJ154+AK154)*0.475*44/12</f>
        <v>4.7119831685935622E-12</v>
      </c>
      <c r="AM154" s="62">
        <f t="shared" si="113"/>
        <v>283.41515623803468</v>
      </c>
      <c r="AN154" s="62">
        <f ca="1">AVERAGE(OFFSET($AM$3,0,0,'Données projet'!$E$10+1,1))-AVERAGE(OFFSET($H$3,0,0,'Données projet'!$E$10+1,1))</f>
        <v>327.07074355218322</v>
      </c>
      <c r="AO154" s="62">
        <f t="shared" si="144"/>
        <v>462.01668587029087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0.7591313804592652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0.7591313804592652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-9.9316821433603781E-14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378.51861272969165</v>
      </c>
      <c r="BJ154" s="62">
        <f t="shared" si="146"/>
        <v>387.42368617035459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0.49977075015287459</v>
      </c>
      <c r="BR154" s="23">
        <f>EXP(-LN(2)/2)*BR153+(1-EXP(-LN(2)/2))/(LN(2)/2)*BL154*BO154*VLOOKUP('Données projet'!$B$11,Paramètres!$A$1:$I$89,3,0)*0.475*44/12</f>
        <v>1.1005707551252413E-17</v>
      </c>
      <c r="BS154" s="24">
        <f t="shared" ref="BS154:BS203" si="169">SUM(BP154:BR154)</f>
        <v>0.49977075015287459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5.6843418860808015E-14</v>
      </c>
      <c r="BZ154" s="14">
        <f>BY154*VLOOKUP('Données projet'!$B$12,Paramètres!$A$1:$I$89,3,0)*VLOOKUP('Données projet'!$B$12,Paramètres!$A$1:$I$89,5,0)</f>
        <v>3.3992364478763198E-14</v>
      </c>
      <c r="CA154" s="14">
        <f t="shared" ref="CA154:CA203" si="170">EXP(-1.0587+0.8836*LN(BZ154)+0.284)</f>
        <v>5.790027782444094E-13</v>
      </c>
      <c r="CB154" s="22">
        <f t="shared" ref="CB154:CB203" si="171">(BZ154+CA154)*0.475*44/12</f>
        <v>1.0676332069095257E-12</v>
      </c>
      <c r="CC154" s="62">
        <f t="shared" si="119"/>
        <v>283.41515623803105</v>
      </c>
      <c r="CD154" s="62">
        <f ca="1">AVERAGE(OFFSET($CC$3,0,0,'Données projet'!$E$12+1,1))-AVERAGE(OFFSET($H$3,0,0,'Données projet'!$E$12+1,1))</f>
        <v>225.71928466161592</v>
      </c>
      <c r="CE154" s="62">
        <f t="shared" si="148"/>
        <v>385.98818770742025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9.9603248683032941</v>
      </c>
      <c r="CL154" s="23">
        <f>EXP(-LN(2)/25)*CL153+(1-EXP(-LN(2)/25))/(LN(2)/25)*Calculateur!CG154*Calculateur!CI154*VLOOKUP('Données projet'!$B$12,Paramètres!$A$1:$I$89,3,0)*0.475*44/12</f>
        <v>0.11672429872807992</v>
      </c>
      <c r="CM154" s="23">
        <f>EXP(-LN(2)/2)*CM153+(1-EXP(-LN(2)/2))/(LN(2)/2)*CG154*CJ154*VLOOKUP('Données projet'!$B$12,Paramètres!$A$1:$I$89,3,0)*0.475*44/12</f>
        <v>6.7558051082237461E-16</v>
      </c>
      <c r="CN154" s="24">
        <f t="shared" ref="CN154:CN203" si="172">SUM(CK154:CM154)</f>
        <v>10.077049167031374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499.92116338695428</v>
      </c>
      <c r="CZ154" s="62">
        <f t="shared" si="150"/>
        <v>316.79403154855652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0.10938125642484266</v>
      </c>
      <c r="DH154" s="23">
        <f>EXP(-LN(2)/2)*DH153+(1-EXP(-LN(2)/2))/(LN(2)/2)*DB154*DE154*VLOOKUP('Données projet'!$B$13,Paramètres!$A$1:$I$89,3,0)*0.475*44/12</f>
        <v>1.8141501523417932E-18</v>
      </c>
      <c r="DI154" s="24">
        <f t="shared" ref="DI154:DI203" si="175">SUM(DF154:DH154)</f>
        <v>0.10938125642484266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135.66666666666666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211.70619219850786</v>
      </c>
      <c r="T155" s="62">
        <f t="shared" si="142"/>
        <v>426.883837098247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1.9895196601282805E-13</v>
      </c>
      <c r="AJ155" s="14">
        <f>AI155*VLOOKUP('Données projet'!$B$10,Paramètres!$A$1:$I$89,3,0)*VLOOKUP('Données projet'!$B$10,Paramètres!$A$1:$I$89,5,0)</f>
        <v>1.8001173884840681E-13</v>
      </c>
      <c r="AK155" s="14">
        <f t="shared" si="164"/>
        <v>2.5254331426407198E-12</v>
      </c>
      <c r="AL155" s="22">
        <f t="shared" si="165"/>
        <v>4.7119831685935622E-12</v>
      </c>
      <c r="AM155" s="62">
        <f t="shared" si="113"/>
        <v>283.5872144369161</v>
      </c>
      <c r="AN155" s="62">
        <f ca="1">AVERAGE(OFFSET($AM$3,0,0,'Données projet'!$E$10+1,1))-AVERAGE(OFFSET($H$3,0,0,'Données projet'!$E$10+1,1))</f>
        <v>327.07074355218322</v>
      </c>
      <c r="AO155" s="62">
        <f t="shared" si="144"/>
        <v>462.01668587029087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0.74424527711288124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0.74424527711288124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-9.9316821433603781E-14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378.51861272969165</v>
      </c>
      <c r="BJ155" s="62">
        <f t="shared" si="146"/>
        <v>387.42368617035459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0.48610449270814271</v>
      </c>
      <c r="BR155" s="23">
        <f>EXP(-LN(2)/2)*BR154+(1-EXP(-LN(2)/2))/(LN(2)/2)*BL155*BO155*VLOOKUP('Données projet'!$B$11,Paramètres!$A$1:$I$89,3,0)*0.475*44/12</f>
        <v>7.7822104412465738E-18</v>
      </c>
      <c r="BS155" s="24">
        <f t="shared" si="169"/>
        <v>0.48610449270814271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5.6843418860808015E-14</v>
      </c>
      <c r="BZ155" s="14">
        <f>BY155*VLOOKUP('Données projet'!$B$12,Paramètres!$A$1:$I$89,3,0)*VLOOKUP('Données projet'!$B$12,Paramètres!$A$1:$I$89,5,0)</f>
        <v>3.3992364478763198E-14</v>
      </c>
      <c r="CA155" s="14">
        <f t="shared" si="170"/>
        <v>5.790027782444094E-13</v>
      </c>
      <c r="CB155" s="22">
        <f t="shared" si="171"/>
        <v>1.0676332069095257E-12</v>
      </c>
      <c r="CC155" s="62">
        <f t="shared" si="119"/>
        <v>283.58721443691246</v>
      </c>
      <c r="CD155" s="62">
        <f ca="1">AVERAGE(OFFSET($CC$3,0,0,'Données projet'!$E$12+1,1))-AVERAGE(OFFSET($H$3,0,0,'Données projet'!$E$12+1,1))</f>
        <v>225.71928466161592</v>
      </c>
      <c r="CE155" s="62">
        <f t="shared" si="148"/>
        <v>385.98818770742025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9.7650089728341598</v>
      </c>
      <c r="CL155" s="23">
        <f>EXP(-LN(2)/25)*CL154+(1-EXP(-LN(2)/25))/(LN(2)/25)*Calculateur!CG155*Calculateur!CI155*VLOOKUP('Données projet'!$B$12,Paramètres!$A$1:$I$89,3,0)*0.475*44/12</f>
        <v>0.11353246664109648</v>
      </c>
      <c r="CM155" s="23">
        <f>EXP(-LN(2)/2)*CM154+(1-EXP(-LN(2)/2))/(LN(2)/2)*CG155*CJ155*VLOOKUP('Données projet'!$B$12,Paramètres!$A$1:$I$89,3,0)*0.475*44/12</f>
        <v>4.7770756043997284E-16</v>
      </c>
      <c r="CN155" s="24">
        <f t="shared" si="172"/>
        <v>9.8785414394752564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499.92116338695428</v>
      </c>
      <c r="CZ155" s="62">
        <f t="shared" si="150"/>
        <v>316.79403154855652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0.10639022021579506</v>
      </c>
      <c r="DH155" s="23">
        <f>EXP(-LN(2)/2)*DH154+(1-EXP(-LN(2)/2))/(LN(2)/2)*DB155*DE155*VLOOKUP('Données projet'!$B$13,Paramètres!$A$1:$I$89,3,0)*0.475*44/12</f>
        <v>1.2827978748114903E-18</v>
      </c>
      <c r="DI155" s="24">
        <f t="shared" si="175"/>
        <v>0.10639022021579506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135.66666666666666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211.70619219850786</v>
      </c>
      <c r="T156" s="62">
        <f t="shared" si="142"/>
        <v>426.883837098247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1.9895196601282805E-13</v>
      </c>
      <c r="AJ156" s="14">
        <f>AI156*VLOOKUP('Données projet'!$B$10,Paramètres!$A$1:$I$89,3,0)*VLOOKUP('Données projet'!$B$10,Paramètres!$A$1:$I$89,5,0)</f>
        <v>1.8001173884840681E-13</v>
      </c>
      <c r="AK156" s="14">
        <f t="shared" si="164"/>
        <v>2.5254331426407198E-12</v>
      </c>
      <c r="AL156" s="22">
        <f t="shared" si="165"/>
        <v>4.7119831685935622E-12</v>
      </c>
      <c r="AM156" s="62">
        <f t="shared" si="113"/>
        <v>283.75628781071134</v>
      </c>
      <c r="AN156" s="62">
        <f ca="1">AVERAGE(OFFSET($AM$3,0,0,'Données projet'!$E$10+1,1))-AVERAGE(OFFSET($H$3,0,0,'Données projet'!$E$10+1,1))</f>
        <v>327.07074355218322</v>
      </c>
      <c r="AO156" s="62">
        <f t="shared" si="144"/>
        <v>462.01668587029087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0.72965108117349331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0.72965108117349331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-9.9316821433603781E-14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378.51861272969165</v>
      </c>
      <c r="BJ156" s="62">
        <f t="shared" si="146"/>
        <v>387.42368617035459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0.47281193979191427</v>
      </c>
      <c r="BR156" s="23">
        <f>EXP(-LN(2)/2)*BR155+(1-EXP(-LN(2)/2))/(LN(2)/2)*BL156*BO156*VLOOKUP('Données projet'!$B$11,Paramètres!$A$1:$I$89,3,0)*0.475*44/12</f>
        <v>5.5028537756262066E-18</v>
      </c>
      <c r="BS156" s="24">
        <f t="shared" si="169"/>
        <v>0.47281193979191427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5.6843418860808015E-14</v>
      </c>
      <c r="BZ156" s="14">
        <f>BY156*VLOOKUP('Données projet'!$B$12,Paramètres!$A$1:$I$89,3,0)*VLOOKUP('Données projet'!$B$12,Paramètres!$A$1:$I$89,5,0)</f>
        <v>3.3992364478763198E-14</v>
      </c>
      <c r="CA156" s="14">
        <f t="shared" si="170"/>
        <v>5.790027782444094E-13</v>
      </c>
      <c r="CB156" s="22">
        <f t="shared" si="171"/>
        <v>1.0676332069095257E-12</v>
      </c>
      <c r="CC156" s="62">
        <f t="shared" si="119"/>
        <v>283.7562878107077</v>
      </c>
      <c r="CD156" s="62">
        <f ca="1">AVERAGE(OFFSET($CC$3,0,0,'Données projet'!$E$12+1,1))-AVERAGE(OFFSET($H$3,0,0,'Données projet'!$E$12+1,1))</f>
        <v>225.71928466161592</v>
      </c>
      <c r="CE156" s="62">
        <f t="shared" si="148"/>
        <v>385.98818770742025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9.5735231029442431</v>
      </c>
      <c r="CL156" s="23">
        <f>EXP(-LN(2)/25)*CL155+(1-EXP(-LN(2)/25))/(LN(2)/25)*Calculateur!CG156*Calculateur!CI156*VLOOKUP('Données projet'!$B$12,Paramètres!$A$1:$I$89,3,0)*0.475*44/12</f>
        <v>0.11042791537038275</v>
      </c>
      <c r="CM156" s="23">
        <f>EXP(-LN(2)/2)*CM155+(1-EXP(-LN(2)/2))/(LN(2)/2)*CG156*CJ156*VLOOKUP('Données projet'!$B$12,Paramètres!$A$1:$I$89,3,0)*0.475*44/12</f>
        <v>3.377902554111873E-16</v>
      </c>
      <c r="CN156" s="24">
        <f t="shared" si="172"/>
        <v>9.6839510183146267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499.92116338695428</v>
      </c>
      <c r="CZ156" s="62">
        <f t="shared" si="150"/>
        <v>316.79403154855652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0.10348097404917561</v>
      </c>
      <c r="DH156" s="23">
        <f>EXP(-LN(2)/2)*DH155+(1-EXP(-LN(2)/2))/(LN(2)/2)*DB156*DE156*VLOOKUP('Données projet'!$B$13,Paramètres!$A$1:$I$89,3,0)*0.475*44/12</f>
        <v>9.0707507617089662E-19</v>
      </c>
      <c r="DI156" s="24">
        <f t="shared" si="175"/>
        <v>0.10348097404917561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135.66666666666666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211.70619219850786</v>
      </c>
      <c r="T157" s="62">
        <f t="shared" si="142"/>
        <v>426.883837098247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1.9895196601282805E-13</v>
      </c>
      <c r="AJ157" s="14">
        <f>AI157*VLOOKUP('Données projet'!$B$10,Paramètres!$A$1:$I$89,3,0)*VLOOKUP('Données projet'!$B$10,Paramètres!$A$1:$I$89,5,0)</f>
        <v>1.8001173884840681E-13</v>
      </c>
      <c r="AK157" s="14">
        <f t="shared" si="164"/>
        <v>2.5254331426407198E-12</v>
      </c>
      <c r="AL157" s="22">
        <f t="shared" si="165"/>
        <v>4.7119831685935622E-12</v>
      </c>
      <c r="AM157" s="62">
        <f t="shared" si="113"/>
        <v>283.9224281394628</v>
      </c>
      <c r="AN157" s="62">
        <f ca="1">AVERAGE(OFFSET($AM$3,0,0,'Données projet'!$E$10+1,1))-AVERAGE(OFFSET($H$3,0,0,'Données projet'!$E$10+1,1))</f>
        <v>327.07074355218322</v>
      </c>
      <c r="AO157" s="62">
        <f t="shared" si="144"/>
        <v>462.01668587029087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0.71534306851489626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0.71534306851489626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-9.9316821433603781E-14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378.51861272969165</v>
      </c>
      <c r="BJ157" s="62">
        <f t="shared" si="146"/>
        <v>387.42368617035459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0.45988287243420511</v>
      </c>
      <c r="BR157" s="23">
        <f>EXP(-LN(2)/2)*BR156+(1-EXP(-LN(2)/2))/(LN(2)/2)*BL157*BO157*VLOOKUP('Données projet'!$B$11,Paramètres!$A$1:$I$89,3,0)*0.475*44/12</f>
        <v>3.8911052206232869E-18</v>
      </c>
      <c r="BS157" s="24">
        <f t="shared" si="169"/>
        <v>0.45988287243420511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5.6843418860808015E-14</v>
      </c>
      <c r="BZ157" s="14">
        <f>BY157*VLOOKUP('Données projet'!$B$12,Paramètres!$A$1:$I$89,3,0)*VLOOKUP('Données projet'!$B$12,Paramètres!$A$1:$I$89,5,0)</f>
        <v>3.3992364478763198E-14</v>
      </c>
      <c r="CA157" s="14">
        <f t="shared" si="170"/>
        <v>5.790027782444094E-13</v>
      </c>
      <c r="CB157" s="22">
        <f t="shared" si="171"/>
        <v>1.0676332069095257E-12</v>
      </c>
      <c r="CC157" s="62">
        <f t="shared" si="119"/>
        <v>283.92242813945916</v>
      </c>
      <c r="CD157" s="62">
        <f ca="1">AVERAGE(OFFSET($CC$3,0,0,'Données projet'!$E$12+1,1))-AVERAGE(OFFSET($H$3,0,0,'Données projet'!$E$12+1,1))</f>
        <v>225.71928466161592</v>
      </c>
      <c r="CE157" s="62">
        <f t="shared" si="148"/>
        <v>385.98818770742025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9.3857921541680192</v>
      </c>
      <c r="CL157" s="23">
        <f>EXP(-LN(2)/25)*CL156+(1-EXP(-LN(2)/25))/(LN(2)/25)*Calculateur!CG157*Calculateur!CI157*VLOOKUP('Données projet'!$B$12,Paramètres!$A$1:$I$89,3,0)*0.475*44/12</f>
        <v>0.10740825821742796</v>
      </c>
      <c r="CM157" s="23">
        <f>EXP(-LN(2)/2)*CM156+(1-EXP(-LN(2)/2))/(LN(2)/2)*CG157*CJ157*VLOOKUP('Données projet'!$B$12,Paramètres!$A$1:$I$89,3,0)*0.475*44/12</f>
        <v>2.3885378021998642E-16</v>
      </c>
      <c r="CN157" s="24">
        <f t="shared" si="172"/>
        <v>9.4932004123854465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499.92116338695428</v>
      </c>
      <c r="CZ157" s="62">
        <f t="shared" si="150"/>
        <v>316.79403154855652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0.10065128137197299</v>
      </c>
      <c r="DH157" s="23">
        <f>EXP(-LN(2)/2)*DH156+(1-EXP(-LN(2)/2))/(LN(2)/2)*DB157*DE157*VLOOKUP('Données projet'!$B$13,Paramètres!$A$1:$I$89,3,0)*0.475*44/12</f>
        <v>6.4139893740574513E-19</v>
      </c>
      <c r="DI157" s="24">
        <f t="shared" si="175"/>
        <v>0.10065128137197299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135.66666666666666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211.70619219850786</v>
      </c>
      <c r="T158" s="62">
        <f t="shared" si="142"/>
        <v>426.883837098247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1.9895196601282805E-13</v>
      </c>
      <c r="AJ158" s="14">
        <f>AI158*VLOOKUP('Données projet'!$B$10,Paramètres!$A$1:$I$89,3,0)*VLOOKUP('Données projet'!$B$10,Paramètres!$A$1:$I$89,5,0)</f>
        <v>1.8001173884840681E-13</v>
      </c>
      <c r="AK158" s="14">
        <f t="shared" si="164"/>
        <v>2.5254331426407198E-12</v>
      </c>
      <c r="AL158" s="22">
        <f t="shared" si="165"/>
        <v>4.7119831685935622E-12</v>
      </c>
      <c r="AM158" s="62">
        <f t="shared" si="113"/>
        <v>284.08568630494449</v>
      </c>
      <c r="AN158" s="62">
        <f ca="1">AVERAGE(OFFSET($AM$3,0,0,'Données projet'!$E$10+1,1))-AVERAGE(OFFSET($H$3,0,0,'Données projet'!$E$10+1,1))</f>
        <v>327.07074355218322</v>
      </c>
      <c r="AO158" s="62">
        <f t="shared" si="144"/>
        <v>462.01668587029087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0.70131562725750829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0.70131562725750829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-9.9316821433603781E-14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378.51861272969165</v>
      </c>
      <c r="BJ158" s="62">
        <f t="shared" si="146"/>
        <v>387.42368617035459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0.44730735110330261</v>
      </c>
      <c r="BR158" s="23">
        <f>EXP(-LN(2)/2)*BR157+(1-EXP(-LN(2)/2))/(LN(2)/2)*BL158*BO158*VLOOKUP('Données projet'!$B$11,Paramètres!$A$1:$I$89,3,0)*0.475*44/12</f>
        <v>2.7514268878131033E-18</v>
      </c>
      <c r="BS158" s="24">
        <f t="shared" si="169"/>
        <v>0.44730735110330261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5.6843418860808015E-14</v>
      </c>
      <c r="BZ158" s="14">
        <f>BY158*VLOOKUP('Données projet'!$B$12,Paramètres!$A$1:$I$89,3,0)*VLOOKUP('Données projet'!$B$12,Paramètres!$A$1:$I$89,5,0)</f>
        <v>3.3992364478763198E-14</v>
      </c>
      <c r="CA158" s="14">
        <f t="shared" si="170"/>
        <v>5.790027782444094E-13</v>
      </c>
      <c r="CB158" s="22">
        <f t="shared" si="171"/>
        <v>1.0676332069095257E-12</v>
      </c>
      <c r="CC158" s="62">
        <f t="shared" si="119"/>
        <v>284.08568630494085</v>
      </c>
      <c r="CD158" s="62">
        <f ca="1">AVERAGE(OFFSET($CC$3,0,0,'Données projet'!$E$12+1,1))-AVERAGE(OFFSET($H$3,0,0,'Données projet'!$E$12+1,1))</f>
        <v>225.71928466161592</v>
      </c>
      <c r="CE158" s="62">
        <f t="shared" si="148"/>
        <v>385.98818770742025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9.2017424947927253</v>
      </c>
      <c r="CL158" s="23">
        <f>EXP(-LN(2)/25)*CL157+(1-EXP(-LN(2)/25))/(LN(2)/25)*Calculateur!CG158*Calculateur!CI158*VLOOKUP('Données projet'!$B$12,Paramètres!$A$1:$I$89,3,0)*0.475*44/12</f>
        <v>0.10447117374811757</v>
      </c>
      <c r="CM158" s="23">
        <f>EXP(-LN(2)/2)*CM157+(1-EXP(-LN(2)/2))/(LN(2)/2)*CG158*CJ158*VLOOKUP('Données projet'!$B$12,Paramètres!$A$1:$I$89,3,0)*0.475*44/12</f>
        <v>1.6889512770559365E-16</v>
      </c>
      <c r="CN158" s="24">
        <f t="shared" si="172"/>
        <v>9.3062136685408436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499.92116338695428</v>
      </c>
      <c r="CZ158" s="62">
        <f t="shared" si="150"/>
        <v>316.79403154855652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9.7898966789835548E-2</v>
      </c>
      <c r="DH158" s="23">
        <f>EXP(-LN(2)/2)*DH157+(1-EXP(-LN(2)/2))/(LN(2)/2)*DB158*DE158*VLOOKUP('Données projet'!$B$13,Paramètres!$A$1:$I$89,3,0)*0.475*44/12</f>
        <v>4.5353753808544831E-19</v>
      </c>
      <c r="DI158" s="24">
        <f t="shared" si="175"/>
        <v>9.7898966789835548E-2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135.66666666666666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211.70619219850786</v>
      </c>
      <c r="T159" s="62">
        <f t="shared" si="142"/>
        <v>426.883837098247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1.9895196601282805E-13</v>
      </c>
      <c r="AJ159" s="14">
        <f>AI159*VLOOKUP('Données projet'!$B$10,Paramètres!$A$1:$I$89,3,0)*VLOOKUP('Données projet'!$B$10,Paramètres!$A$1:$I$89,5,0)</f>
        <v>1.8001173884840681E-13</v>
      </c>
      <c r="AK159" s="14">
        <f t="shared" si="164"/>
        <v>2.5254331426407198E-12</v>
      </c>
      <c r="AL159" s="22">
        <f t="shared" si="165"/>
        <v>4.7119831685935622E-12</v>
      </c>
      <c r="AM159" s="62">
        <f t="shared" si="113"/>
        <v>284.24611230624566</v>
      </c>
      <c r="AN159" s="62">
        <f ca="1">AVERAGE(OFFSET($AM$3,0,0,'Données projet'!$E$10+1,1))-AVERAGE(OFFSET($H$3,0,0,'Données projet'!$E$10+1,1))</f>
        <v>327.07074355218322</v>
      </c>
      <c r="AO159" s="62">
        <f t="shared" si="144"/>
        <v>462.01668587029087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0.68756325556728337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0.68756325556728337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-9.9316821433603781E-14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378.51861272969165</v>
      </c>
      <c r="BJ159" s="62">
        <f t="shared" si="146"/>
        <v>387.42368617035459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0.43507570806451151</v>
      </c>
      <c r="BR159" s="23">
        <f>EXP(-LN(2)/2)*BR158+(1-EXP(-LN(2)/2))/(LN(2)/2)*BL159*BO159*VLOOKUP('Données projet'!$B$11,Paramètres!$A$1:$I$89,3,0)*0.475*44/12</f>
        <v>1.9455526103116435E-18</v>
      </c>
      <c r="BS159" s="24">
        <f t="shared" si="169"/>
        <v>0.43507570806451151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5.6843418860808015E-14</v>
      </c>
      <c r="BZ159" s="14">
        <f>BY159*VLOOKUP('Données projet'!$B$12,Paramètres!$A$1:$I$89,3,0)*VLOOKUP('Données projet'!$B$12,Paramètres!$A$1:$I$89,5,0)</f>
        <v>3.3992364478763198E-14</v>
      </c>
      <c r="CA159" s="14">
        <f t="shared" si="170"/>
        <v>5.790027782444094E-13</v>
      </c>
      <c r="CB159" s="22">
        <f t="shared" si="171"/>
        <v>1.0676332069095257E-12</v>
      </c>
      <c r="CC159" s="62">
        <f t="shared" si="119"/>
        <v>284.24611230624203</v>
      </c>
      <c r="CD159" s="62">
        <f ca="1">AVERAGE(OFFSET($CC$3,0,0,'Données projet'!$E$12+1,1))-AVERAGE(OFFSET($H$3,0,0,'Données projet'!$E$12+1,1))</f>
        <v>225.71928466161592</v>
      </c>
      <c r="CE159" s="62">
        <f t="shared" si="148"/>
        <v>385.98818770742025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9.0213019369785723</v>
      </c>
      <c r="CL159" s="23">
        <f>EXP(-LN(2)/25)*CL158+(1-EXP(-LN(2)/25))/(LN(2)/25)*Calculateur!CG159*Calculateur!CI159*VLOOKUP('Données projet'!$B$12,Paramètres!$A$1:$I$89,3,0)*0.475*44/12</f>
        <v>0.10161440400807503</v>
      </c>
      <c r="CM159" s="23">
        <f>EXP(-LN(2)/2)*CM158+(1-EXP(-LN(2)/2))/(LN(2)/2)*CG159*CJ159*VLOOKUP('Données projet'!$B$12,Paramètres!$A$1:$I$89,3,0)*0.475*44/12</f>
        <v>1.1942689010999321E-16</v>
      </c>
      <c r="CN159" s="24">
        <f t="shared" si="172"/>
        <v>9.1229163409866469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499.92116338695428</v>
      </c>
      <c r="CZ159" s="62">
        <f t="shared" si="150"/>
        <v>316.79403154855652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9.5221914394684581E-2</v>
      </c>
      <c r="DH159" s="23">
        <f>EXP(-LN(2)/2)*DH158+(1-EXP(-LN(2)/2))/(LN(2)/2)*DB159*DE159*VLOOKUP('Données projet'!$B$13,Paramètres!$A$1:$I$89,3,0)*0.475*44/12</f>
        <v>3.2069946870287257E-19</v>
      </c>
      <c r="DI159" s="24">
        <f t="shared" si="175"/>
        <v>9.5221914394684581E-2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135.66666666666666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211.70619219850786</v>
      </c>
      <c r="T160" s="62">
        <f t="shared" si="142"/>
        <v>426.883837098247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1.9895196601282805E-13</v>
      </c>
      <c r="AJ160" s="14">
        <f>AI160*VLOOKUP('Données projet'!$B$10,Paramètres!$A$1:$I$89,3,0)*VLOOKUP('Données projet'!$B$10,Paramètres!$A$1:$I$89,5,0)</f>
        <v>1.8001173884840681E-13</v>
      </c>
      <c r="AK160" s="14">
        <f t="shared" si="164"/>
        <v>2.5254331426407198E-12</v>
      </c>
      <c r="AL160" s="22">
        <f t="shared" si="165"/>
        <v>4.7119831685935622E-12</v>
      </c>
      <c r="AM160" s="62">
        <f t="shared" si="113"/>
        <v>284.40375527508297</v>
      </c>
      <c r="AN160" s="62">
        <f ca="1">AVERAGE(OFFSET($AM$3,0,0,'Données projet'!$E$10+1,1))-AVERAGE(OFFSET($H$3,0,0,'Données projet'!$E$10+1,1))</f>
        <v>327.07074355218322</v>
      </c>
      <c r="AO160" s="62">
        <f t="shared" si="144"/>
        <v>462.01668587029087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0.67408055949778523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0.67408055949778523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-9.9316821433603781E-14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378.51861272969165</v>
      </c>
      <c r="BJ160" s="62">
        <f t="shared" si="146"/>
        <v>387.42368617035459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0.42317853994785032</v>
      </c>
      <c r="BR160" s="23">
        <f>EXP(-LN(2)/2)*BR159+(1-EXP(-LN(2)/2))/(LN(2)/2)*BL160*BO160*VLOOKUP('Données projet'!$B$11,Paramètres!$A$1:$I$89,3,0)*0.475*44/12</f>
        <v>1.3757134439065517E-18</v>
      </c>
      <c r="BS160" s="24">
        <f t="shared" si="169"/>
        <v>0.42317853994785032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5.6843418860808015E-14</v>
      </c>
      <c r="BZ160" s="14">
        <f>BY160*VLOOKUP('Données projet'!$B$12,Paramètres!$A$1:$I$89,3,0)*VLOOKUP('Données projet'!$B$12,Paramètres!$A$1:$I$89,5,0)</f>
        <v>3.3992364478763198E-14</v>
      </c>
      <c r="CA160" s="14">
        <f t="shared" si="170"/>
        <v>5.790027782444094E-13</v>
      </c>
      <c r="CB160" s="22">
        <f t="shared" si="171"/>
        <v>1.0676332069095257E-12</v>
      </c>
      <c r="CC160" s="62">
        <f t="shared" si="119"/>
        <v>284.40375527507933</v>
      </c>
      <c r="CD160" s="62">
        <f ca="1">AVERAGE(OFFSET($CC$3,0,0,'Données projet'!$E$12+1,1))-AVERAGE(OFFSET($H$3,0,0,'Données projet'!$E$12+1,1))</f>
        <v>225.71928466161592</v>
      </c>
      <c r="CE160" s="62">
        <f t="shared" si="148"/>
        <v>385.98818770742025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8.8443997084452821</v>
      </c>
      <c r="CL160" s="23">
        <f>EXP(-LN(2)/25)*CL159+(1-EXP(-LN(2)/25))/(LN(2)/25)*Calculateur!CG160*Calculateur!CI160*VLOOKUP('Données projet'!$B$12,Paramètres!$A$1:$I$89,3,0)*0.475*44/12</f>
        <v>9.8835752786804953E-2</v>
      </c>
      <c r="CM160" s="23">
        <f>EXP(-LN(2)/2)*CM159+(1-EXP(-LN(2)/2))/(LN(2)/2)*CG160*CJ160*VLOOKUP('Données projet'!$B$12,Paramètres!$A$1:$I$89,3,0)*0.475*44/12</f>
        <v>8.4447563852796826E-17</v>
      </c>
      <c r="CN160" s="24">
        <f t="shared" si="172"/>
        <v>8.9432354612320868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499.92116338695428</v>
      </c>
      <c r="CZ160" s="62">
        <f t="shared" si="150"/>
        <v>316.79403154855652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9.2618066138059091E-2</v>
      </c>
      <c r="DH160" s="23">
        <f>EXP(-LN(2)/2)*DH159+(1-EXP(-LN(2)/2))/(LN(2)/2)*DB160*DE160*VLOOKUP('Données projet'!$B$13,Paramètres!$A$1:$I$89,3,0)*0.475*44/12</f>
        <v>2.2676876904272415E-19</v>
      </c>
      <c r="DI160" s="24">
        <f t="shared" si="175"/>
        <v>9.2618066138059091E-2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135.66666666666666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211.70619219850786</v>
      </c>
      <c r="T161" s="62">
        <f t="shared" si="142"/>
        <v>426.883837098247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1.9895196601282805E-13</v>
      </c>
      <c r="AJ161" s="14">
        <f>AI161*VLOOKUP('Données projet'!$B$10,Paramètres!$A$1:$I$89,3,0)*VLOOKUP('Données projet'!$B$10,Paramètres!$A$1:$I$89,5,0)</f>
        <v>1.8001173884840681E-13</v>
      </c>
      <c r="AK161" s="14">
        <f t="shared" si="164"/>
        <v>2.5254331426407198E-12</v>
      </c>
      <c r="AL161" s="22">
        <f t="shared" si="165"/>
        <v>4.7119831685935622E-12</v>
      </c>
      <c r="AM161" s="62">
        <f t="shared" si="113"/>
        <v>284.55866349084795</v>
      </c>
      <c r="AN161" s="62">
        <f ca="1">AVERAGE(OFFSET($AM$3,0,0,'Données projet'!$E$10+1,1))-AVERAGE(OFFSET($H$3,0,0,'Données projet'!$E$10+1,1))</f>
        <v>327.07074355218322</v>
      </c>
      <c r="AO161" s="62">
        <f t="shared" si="144"/>
        <v>462.01668587029087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0.66086225087457739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0.66086225087457739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-9.9316821433603781E-14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378.51861272969165</v>
      </c>
      <c r="BJ161" s="62">
        <f t="shared" si="146"/>
        <v>387.42368617035459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0.41160670051898413</v>
      </c>
      <c r="BR161" s="23">
        <f>EXP(-LN(2)/2)*BR160+(1-EXP(-LN(2)/2))/(LN(2)/2)*BL161*BO161*VLOOKUP('Données projet'!$B$11,Paramètres!$A$1:$I$89,3,0)*0.475*44/12</f>
        <v>9.7277630515582173E-19</v>
      </c>
      <c r="BS161" s="24">
        <f t="shared" si="169"/>
        <v>0.41160670051898413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5.6843418860808015E-14</v>
      </c>
      <c r="BZ161" s="14">
        <f>BY161*VLOOKUP('Données projet'!$B$12,Paramètres!$A$1:$I$89,3,0)*VLOOKUP('Données projet'!$B$12,Paramètres!$A$1:$I$89,5,0)</f>
        <v>3.3992364478763198E-14</v>
      </c>
      <c r="CA161" s="14">
        <f t="shared" si="170"/>
        <v>5.790027782444094E-13</v>
      </c>
      <c r="CB161" s="22">
        <f t="shared" si="171"/>
        <v>1.0676332069095257E-12</v>
      </c>
      <c r="CC161" s="62">
        <f t="shared" si="119"/>
        <v>284.55866349084431</v>
      </c>
      <c r="CD161" s="62">
        <f ca="1">AVERAGE(OFFSET($CC$3,0,0,'Données projet'!$E$12+1,1))-AVERAGE(OFFSET($H$3,0,0,'Données projet'!$E$12+1,1))</f>
        <v>225.71928466161592</v>
      </c>
      <c r="CE161" s="62">
        <f t="shared" si="148"/>
        <v>385.98818770742025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8.6709664247138249</v>
      </c>
      <c r="CL161" s="23">
        <f>EXP(-LN(2)/25)*CL160+(1-EXP(-LN(2)/25))/(LN(2)/25)*Calculateur!CG161*Calculateur!CI161*VLOOKUP('Données projet'!$B$12,Paramètres!$A$1:$I$89,3,0)*0.475*44/12</f>
        <v>9.613308392930342E-2</v>
      </c>
      <c r="CM161" s="23">
        <f>EXP(-LN(2)/2)*CM160+(1-EXP(-LN(2)/2))/(LN(2)/2)*CG161*CJ161*VLOOKUP('Données projet'!$B$12,Paramètres!$A$1:$I$89,3,0)*0.475*44/12</f>
        <v>5.9713445054996605E-17</v>
      </c>
      <c r="CN161" s="24">
        <f t="shared" si="172"/>
        <v>8.7670995086431276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499.92116338695428</v>
      </c>
      <c r="CZ161" s="62">
        <f t="shared" si="150"/>
        <v>316.79403154855652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9.008542024894145E-2</v>
      </c>
      <c r="DH161" s="23">
        <f>EXP(-LN(2)/2)*DH160+(1-EXP(-LN(2)/2))/(LN(2)/2)*DB161*DE161*VLOOKUP('Données projet'!$B$13,Paramètres!$A$1:$I$89,3,0)*0.475*44/12</f>
        <v>1.6034973435143628E-19</v>
      </c>
      <c r="DI161" s="24">
        <f t="shared" si="175"/>
        <v>9.008542024894145E-2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135.66666666666666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211.70619219850786</v>
      </c>
      <c r="T162" s="62">
        <f t="shared" si="142"/>
        <v>426.883837098247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1.9895196601282805E-13</v>
      </c>
      <c r="AJ162" s="14">
        <f>AI162*VLOOKUP('Données projet'!$B$10,Paramètres!$A$1:$I$89,3,0)*VLOOKUP('Données projet'!$B$10,Paramètres!$A$1:$I$89,5,0)</f>
        <v>1.8001173884840681E-13</v>
      </c>
      <c r="AK162" s="14">
        <f t="shared" si="164"/>
        <v>2.5254331426407198E-12</v>
      </c>
      <c r="AL162" s="22">
        <f t="shared" si="165"/>
        <v>4.7119831685935622E-12</v>
      </c>
      <c r="AM162" s="62">
        <f t="shared" si="113"/>
        <v>284.71088439539233</v>
      </c>
      <c r="AN162" s="62">
        <f ca="1">AVERAGE(OFFSET($AM$3,0,0,'Données projet'!$E$10+1,1))-AVERAGE(OFFSET($H$3,0,0,'Données projet'!$E$10+1,1))</f>
        <v>327.07074355218322</v>
      </c>
      <c r="AO162" s="62">
        <f t="shared" si="144"/>
        <v>462.01668587029087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0.64790314522109849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0.64790314522109849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-9.9316821433603781E-14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378.51861272969165</v>
      </c>
      <c r="BJ162" s="62">
        <f t="shared" si="146"/>
        <v>387.42368617035459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0.40035129364783684</v>
      </c>
      <c r="BR162" s="23">
        <f>EXP(-LN(2)/2)*BR161+(1-EXP(-LN(2)/2))/(LN(2)/2)*BL162*BO162*VLOOKUP('Données projet'!$B$11,Paramètres!$A$1:$I$89,3,0)*0.475*44/12</f>
        <v>6.8785672195327583E-19</v>
      </c>
      <c r="BS162" s="24">
        <f t="shared" si="169"/>
        <v>0.40035129364783684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5.6843418860808015E-14</v>
      </c>
      <c r="BZ162" s="14">
        <f>BY162*VLOOKUP('Données projet'!$B$12,Paramètres!$A$1:$I$89,3,0)*VLOOKUP('Données projet'!$B$12,Paramètres!$A$1:$I$89,5,0)</f>
        <v>3.3992364478763198E-14</v>
      </c>
      <c r="CA162" s="14">
        <f t="shared" si="170"/>
        <v>5.790027782444094E-13</v>
      </c>
      <c r="CB162" s="22">
        <f t="shared" si="171"/>
        <v>1.0676332069095257E-12</v>
      </c>
      <c r="CC162" s="62">
        <f t="shared" si="119"/>
        <v>284.71088439538869</v>
      </c>
      <c r="CD162" s="62">
        <f ca="1">AVERAGE(OFFSET($CC$3,0,0,'Données projet'!$E$12+1,1))-AVERAGE(OFFSET($H$3,0,0,'Données projet'!$E$12+1,1))</f>
        <v>225.71928466161592</v>
      </c>
      <c r="CE162" s="62">
        <f t="shared" si="148"/>
        <v>385.98818770742025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8.5009340618924831</v>
      </c>
      <c r="CL162" s="23">
        <f>EXP(-LN(2)/25)*CL161+(1-EXP(-LN(2)/25))/(LN(2)/25)*Calculateur!CG162*Calculateur!CI162*VLOOKUP('Données projet'!$B$12,Paramètres!$A$1:$I$89,3,0)*0.475*44/12</f>
        <v>9.3504319693837448E-2</v>
      </c>
      <c r="CM162" s="23">
        <f>EXP(-LN(2)/2)*CM161+(1-EXP(-LN(2)/2))/(LN(2)/2)*CG162*CJ162*VLOOKUP('Données projet'!$B$12,Paramètres!$A$1:$I$89,3,0)*0.475*44/12</f>
        <v>4.2223781926398413E-17</v>
      </c>
      <c r="CN162" s="24">
        <f t="shared" si="172"/>
        <v>8.5944383815863201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499.92116338695428</v>
      </c>
      <c r="CZ162" s="62">
        <f t="shared" si="150"/>
        <v>316.79403154855652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8.7622029694847794E-2</v>
      </c>
      <c r="DH162" s="23">
        <f>EXP(-LN(2)/2)*DH161+(1-EXP(-LN(2)/2))/(LN(2)/2)*DB162*DE162*VLOOKUP('Données projet'!$B$13,Paramètres!$A$1:$I$89,3,0)*0.475*44/12</f>
        <v>1.1338438452136208E-19</v>
      </c>
      <c r="DI162" s="24">
        <f t="shared" si="175"/>
        <v>8.7622029694847794E-2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135.66666666666666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211.70619219850786</v>
      </c>
      <c r="T163" s="62">
        <f t="shared" si="142"/>
        <v>426.883837098247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1.9895196601282805E-13</v>
      </c>
      <c r="AJ163" s="14">
        <f>AI163*VLOOKUP('Données projet'!$B$10,Paramètres!$A$1:$I$89,3,0)*VLOOKUP('Données projet'!$B$10,Paramètres!$A$1:$I$89,5,0)</f>
        <v>1.8001173884840681E-13</v>
      </c>
      <c r="AK163" s="14">
        <f t="shared" si="164"/>
        <v>2.5254331426407198E-12</v>
      </c>
      <c r="AL163" s="22">
        <f t="shared" si="165"/>
        <v>4.7119831685935622E-12</v>
      </c>
      <c r="AM163" s="62">
        <f t="shared" si="113"/>
        <v>284.86046460755767</v>
      </c>
      <c r="AN163" s="62">
        <f ca="1">AVERAGE(OFFSET($AM$3,0,0,'Données projet'!$E$10+1,1))-AVERAGE(OFFSET($H$3,0,0,'Données projet'!$E$10+1,1))</f>
        <v>327.07074355218322</v>
      </c>
      <c r="AO163" s="62">
        <f t="shared" si="144"/>
        <v>462.01668587029087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0.63519815972521032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0.63519815972521032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-9.9316821433603781E-14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378.51861272969165</v>
      </c>
      <c r="BJ163" s="62">
        <f t="shared" si="146"/>
        <v>387.42368617035459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0.38940366646947722</v>
      </c>
      <c r="BR163" s="23">
        <f>EXP(-LN(2)/2)*BR162+(1-EXP(-LN(2)/2))/(LN(2)/2)*BL163*BO163*VLOOKUP('Données projet'!$B$11,Paramètres!$A$1:$I$89,3,0)*0.475*44/12</f>
        <v>4.8638815257791086E-19</v>
      </c>
      <c r="BS163" s="24">
        <f t="shared" si="169"/>
        <v>0.38940366646947722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5.6843418860808015E-14</v>
      </c>
      <c r="BZ163" s="14">
        <f>BY163*VLOOKUP('Données projet'!$B$12,Paramètres!$A$1:$I$89,3,0)*VLOOKUP('Données projet'!$B$12,Paramètres!$A$1:$I$89,5,0)</f>
        <v>3.3992364478763198E-14</v>
      </c>
      <c r="CA163" s="14">
        <f t="shared" si="170"/>
        <v>5.790027782444094E-13</v>
      </c>
      <c r="CB163" s="22">
        <f t="shared" si="171"/>
        <v>1.0676332069095257E-12</v>
      </c>
      <c r="CC163" s="62">
        <f t="shared" si="119"/>
        <v>284.86046460755404</v>
      </c>
      <c r="CD163" s="62">
        <f ca="1">AVERAGE(OFFSET($CC$3,0,0,'Données projet'!$E$12+1,1))-AVERAGE(OFFSET($H$3,0,0,'Données projet'!$E$12+1,1))</f>
        <v>225.71928466161592</v>
      </c>
      <c r="CE163" s="62">
        <f t="shared" si="148"/>
        <v>385.98818770742025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8.3342359299965665</v>
      </c>
      <c r="CL163" s="23">
        <f>EXP(-LN(2)/25)*CL162+(1-EXP(-LN(2)/25))/(LN(2)/25)*Calculateur!CG163*Calculateur!CI163*VLOOKUP('Données projet'!$B$12,Paramètres!$A$1:$I$89,3,0)*0.475*44/12</f>
        <v>9.0947439154630993E-2</v>
      </c>
      <c r="CM163" s="23">
        <f>EXP(-LN(2)/2)*CM162+(1-EXP(-LN(2)/2))/(LN(2)/2)*CG163*CJ163*VLOOKUP('Données projet'!$B$12,Paramètres!$A$1:$I$89,3,0)*0.475*44/12</f>
        <v>2.9856722527498303E-17</v>
      </c>
      <c r="CN163" s="24">
        <f t="shared" si="172"/>
        <v>8.4251833691511973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499.92116338695428</v>
      </c>
      <c r="CZ163" s="62">
        <f t="shared" si="150"/>
        <v>316.79403154855652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8.52260006849999E-2</v>
      </c>
      <c r="DH163" s="23">
        <f>EXP(-LN(2)/2)*DH162+(1-EXP(-LN(2)/2))/(LN(2)/2)*DB163*DE163*VLOOKUP('Données projet'!$B$13,Paramètres!$A$1:$I$89,3,0)*0.475*44/12</f>
        <v>8.0174867175718142E-20</v>
      </c>
      <c r="DI163" s="24">
        <f t="shared" si="175"/>
        <v>8.52260006849999E-2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135.66666666666666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211.70619219850786</v>
      </c>
      <c r="T164" s="62">
        <f t="shared" si="142"/>
        <v>426.883837098247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1.9895196601282805E-13</v>
      </c>
      <c r="AJ164" s="14">
        <f>AI164*VLOOKUP('Données projet'!$B$10,Paramètres!$A$1:$I$89,3,0)*VLOOKUP('Données projet'!$B$10,Paramètres!$A$1:$I$89,5,0)</f>
        <v>1.8001173884840681E-13</v>
      </c>
      <c r="AK164" s="14">
        <f t="shared" si="164"/>
        <v>2.5254331426407198E-12</v>
      </c>
      <c r="AL164" s="22">
        <f t="shared" si="165"/>
        <v>4.7119831685935622E-12</v>
      </c>
      <c r="AM164" s="62">
        <f t="shared" si="113"/>
        <v>285.00744993745332</v>
      </c>
      <c r="AN164" s="62">
        <f ca="1">AVERAGE(OFFSET($AM$3,0,0,'Données projet'!$E$10+1,1))-AVERAGE(OFFSET($H$3,0,0,'Données projet'!$E$10+1,1))</f>
        <v>327.07074355218322</v>
      </c>
      <c r="AO164" s="62">
        <f t="shared" si="144"/>
        <v>462.01668587029087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0.62274231124562063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0.62274231124562063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-9.9316821433603781E-14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378.51861272969165</v>
      </c>
      <c r="BJ164" s="62">
        <f t="shared" si="146"/>
        <v>387.42368617035459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0.37875540273202052</v>
      </c>
      <c r="BR164" s="23">
        <f>EXP(-LN(2)/2)*BR163+(1-EXP(-LN(2)/2))/(LN(2)/2)*BL164*BO164*VLOOKUP('Données projet'!$B$11,Paramètres!$A$1:$I$89,3,0)*0.475*44/12</f>
        <v>3.4392836097663792E-19</v>
      </c>
      <c r="BS164" s="24">
        <f t="shared" si="169"/>
        <v>0.37875540273202052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5.6843418860808015E-14</v>
      </c>
      <c r="BZ164" s="14">
        <f>BY164*VLOOKUP('Données projet'!$B$12,Paramètres!$A$1:$I$89,3,0)*VLOOKUP('Données projet'!$B$12,Paramètres!$A$1:$I$89,5,0)</f>
        <v>3.3992364478763198E-14</v>
      </c>
      <c r="CA164" s="14">
        <f t="shared" si="170"/>
        <v>5.790027782444094E-13</v>
      </c>
      <c r="CB164" s="22">
        <f t="shared" si="171"/>
        <v>1.0676332069095257E-12</v>
      </c>
      <c r="CC164" s="62">
        <f t="shared" si="119"/>
        <v>285.00744993744968</v>
      </c>
      <c r="CD164" s="62">
        <f ca="1">AVERAGE(OFFSET($CC$3,0,0,'Données projet'!$E$12+1,1))-AVERAGE(OFFSET($H$3,0,0,'Données projet'!$E$12+1,1))</f>
        <v>225.71928466161592</v>
      </c>
      <c r="CE164" s="62">
        <f t="shared" si="148"/>
        <v>385.98818770742025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8.1708066467913092</v>
      </c>
      <c r="CL164" s="23">
        <f>EXP(-LN(2)/25)*CL163+(1-EXP(-LN(2)/25))/(LN(2)/25)*Calculateur!CG164*Calculateur!CI164*VLOOKUP('Données projet'!$B$12,Paramètres!$A$1:$I$89,3,0)*0.475*44/12</f>
        <v>8.8460476648229647E-2</v>
      </c>
      <c r="CM164" s="23">
        <f>EXP(-LN(2)/2)*CM163+(1-EXP(-LN(2)/2))/(LN(2)/2)*CG164*CJ164*VLOOKUP('Données projet'!$B$12,Paramètres!$A$1:$I$89,3,0)*0.475*44/12</f>
        <v>2.1111890963199206E-17</v>
      </c>
      <c r="CN164" s="24">
        <f t="shared" si="172"/>
        <v>8.2592671234395389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499.92116338695428</v>
      </c>
      <c r="CZ164" s="62">
        <f t="shared" si="150"/>
        <v>316.79403154855652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8.2895491214427991E-2</v>
      </c>
      <c r="DH164" s="23">
        <f>EXP(-LN(2)/2)*DH163+(1-EXP(-LN(2)/2))/(LN(2)/2)*DB164*DE164*VLOOKUP('Données projet'!$B$13,Paramètres!$A$1:$I$89,3,0)*0.475*44/12</f>
        <v>5.6692192260681039E-20</v>
      </c>
      <c r="DI164" s="24">
        <f t="shared" si="175"/>
        <v>8.2895491214427991E-2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135.66666666666666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211.70619219850786</v>
      </c>
      <c r="T165" s="62">
        <f t="shared" si="142"/>
        <v>426.883837098247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1.9895196601282805E-13</v>
      </c>
      <c r="AJ165" s="14">
        <f>AI165*VLOOKUP('Données projet'!$B$10,Paramètres!$A$1:$I$89,3,0)*VLOOKUP('Données projet'!$B$10,Paramètres!$A$1:$I$89,5,0)</f>
        <v>1.8001173884840681E-13</v>
      </c>
      <c r="AK165" s="14">
        <f t="shared" si="164"/>
        <v>2.5254331426407198E-12</v>
      </c>
      <c r="AL165" s="22">
        <f t="shared" si="165"/>
        <v>4.7119831685935622E-12</v>
      </c>
      <c r="AM165" s="62">
        <f t="shared" si="113"/>
        <v>285.15188540048518</v>
      </c>
      <c r="AN165" s="62">
        <f ca="1">AVERAGE(OFFSET($AM$3,0,0,'Données projet'!$E$10+1,1))-AVERAGE(OFFSET($H$3,0,0,'Données projet'!$E$10+1,1))</f>
        <v>327.07074355218322</v>
      </c>
      <c r="AO165" s="62">
        <f t="shared" si="144"/>
        <v>462.01668587029087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0.61053071435739825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0.61053071435739825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-9.9316821433603781E-14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378.51861272969165</v>
      </c>
      <c r="BJ165" s="62">
        <f t="shared" si="146"/>
        <v>387.42368617035459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0.36839831632643244</v>
      </c>
      <c r="BR165" s="23">
        <f>EXP(-LN(2)/2)*BR164+(1-EXP(-LN(2)/2))/(LN(2)/2)*BL165*BO165*VLOOKUP('Données projet'!$B$11,Paramètres!$A$1:$I$89,3,0)*0.475*44/12</f>
        <v>2.4319407628895543E-19</v>
      </c>
      <c r="BS165" s="24">
        <f t="shared" si="169"/>
        <v>0.36839831632643244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5.6843418860808015E-14</v>
      </c>
      <c r="BZ165" s="14">
        <f>BY165*VLOOKUP('Données projet'!$B$12,Paramètres!$A$1:$I$89,3,0)*VLOOKUP('Données projet'!$B$12,Paramètres!$A$1:$I$89,5,0)</f>
        <v>3.3992364478763198E-14</v>
      </c>
      <c r="CA165" s="14">
        <f t="shared" si="170"/>
        <v>5.790027782444094E-13</v>
      </c>
      <c r="CB165" s="22">
        <f t="shared" si="171"/>
        <v>1.0676332069095257E-12</v>
      </c>
      <c r="CC165" s="62">
        <f t="shared" si="119"/>
        <v>285.15188540048155</v>
      </c>
      <c r="CD165" s="62">
        <f ca="1">AVERAGE(OFFSET($CC$3,0,0,'Données projet'!$E$12+1,1))-AVERAGE(OFFSET($H$3,0,0,'Données projet'!$E$12+1,1))</f>
        <v>225.71928466161592</v>
      </c>
      <c r="CE165" s="62">
        <f t="shared" si="148"/>
        <v>385.98818770742025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8.0105821121476861</v>
      </c>
      <c r="CL165" s="23">
        <f>EXP(-LN(2)/25)*CL164+(1-EXP(-LN(2)/25))/(LN(2)/25)*Calculateur!CG165*Calculateur!CI165*VLOOKUP('Données projet'!$B$12,Paramètres!$A$1:$I$89,3,0)*0.475*44/12</f>
        <v>8.6041520262349513E-2</v>
      </c>
      <c r="CM165" s="23">
        <f>EXP(-LN(2)/2)*CM164+(1-EXP(-LN(2)/2))/(LN(2)/2)*CG165*CJ165*VLOOKUP('Données projet'!$B$12,Paramètres!$A$1:$I$89,3,0)*0.475*44/12</f>
        <v>1.4928361263749151E-17</v>
      </c>
      <c r="CN165" s="24">
        <f t="shared" si="172"/>
        <v>8.0966236324100365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499.92116338695428</v>
      </c>
      <c r="CZ165" s="62">
        <f t="shared" si="150"/>
        <v>316.79403154855652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8.062870964788503E-2</v>
      </c>
      <c r="DH165" s="23">
        <f>EXP(-LN(2)/2)*DH164+(1-EXP(-LN(2)/2))/(LN(2)/2)*DB165*DE165*VLOOKUP('Données projet'!$B$13,Paramètres!$A$1:$I$89,3,0)*0.475*44/12</f>
        <v>4.0087433587859071E-20</v>
      </c>
      <c r="DI165" s="24">
        <f t="shared" si="175"/>
        <v>8.062870964788503E-2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135.66666666666666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211.70619219850786</v>
      </c>
      <c r="T166" s="62">
        <f t="shared" si="142"/>
        <v>426.883837098247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1.9895196601282805E-13</v>
      </c>
      <c r="AJ166" s="14">
        <f>AI166*VLOOKUP('Données projet'!$B$10,Paramètres!$A$1:$I$89,3,0)*VLOOKUP('Données projet'!$B$10,Paramètres!$A$1:$I$89,5,0)</f>
        <v>1.8001173884840681E-13</v>
      </c>
      <c r="AK166" s="14">
        <f t="shared" si="164"/>
        <v>2.5254331426407198E-12</v>
      </c>
      <c r="AL166" s="22">
        <f t="shared" si="165"/>
        <v>4.7119831685935622E-12</v>
      </c>
      <c r="AM166" s="62">
        <f t="shared" si="113"/>
        <v>285.29381523114279</v>
      </c>
      <c r="AN166" s="62">
        <f ca="1">AVERAGE(OFFSET($AM$3,0,0,'Données projet'!$E$10+1,1))-AVERAGE(OFFSET($H$3,0,0,'Données projet'!$E$10+1,1))</f>
        <v>327.07074355218322</v>
      </c>
      <c r="AO166" s="62">
        <f t="shared" si="144"/>
        <v>462.01668587029087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0.59855857943581525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0.59855857943581525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-9.9316821433603781E-14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378.51861272969165</v>
      </c>
      <c r="BJ166" s="62">
        <f t="shared" si="146"/>
        <v>387.42368617035459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0.35832444499326066</v>
      </c>
      <c r="BR166" s="23">
        <f>EXP(-LN(2)/2)*BR165+(1-EXP(-LN(2)/2))/(LN(2)/2)*BL166*BO166*VLOOKUP('Données projet'!$B$11,Paramètres!$A$1:$I$89,3,0)*0.475*44/12</f>
        <v>1.7196418048831896E-19</v>
      </c>
      <c r="BS166" s="24">
        <f t="shared" si="169"/>
        <v>0.35832444499326066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5.6843418860808015E-14</v>
      </c>
      <c r="BZ166" s="14">
        <f>BY166*VLOOKUP('Données projet'!$B$12,Paramètres!$A$1:$I$89,3,0)*VLOOKUP('Données projet'!$B$12,Paramètres!$A$1:$I$89,5,0)</f>
        <v>3.3992364478763198E-14</v>
      </c>
      <c r="CA166" s="14">
        <f t="shared" si="170"/>
        <v>5.790027782444094E-13</v>
      </c>
      <c r="CB166" s="22">
        <f t="shared" si="171"/>
        <v>1.0676332069095257E-12</v>
      </c>
      <c r="CC166" s="62">
        <f t="shared" si="119"/>
        <v>285.29381523113915</v>
      </c>
      <c r="CD166" s="62">
        <f ca="1">AVERAGE(OFFSET($CC$3,0,0,'Données projet'!$E$12+1,1))-AVERAGE(OFFSET($H$3,0,0,'Données projet'!$E$12+1,1))</f>
        <v>225.71928466161592</v>
      </c>
      <c r="CE166" s="62">
        <f t="shared" si="148"/>
        <v>385.98818770742025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7.8534994829011087</v>
      </c>
      <c r="CL166" s="23">
        <f>EXP(-LN(2)/25)*CL165+(1-EXP(-LN(2)/25))/(LN(2)/25)*Calculateur!CG166*Calculateur!CI166*VLOOKUP('Données projet'!$B$12,Paramètres!$A$1:$I$89,3,0)*0.475*44/12</f>
        <v>8.3688710366048663E-2</v>
      </c>
      <c r="CM166" s="23">
        <f>EXP(-LN(2)/2)*CM165+(1-EXP(-LN(2)/2))/(LN(2)/2)*CG166*CJ166*VLOOKUP('Données projet'!$B$12,Paramètres!$A$1:$I$89,3,0)*0.475*44/12</f>
        <v>1.0555945481599603E-17</v>
      </c>
      <c r="CN166" s="24">
        <f t="shared" si="172"/>
        <v>7.9371881932671577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499.92116338695428</v>
      </c>
      <c r="CZ166" s="62">
        <f t="shared" si="150"/>
        <v>316.79403154855652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7.8423913342484053E-2</v>
      </c>
      <c r="DH166" s="23">
        <f>EXP(-LN(2)/2)*DH165+(1-EXP(-LN(2)/2))/(LN(2)/2)*DB166*DE166*VLOOKUP('Données projet'!$B$13,Paramètres!$A$1:$I$89,3,0)*0.475*44/12</f>
        <v>2.8346096130340519E-20</v>
      </c>
      <c r="DI166" s="24">
        <f t="shared" si="175"/>
        <v>7.8423913342484053E-2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135.66666666666666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211.70619219850786</v>
      </c>
      <c r="T167" s="62">
        <f t="shared" si="142"/>
        <v>426.883837098247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1.9895196601282805E-13</v>
      </c>
      <c r="AJ167" s="14">
        <f>AI167*VLOOKUP('Données projet'!$B$10,Paramètres!$A$1:$I$89,3,0)*VLOOKUP('Données projet'!$B$10,Paramètres!$A$1:$I$89,5,0)</f>
        <v>1.8001173884840681E-13</v>
      </c>
      <c r="AK167" s="14">
        <f t="shared" si="164"/>
        <v>2.5254331426407198E-12</v>
      </c>
      <c r="AL167" s="22">
        <f t="shared" si="165"/>
        <v>4.7119831685935622E-12</v>
      </c>
      <c r="AM167" s="62">
        <f t="shared" si="113"/>
        <v>285.43328289654607</v>
      </c>
      <c r="AN167" s="62">
        <f ca="1">AVERAGE(OFFSET($AM$3,0,0,'Données projet'!$E$10+1,1))-AVERAGE(OFFSET($H$3,0,0,'Données projet'!$E$10+1,1))</f>
        <v>327.07074355218322</v>
      </c>
      <c r="AO167" s="62">
        <f t="shared" si="144"/>
        <v>462.01668587029087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0.58682121077776328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0.58682121077776328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-9.9316821433603781E-14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378.51861272969165</v>
      </c>
      <c r="BJ167" s="62">
        <f t="shared" si="146"/>
        <v>387.42368617035459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0.34852604420145633</v>
      </c>
      <c r="BR167" s="23">
        <f>EXP(-LN(2)/2)*BR166+(1-EXP(-LN(2)/2))/(LN(2)/2)*BL167*BO167*VLOOKUP('Données projet'!$B$11,Paramètres!$A$1:$I$89,3,0)*0.475*44/12</f>
        <v>1.2159703814447772E-19</v>
      </c>
      <c r="BS167" s="24">
        <f t="shared" si="169"/>
        <v>0.34852604420145633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5.6843418860808015E-14</v>
      </c>
      <c r="BZ167" s="14">
        <f>BY167*VLOOKUP('Données projet'!$B$12,Paramètres!$A$1:$I$89,3,0)*VLOOKUP('Données projet'!$B$12,Paramètres!$A$1:$I$89,5,0)</f>
        <v>3.3992364478763198E-14</v>
      </c>
      <c r="CA167" s="14">
        <f t="shared" si="170"/>
        <v>5.790027782444094E-13</v>
      </c>
      <c r="CB167" s="22">
        <f t="shared" si="171"/>
        <v>1.0676332069095257E-12</v>
      </c>
      <c r="CC167" s="62">
        <f t="shared" si="119"/>
        <v>285.43328289654244</v>
      </c>
      <c r="CD167" s="62">
        <f ca="1">AVERAGE(OFFSET($CC$3,0,0,'Données projet'!$E$12+1,1))-AVERAGE(OFFSET($H$3,0,0,'Données projet'!$E$12+1,1))</f>
        <v>225.71928466161592</v>
      </c>
      <c r="CE167" s="62">
        <f t="shared" si="148"/>
        <v>385.98818770742025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7.6994971482031129</v>
      </c>
      <c r="CL167" s="23">
        <f>EXP(-LN(2)/25)*CL166+(1-EXP(-LN(2)/25))/(LN(2)/25)*Calculateur!CG167*Calculateur!CI167*VLOOKUP('Données projet'!$B$12,Paramètres!$A$1:$I$89,3,0)*0.475*44/12</f>
        <v>8.1400238180091053E-2</v>
      </c>
      <c r="CM167" s="23">
        <f>EXP(-LN(2)/2)*CM166+(1-EXP(-LN(2)/2))/(LN(2)/2)*CG167*CJ167*VLOOKUP('Données projet'!$B$12,Paramètres!$A$1:$I$89,3,0)*0.475*44/12</f>
        <v>7.4641806318745757E-18</v>
      </c>
      <c r="CN167" s="24">
        <f t="shared" si="172"/>
        <v>7.7808973863832041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499.92116338695428</v>
      </c>
      <c r="CZ167" s="62">
        <f t="shared" si="150"/>
        <v>316.79403154855652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7.6279407307999467E-2</v>
      </c>
      <c r="DH167" s="23">
        <f>EXP(-LN(2)/2)*DH166+(1-EXP(-LN(2)/2))/(LN(2)/2)*DB167*DE167*VLOOKUP('Données projet'!$B$13,Paramètres!$A$1:$I$89,3,0)*0.475*44/12</f>
        <v>2.0043716793929535E-20</v>
      </c>
      <c r="DI167" s="24">
        <f t="shared" si="175"/>
        <v>7.6279407307999467E-2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135.66666666666666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211.70619219850786</v>
      </c>
      <c r="T168" s="62">
        <f t="shared" si="142"/>
        <v>426.883837098247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1.9895196601282805E-13</v>
      </c>
      <c r="AJ168" s="14">
        <f>AI168*VLOOKUP('Données projet'!$B$10,Paramètres!$A$1:$I$89,3,0)*VLOOKUP('Données projet'!$B$10,Paramètres!$A$1:$I$89,5,0)</f>
        <v>1.8001173884840681E-13</v>
      </c>
      <c r="AK168" s="14">
        <f t="shared" si="164"/>
        <v>2.5254331426407198E-12</v>
      </c>
      <c r="AL168" s="22">
        <f t="shared" si="165"/>
        <v>4.7119831685935622E-12</v>
      </c>
      <c r="AM168" s="62">
        <f t="shared" si="113"/>
        <v>285.57033110975755</v>
      </c>
      <c r="AN168" s="62">
        <f ca="1">AVERAGE(OFFSET($AM$3,0,0,'Données projet'!$E$10+1,1))-AVERAGE(OFFSET($H$3,0,0,'Données projet'!$E$10+1,1))</f>
        <v>327.07074355218322</v>
      </c>
      <c r="AO168" s="62">
        <f t="shared" si="144"/>
        <v>462.01668587029087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0.57531400476000771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0.57531400476000771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-9.9316821433603781E-14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378.51861272969165</v>
      </c>
      <c r="BJ168" s="62">
        <f t="shared" si="146"/>
        <v>387.42368617035459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0.3389955811945794</v>
      </c>
      <c r="BR168" s="23">
        <f>EXP(-LN(2)/2)*BR167+(1-EXP(-LN(2)/2))/(LN(2)/2)*BL168*BO168*VLOOKUP('Données projet'!$B$11,Paramètres!$A$1:$I$89,3,0)*0.475*44/12</f>
        <v>8.5982090244159479E-20</v>
      </c>
      <c r="BS168" s="24">
        <f t="shared" si="169"/>
        <v>0.3389955811945794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5.6843418860808015E-14</v>
      </c>
      <c r="BZ168" s="14">
        <f>BY168*VLOOKUP('Données projet'!$B$12,Paramètres!$A$1:$I$89,3,0)*VLOOKUP('Données projet'!$B$12,Paramètres!$A$1:$I$89,5,0)</f>
        <v>3.3992364478763198E-14</v>
      </c>
      <c r="CA168" s="14">
        <f t="shared" si="170"/>
        <v>5.790027782444094E-13</v>
      </c>
      <c r="CB168" s="22">
        <f t="shared" si="171"/>
        <v>1.0676332069095257E-12</v>
      </c>
      <c r="CC168" s="62">
        <f t="shared" si="119"/>
        <v>285.57033110975391</v>
      </c>
      <c r="CD168" s="62">
        <f ca="1">AVERAGE(OFFSET($CC$3,0,0,'Données projet'!$E$12+1,1))-AVERAGE(OFFSET($H$3,0,0,'Données projet'!$E$12+1,1))</f>
        <v>225.71928466161592</v>
      </c>
      <c r="CE168" s="62">
        <f t="shared" si="148"/>
        <v>385.98818770742025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7.5485147053563963</v>
      </c>
      <c r="CL168" s="23">
        <f>EXP(-LN(2)/25)*CL167+(1-EXP(-LN(2)/25))/(LN(2)/25)*Calculateur!CG168*Calculateur!CI168*VLOOKUP('Données projet'!$B$12,Paramètres!$A$1:$I$89,3,0)*0.475*44/12</f>
        <v>7.9174344386403986E-2</v>
      </c>
      <c r="CM168" s="23">
        <f>EXP(-LN(2)/2)*CM167+(1-EXP(-LN(2)/2))/(LN(2)/2)*CG168*CJ168*VLOOKUP('Données projet'!$B$12,Paramètres!$A$1:$I$89,3,0)*0.475*44/12</f>
        <v>5.2779727407998016E-18</v>
      </c>
      <c r="CN168" s="24">
        <f t="shared" si="172"/>
        <v>7.6276890497428003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499.92116338695428</v>
      </c>
      <c r="CZ168" s="62">
        <f t="shared" si="150"/>
        <v>316.79403154855652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7.4193542903802534E-2</v>
      </c>
      <c r="DH168" s="23">
        <f>EXP(-LN(2)/2)*DH167+(1-EXP(-LN(2)/2))/(LN(2)/2)*DB168*DE168*VLOOKUP('Données projet'!$B$13,Paramètres!$A$1:$I$89,3,0)*0.475*44/12</f>
        <v>1.417304806517026E-20</v>
      </c>
      <c r="DI168" s="24">
        <f t="shared" si="175"/>
        <v>7.4193542903802534E-2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135.66666666666666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211.70619219850786</v>
      </c>
      <c r="T169" s="62">
        <f t="shared" si="142"/>
        <v>426.883837098247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1.9895196601282805E-13</v>
      </c>
      <c r="AJ169" s="14">
        <f>AI169*VLOOKUP('Données projet'!$B$10,Paramètres!$A$1:$I$89,3,0)*VLOOKUP('Données projet'!$B$10,Paramètres!$A$1:$I$89,5,0)</f>
        <v>1.8001173884840681E-13</v>
      </c>
      <c r="AK169" s="14">
        <f t="shared" si="164"/>
        <v>2.5254331426407198E-12</v>
      </c>
      <c r="AL169" s="22">
        <f t="shared" si="165"/>
        <v>4.7119831685935622E-12</v>
      </c>
      <c r="AM169" s="62">
        <f t="shared" si="113"/>
        <v>285.70500184286374</v>
      </c>
      <c r="AN169" s="62">
        <f ca="1">AVERAGE(OFFSET($AM$3,0,0,'Données projet'!$E$10+1,1))-AVERAGE(OFFSET($H$3,0,0,'Données projet'!$E$10+1,1))</f>
        <v>327.07074355218322</v>
      </c>
      <c r="AO169" s="62">
        <f t="shared" si="144"/>
        <v>462.01668587029087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0.56403244803355768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0.56403244803355768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-9.9316821433603781E-14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378.51861272969165</v>
      </c>
      <c r="BJ169" s="62">
        <f t="shared" si="146"/>
        <v>387.42368617035459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0.3297257291998108</v>
      </c>
      <c r="BR169" s="23">
        <f>EXP(-LN(2)/2)*BR168+(1-EXP(-LN(2)/2))/(LN(2)/2)*BL169*BO169*VLOOKUP('Données projet'!$B$11,Paramètres!$A$1:$I$89,3,0)*0.475*44/12</f>
        <v>6.0798519072238858E-20</v>
      </c>
      <c r="BS169" s="24">
        <f t="shared" si="169"/>
        <v>0.3297257291998108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5.6843418860808015E-14</v>
      </c>
      <c r="BZ169" s="14">
        <f>BY169*VLOOKUP('Données projet'!$B$12,Paramètres!$A$1:$I$89,3,0)*VLOOKUP('Données projet'!$B$12,Paramètres!$A$1:$I$89,5,0)</f>
        <v>3.3992364478763198E-14</v>
      </c>
      <c r="CA169" s="14">
        <f t="shared" si="170"/>
        <v>5.790027782444094E-13</v>
      </c>
      <c r="CB169" s="22">
        <f t="shared" si="171"/>
        <v>1.0676332069095257E-12</v>
      </c>
      <c r="CC169" s="62">
        <f t="shared" si="119"/>
        <v>285.7050018428601</v>
      </c>
      <c r="CD169" s="62">
        <f ca="1">AVERAGE(OFFSET($CC$3,0,0,'Données projet'!$E$12+1,1))-AVERAGE(OFFSET($H$3,0,0,'Données projet'!$E$12+1,1))</f>
        <v>225.71928466161592</v>
      </c>
      <c r="CE169" s="62">
        <f t="shared" si="148"/>
        <v>385.98818770742025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7.4004929361237064</v>
      </c>
      <c r="CL169" s="23">
        <f>EXP(-LN(2)/25)*CL168+(1-EXP(-LN(2)/25))/(LN(2)/25)*Calculateur!CG169*Calculateur!CI169*VLOOKUP('Données projet'!$B$12,Paramètres!$A$1:$I$89,3,0)*0.475*44/12</f>
        <v>7.7009317775559957E-2</v>
      </c>
      <c r="CM169" s="23">
        <f>EXP(-LN(2)/2)*CM168+(1-EXP(-LN(2)/2))/(LN(2)/2)*CG169*CJ169*VLOOKUP('Données projet'!$B$12,Paramètres!$A$1:$I$89,3,0)*0.475*44/12</f>
        <v>3.7320903159372878E-18</v>
      </c>
      <c r="CN169" s="24">
        <f t="shared" si="172"/>
        <v>7.4775022538992664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499.92116338695428</v>
      </c>
      <c r="CZ169" s="62">
        <f t="shared" si="150"/>
        <v>316.79403154855652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7.2164716571429199E-2</v>
      </c>
      <c r="DH169" s="23">
        <f>EXP(-LN(2)/2)*DH168+(1-EXP(-LN(2)/2))/(LN(2)/2)*DB169*DE169*VLOOKUP('Données projet'!$B$13,Paramètres!$A$1:$I$89,3,0)*0.475*44/12</f>
        <v>1.0021858396964768E-20</v>
      </c>
      <c r="DI169" s="24">
        <f t="shared" si="175"/>
        <v>7.2164716571429199E-2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135.66666666666666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211.70619219850786</v>
      </c>
      <c r="T170" s="62">
        <f t="shared" si="142"/>
        <v>426.883837098247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1.9895196601282805E-13</v>
      </c>
      <c r="AJ170" s="14">
        <f>AI170*VLOOKUP('Données projet'!$B$10,Paramètres!$A$1:$I$89,3,0)*VLOOKUP('Données projet'!$B$10,Paramètres!$A$1:$I$89,5,0)</f>
        <v>1.8001173884840681E-13</v>
      </c>
      <c r="AK170" s="14">
        <f t="shared" si="164"/>
        <v>2.5254331426407198E-12</v>
      </c>
      <c r="AL170" s="22">
        <f t="shared" si="165"/>
        <v>4.7119831685935622E-12</v>
      </c>
      <c r="AM170" s="62">
        <f t="shared" si="113"/>
        <v>285.83733633982922</v>
      </c>
      <c r="AN170" s="62">
        <f ca="1">AVERAGE(OFFSET($AM$3,0,0,'Données projet'!$E$10+1,1))-AVERAGE(OFFSET($H$3,0,0,'Données projet'!$E$10+1,1))</f>
        <v>327.07074355218322</v>
      </c>
      <c r="AO170" s="62">
        <f t="shared" si="144"/>
        <v>462.01668587029087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0.55297211575344318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0.55297211575344318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-9.9316821433603781E-14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378.51861272969165</v>
      </c>
      <c r="BJ170" s="62">
        <f t="shared" si="146"/>
        <v>387.42368617035459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0.3207093617953195</v>
      </c>
      <c r="BR170" s="23">
        <f>EXP(-LN(2)/2)*BR169+(1-EXP(-LN(2)/2))/(LN(2)/2)*BL170*BO170*VLOOKUP('Données projet'!$B$11,Paramètres!$A$1:$I$89,3,0)*0.475*44/12</f>
        <v>4.2991045122079739E-20</v>
      </c>
      <c r="BS170" s="24">
        <f t="shared" si="169"/>
        <v>0.3207093617953195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5.6843418860808015E-14</v>
      </c>
      <c r="BZ170" s="14">
        <f>BY170*VLOOKUP('Données projet'!$B$12,Paramètres!$A$1:$I$89,3,0)*VLOOKUP('Données projet'!$B$12,Paramètres!$A$1:$I$89,5,0)</f>
        <v>3.3992364478763198E-14</v>
      </c>
      <c r="CA170" s="14">
        <f t="shared" si="170"/>
        <v>5.790027782444094E-13</v>
      </c>
      <c r="CB170" s="22">
        <f t="shared" si="171"/>
        <v>1.0676332069095257E-12</v>
      </c>
      <c r="CC170" s="62">
        <f t="shared" si="119"/>
        <v>285.83733633982558</v>
      </c>
      <c r="CD170" s="62">
        <f ca="1">AVERAGE(OFFSET($CC$3,0,0,'Données projet'!$E$12+1,1))-AVERAGE(OFFSET($H$3,0,0,'Données projet'!$E$12+1,1))</f>
        <v>225.71928466161592</v>
      </c>
      <c r="CE170" s="62">
        <f t="shared" si="148"/>
        <v>385.98818770742025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7.2553737835013052</v>
      </c>
      <c r="CL170" s="23">
        <f>EXP(-LN(2)/25)*CL169+(1-EXP(-LN(2)/25))/(LN(2)/25)*Calculateur!CG170*Calculateur!CI170*VLOOKUP('Données projet'!$B$12,Paramètres!$A$1:$I$89,3,0)*0.475*44/12</f>
        <v>7.4903493931243251E-2</v>
      </c>
      <c r="CM170" s="23">
        <f>EXP(-LN(2)/2)*CM169+(1-EXP(-LN(2)/2))/(LN(2)/2)*CG170*CJ170*VLOOKUP('Données projet'!$B$12,Paramètres!$A$1:$I$89,3,0)*0.475*44/12</f>
        <v>2.6389863703999008E-18</v>
      </c>
      <c r="CN170" s="24">
        <f t="shared" si="172"/>
        <v>7.3302772774325486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499.92116338695428</v>
      </c>
      <c r="CZ170" s="62">
        <f t="shared" si="150"/>
        <v>316.79403154855652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7.0191368601805956E-2</v>
      </c>
      <c r="DH170" s="23">
        <f>EXP(-LN(2)/2)*DH169+(1-EXP(-LN(2)/2))/(LN(2)/2)*DB170*DE170*VLOOKUP('Données projet'!$B$13,Paramètres!$A$1:$I$89,3,0)*0.475*44/12</f>
        <v>7.0865240325851298E-21</v>
      </c>
      <c r="DI170" s="24">
        <f t="shared" si="175"/>
        <v>7.0191368601805956E-2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135.66666666666666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211.70619219850786</v>
      </c>
      <c r="T171" s="62">
        <f t="shared" si="142"/>
        <v>426.883837098247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1.9895196601282805E-13</v>
      </c>
      <c r="AJ171" s="14">
        <f>AI171*VLOOKUP('Données projet'!$B$10,Paramètres!$A$1:$I$89,3,0)*VLOOKUP('Données projet'!$B$10,Paramètres!$A$1:$I$89,5,0)</f>
        <v>1.8001173884840681E-13</v>
      </c>
      <c r="AK171" s="14">
        <f t="shared" si="164"/>
        <v>2.5254331426407198E-12</v>
      </c>
      <c r="AL171" s="22">
        <f t="shared" si="165"/>
        <v>4.7119831685935622E-12</v>
      </c>
      <c r="AM171" s="62">
        <f t="shared" si="113"/>
        <v>285.9673751291279</v>
      </c>
      <c r="AN171" s="62">
        <f ca="1">AVERAGE(OFFSET($AM$3,0,0,'Données projet'!$E$10+1,1))-AVERAGE(OFFSET($H$3,0,0,'Données projet'!$E$10+1,1))</f>
        <v>327.07074355218322</v>
      </c>
      <c r="AO171" s="62">
        <f t="shared" si="144"/>
        <v>462.01668587029087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0.54212866984320518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0.54212866984320518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-9.9316821433603781E-14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378.51861272969165</v>
      </c>
      <c r="BJ171" s="62">
        <f t="shared" si="146"/>
        <v>387.42368617035459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0.31193954743165414</v>
      </c>
      <c r="BR171" s="23">
        <f>EXP(-LN(2)/2)*BR170+(1-EXP(-LN(2)/2))/(LN(2)/2)*BL171*BO171*VLOOKUP('Données projet'!$B$11,Paramètres!$A$1:$I$89,3,0)*0.475*44/12</f>
        <v>3.0399259536119429E-20</v>
      </c>
      <c r="BS171" s="24">
        <f t="shared" si="169"/>
        <v>0.31193954743165414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5.6843418860808015E-14</v>
      </c>
      <c r="BZ171" s="14">
        <f>BY171*VLOOKUP('Données projet'!$B$12,Paramètres!$A$1:$I$89,3,0)*VLOOKUP('Données projet'!$B$12,Paramètres!$A$1:$I$89,5,0)</f>
        <v>3.3992364478763198E-14</v>
      </c>
      <c r="CA171" s="14">
        <f t="shared" si="170"/>
        <v>5.790027782444094E-13</v>
      </c>
      <c r="CB171" s="22">
        <f t="shared" si="171"/>
        <v>1.0676332069095257E-12</v>
      </c>
      <c r="CC171" s="62">
        <f t="shared" si="119"/>
        <v>285.96737512912426</v>
      </c>
      <c r="CD171" s="62">
        <f ca="1">AVERAGE(OFFSET($CC$3,0,0,'Données projet'!$E$12+1,1))-AVERAGE(OFFSET($H$3,0,0,'Données projet'!$E$12+1,1))</f>
        <v>225.71928466161592</v>
      </c>
      <c r="CE171" s="62">
        <f t="shared" si="148"/>
        <v>385.98818770742025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7.113100328947886</v>
      </c>
      <c r="CL171" s="23">
        <f>EXP(-LN(2)/25)*CL170+(1-EXP(-LN(2)/25))/(LN(2)/25)*Calculateur!CG171*Calculateur!CI171*VLOOKUP('Données projet'!$B$12,Paramètres!$A$1:$I$89,3,0)*0.475*44/12</f>
        <v>7.2855253950689855E-2</v>
      </c>
      <c r="CM171" s="23">
        <f>EXP(-LN(2)/2)*CM170+(1-EXP(-LN(2)/2))/(LN(2)/2)*CG171*CJ171*VLOOKUP('Données projet'!$B$12,Paramètres!$A$1:$I$89,3,0)*0.475*44/12</f>
        <v>1.8660451579686439E-18</v>
      </c>
      <c r="CN171" s="24">
        <f t="shared" si="172"/>
        <v>7.1859555828985755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499.92116338695428</v>
      </c>
      <c r="CZ171" s="62">
        <f t="shared" si="150"/>
        <v>316.79403154855652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6.8271981936185916E-2</v>
      </c>
      <c r="DH171" s="23">
        <f>EXP(-LN(2)/2)*DH170+(1-EXP(-LN(2)/2))/(LN(2)/2)*DB171*DE171*VLOOKUP('Données projet'!$B$13,Paramètres!$A$1:$I$89,3,0)*0.475*44/12</f>
        <v>5.0109291984823839E-21</v>
      </c>
      <c r="DI171" s="24">
        <f t="shared" si="175"/>
        <v>6.8271981936185916E-2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135.66666666666666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211.70619219850786</v>
      </c>
      <c r="T172" s="62">
        <f t="shared" si="142"/>
        <v>426.883837098247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1.9895196601282805E-13</v>
      </c>
      <c r="AJ172" s="14">
        <f>AI172*VLOOKUP('Données projet'!$B$10,Paramètres!$A$1:$I$89,3,0)*VLOOKUP('Données projet'!$B$10,Paramètres!$A$1:$I$89,5,0)</f>
        <v>1.8001173884840681E-13</v>
      </c>
      <c r="AK172" s="14">
        <f t="shared" si="164"/>
        <v>2.5254331426407198E-12</v>
      </c>
      <c r="AL172" s="22">
        <f t="shared" si="165"/>
        <v>4.7119831685935622E-12</v>
      </c>
      <c r="AM172" s="62">
        <f t="shared" si="113"/>
        <v>286.09515803615545</v>
      </c>
      <c r="AN172" s="62">
        <f ca="1">AVERAGE(OFFSET($AM$3,0,0,'Données projet'!$E$10+1,1))-AVERAGE(OFFSET($H$3,0,0,'Données projet'!$E$10+1,1))</f>
        <v>327.07074355218322</v>
      </c>
      <c r="AO172" s="62">
        <f t="shared" si="144"/>
        <v>462.01668587029087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0.53149785729341803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0.53149785729341803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-9.9316821433603781E-14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378.51861272969165</v>
      </c>
      <c r="BJ172" s="62">
        <f t="shared" si="146"/>
        <v>387.42368617035459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0.30340954410294768</v>
      </c>
      <c r="BR172" s="23">
        <f>EXP(-LN(2)/2)*BR171+(1-EXP(-LN(2)/2))/(LN(2)/2)*BL172*BO172*VLOOKUP('Données projet'!$B$11,Paramètres!$A$1:$I$89,3,0)*0.475*44/12</f>
        <v>2.149552256103987E-20</v>
      </c>
      <c r="BS172" s="24">
        <f t="shared" si="169"/>
        <v>0.30340954410294768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5.6843418860808015E-14</v>
      </c>
      <c r="BZ172" s="14">
        <f>BY172*VLOOKUP('Données projet'!$B$12,Paramètres!$A$1:$I$89,3,0)*VLOOKUP('Données projet'!$B$12,Paramètres!$A$1:$I$89,5,0)</f>
        <v>3.3992364478763198E-14</v>
      </c>
      <c r="CA172" s="14">
        <f t="shared" si="170"/>
        <v>5.790027782444094E-13</v>
      </c>
      <c r="CB172" s="22">
        <f t="shared" si="171"/>
        <v>1.0676332069095257E-12</v>
      </c>
      <c r="CC172" s="62">
        <f t="shared" si="119"/>
        <v>286.09515803615182</v>
      </c>
      <c r="CD172" s="62">
        <f ca="1">AVERAGE(OFFSET($CC$3,0,0,'Données projet'!$E$12+1,1))-AVERAGE(OFFSET($H$3,0,0,'Données projet'!$E$12+1,1))</f>
        <v>225.71928466161592</v>
      </c>
      <c r="CE172" s="62">
        <f t="shared" si="148"/>
        <v>385.98818770742025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6.9736167700600209</v>
      </c>
      <c r="CL172" s="23">
        <f>EXP(-LN(2)/25)*CL171+(1-EXP(-LN(2)/25))/(LN(2)/25)*Calculateur!CG172*Calculateur!CI172*VLOOKUP('Données projet'!$B$12,Paramètres!$A$1:$I$89,3,0)*0.475*44/12</f>
        <v>7.0863023200116948E-2</v>
      </c>
      <c r="CM172" s="23">
        <f>EXP(-LN(2)/2)*CM171+(1-EXP(-LN(2)/2))/(LN(2)/2)*CG172*CJ172*VLOOKUP('Données projet'!$B$12,Paramètres!$A$1:$I$89,3,0)*0.475*44/12</f>
        <v>1.3194931851999504E-18</v>
      </c>
      <c r="CN172" s="24">
        <f t="shared" si="172"/>
        <v>7.0444797932601375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499.92116338695428</v>
      </c>
      <c r="CZ172" s="62">
        <f t="shared" si="150"/>
        <v>316.79403154855652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6.6405080999873425E-2</v>
      </c>
      <c r="DH172" s="23">
        <f>EXP(-LN(2)/2)*DH171+(1-EXP(-LN(2)/2))/(LN(2)/2)*DB172*DE172*VLOOKUP('Données projet'!$B$13,Paramètres!$A$1:$I$89,3,0)*0.475*44/12</f>
        <v>3.5432620162925649E-21</v>
      </c>
      <c r="DI172" s="24">
        <f t="shared" si="175"/>
        <v>6.6405080999873425E-2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135.66666666666666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211.70619219850786</v>
      </c>
      <c r="T173" s="62">
        <f t="shared" si="142"/>
        <v>426.883837098247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1.9895196601282805E-13</v>
      </c>
      <c r="AJ173" s="14">
        <f>AI173*VLOOKUP('Données projet'!$B$10,Paramètres!$A$1:$I$89,3,0)*VLOOKUP('Données projet'!$B$10,Paramètres!$A$1:$I$89,5,0)</f>
        <v>1.8001173884840681E-13</v>
      </c>
      <c r="AK173" s="14">
        <f t="shared" si="164"/>
        <v>2.5254331426407198E-12</v>
      </c>
      <c r="AL173" s="22">
        <f t="shared" si="165"/>
        <v>4.7119831685935622E-12</v>
      </c>
      <c r="AM173" s="62">
        <f t="shared" si="113"/>
        <v>286.22072419542587</v>
      </c>
      <c r="AN173" s="62">
        <f ca="1">AVERAGE(OFFSET($AM$3,0,0,'Données projet'!$E$10+1,1))-AVERAGE(OFFSET($H$3,0,0,'Données projet'!$E$10+1,1))</f>
        <v>327.07074355218322</v>
      </c>
      <c r="AO173" s="62">
        <f t="shared" si="144"/>
        <v>462.01668587029087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0.52107550849357676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0.52107550849357676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-9.9316821433603781E-14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378.51861272969165</v>
      </c>
      <c r="BJ173" s="62">
        <f t="shared" si="146"/>
        <v>387.42368617035459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0.29511279416383812</v>
      </c>
      <c r="BR173" s="23">
        <f>EXP(-LN(2)/2)*BR172+(1-EXP(-LN(2)/2))/(LN(2)/2)*BL173*BO173*VLOOKUP('Données projet'!$B$11,Paramètres!$A$1:$I$89,3,0)*0.475*44/12</f>
        <v>1.5199629768059714E-20</v>
      </c>
      <c r="BS173" s="24">
        <f t="shared" si="169"/>
        <v>0.29511279416383812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5.6843418860808015E-14</v>
      </c>
      <c r="BZ173" s="14">
        <f>BY173*VLOOKUP('Données projet'!$B$12,Paramètres!$A$1:$I$89,3,0)*VLOOKUP('Données projet'!$B$12,Paramètres!$A$1:$I$89,5,0)</f>
        <v>3.3992364478763198E-14</v>
      </c>
      <c r="CA173" s="14">
        <f t="shared" si="170"/>
        <v>5.790027782444094E-13</v>
      </c>
      <c r="CB173" s="22">
        <f t="shared" si="171"/>
        <v>1.0676332069095257E-12</v>
      </c>
      <c r="CC173" s="62">
        <f t="shared" si="119"/>
        <v>286.22072419542224</v>
      </c>
      <c r="CD173" s="62">
        <f ca="1">AVERAGE(OFFSET($CC$3,0,0,'Données projet'!$E$12+1,1))-AVERAGE(OFFSET($H$3,0,0,'Données projet'!$E$12+1,1))</f>
        <v>225.71928466161592</v>
      </c>
      <c r="CE173" s="62">
        <f t="shared" si="148"/>
        <v>385.98818770742025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6.8368683986853771</v>
      </c>
      <c r="CL173" s="23">
        <f>EXP(-LN(2)/25)*CL172+(1-EXP(-LN(2)/25))/(LN(2)/25)*Calculateur!CG173*Calculateur!CI173*VLOOKUP('Données projet'!$B$12,Paramètres!$A$1:$I$89,3,0)*0.475*44/12</f>
        <v>6.8925270104185324E-2</v>
      </c>
      <c r="CM173" s="23">
        <f>EXP(-LN(2)/2)*CM172+(1-EXP(-LN(2)/2))/(LN(2)/2)*CG173*CJ173*VLOOKUP('Données projet'!$B$12,Paramètres!$A$1:$I$89,3,0)*0.475*44/12</f>
        <v>9.3302257898432196E-19</v>
      </c>
      <c r="CN173" s="24">
        <f t="shared" si="172"/>
        <v>6.9057936687895625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499.92116338695428</v>
      </c>
      <c r="CZ173" s="62">
        <f t="shared" si="150"/>
        <v>316.79403154855652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6.4589230567840453E-2</v>
      </c>
      <c r="DH173" s="23">
        <f>EXP(-LN(2)/2)*DH172+(1-EXP(-LN(2)/2))/(LN(2)/2)*DB173*DE173*VLOOKUP('Données projet'!$B$13,Paramètres!$A$1:$I$89,3,0)*0.475*44/12</f>
        <v>2.5054645992411919E-21</v>
      </c>
      <c r="DI173" s="24">
        <f t="shared" si="175"/>
        <v>6.4589230567840453E-2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135.66666666666666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211.70619219850786</v>
      </c>
      <c r="T174" s="62">
        <f t="shared" si="142"/>
        <v>426.883837098247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1.9895196601282805E-13</v>
      </c>
      <c r="AJ174" s="14">
        <f>AI174*VLOOKUP('Données projet'!$B$10,Paramètres!$A$1:$I$89,3,0)*VLOOKUP('Données projet'!$B$10,Paramètres!$A$1:$I$89,5,0)</f>
        <v>1.8001173884840681E-13</v>
      </c>
      <c r="AK174" s="14">
        <f t="shared" si="164"/>
        <v>2.5254331426407198E-12</v>
      </c>
      <c r="AL174" s="22">
        <f t="shared" si="165"/>
        <v>4.7119831685935622E-12</v>
      </c>
      <c r="AM174" s="62">
        <f t="shared" si="113"/>
        <v>286.3441120625568</v>
      </c>
      <c r="AN174" s="62">
        <f ca="1">AVERAGE(OFFSET($AM$3,0,0,'Données projet'!$E$10+1,1))-AVERAGE(OFFSET($H$3,0,0,'Données projet'!$E$10+1,1))</f>
        <v>327.07074355218322</v>
      </c>
      <c r="AO174" s="62">
        <f t="shared" si="144"/>
        <v>462.01668587029087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0.51085753559669533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0.51085753559669533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-9.9316821433603781E-14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378.51861272969165</v>
      </c>
      <c r="BJ174" s="62">
        <f t="shared" si="146"/>
        <v>387.42368617035459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0.28704291928812059</v>
      </c>
      <c r="BR174" s="23">
        <f>EXP(-LN(2)/2)*BR173+(1-EXP(-LN(2)/2))/(LN(2)/2)*BL174*BO174*VLOOKUP('Données projet'!$B$11,Paramètres!$A$1:$I$89,3,0)*0.475*44/12</f>
        <v>1.0747761280519935E-20</v>
      </c>
      <c r="BS174" s="24">
        <f t="shared" si="169"/>
        <v>0.28704291928812059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5.6843418860808015E-14</v>
      </c>
      <c r="BZ174" s="14">
        <f>BY174*VLOOKUP('Données projet'!$B$12,Paramètres!$A$1:$I$89,3,0)*VLOOKUP('Données projet'!$B$12,Paramètres!$A$1:$I$89,5,0)</f>
        <v>3.3992364478763198E-14</v>
      </c>
      <c r="CA174" s="14">
        <f t="shared" si="170"/>
        <v>5.790027782444094E-13</v>
      </c>
      <c r="CB174" s="22">
        <f t="shared" si="171"/>
        <v>1.0676332069095257E-12</v>
      </c>
      <c r="CC174" s="62">
        <f t="shared" si="119"/>
        <v>286.34411206255317</v>
      </c>
      <c r="CD174" s="62">
        <f ca="1">AVERAGE(OFFSET($CC$3,0,0,'Données projet'!$E$12+1,1))-AVERAGE(OFFSET($H$3,0,0,'Données projet'!$E$12+1,1))</f>
        <v>225.71928466161592</v>
      </c>
      <c r="CE174" s="62">
        <f t="shared" si="148"/>
        <v>385.98818770742025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6.7028015794651195</v>
      </c>
      <c r="CL174" s="23">
        <f>EXP(-LN(2)/25)*CL173+(1-EXP(-LN(2)/25))/(LN(2)/25)*Calculateur!CG174*Calculateur!CI174*VLOOKUP('Données projet'!$B$12,Paramètres!$A$1:$I$89,3,0)*0.475*44/12</f>
        <v>6.7040504968563952E-2</v>
      </c>
      <c r="CM174" s="23">
        <f>EXP(-LN(2)/2)*CM173+(1-EXP(-LN(2)/2))/(LN(2)/2)*CG174*CJ174*VLOOKUP('Données projet'!$B$12,Paramètres!$A$1:$I$89,3,0)*0.475*44/12</f>
        <v>6.597465925999752E-19</v>
      </c>
      <c r="CN174" s="24">
        <f t="shared" si="172"/>
        <v>6.7698420844336837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499.92116338695428</v>
      </c>
      <c r="CZ174" s="62">
        <f t="shared" si="150"/>
        <v>316.79403154855652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6.2823034661362839E-2</v>
      </c>
      <c r="DH174" s="23">
        <f>EXP(-LN(2)/2)*DH173+(1-EXP(-LN(2)/2))/(LN(2)/2)*DB174*DE174*VLOOKUP('Données projet'!$B$13,Paramètres!$A$1:$I$89,3,0)*0.475*44/12</f>
        <v>1.7716310081462825E-21</v>
      </c>
      <c r="DI174" s="24">
        <f t="shared" si="175"/>
        <v>6.2823034661362839E-2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135.66666666666666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211.70619219850786</v>
      </c>
      <c r="T175" s="62">
        <f t="shared" si="142"/>
        <v>426.883837098247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1.9895196601282805E-13</v>
      </c>
      <c r="AJ175" s="14">
        <f>AI175*VLOOKUP('Données projet'!$B$10,Paramètres!$A$1:$I$89,3,0)*VLOOKUP('Données projet'!$B$10,Paramètres!$A$1:$I$89,5,0)</f>
        <v>1.8001173884840681E-13</v>
      </c>
      <c r="AK175" s="14">
        <f t="shared" si="164"/>
        <v>2.5254331426407198E-12</v>
      </c>
      <c r="AL175" s="22">
        <f t="shared" si="165"/>
        <v>4.7119831685935622E-12</v>
      </c>
      <c r="AM175" s="62">
        <f t="shared" si="113"/>
        <v>286.46535942604703</v>
      </c>
      <c r="AN175" s="62">
        <f ca="1">AVERAGE(OFFSET($AM$3,0,0,'Données projet'!$E$10+1,1))-AVERAGE(OFFSET($H$3,0,0,'Données projet'!$E$10+1,1))</f>
        <v>327.07074355218322</v>
      </c>
      <c r="AO175" s="62">
        <f t="shared" si="144"/>
        <v>462.01668587029087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0.50083993091597367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0.50083993091597367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-9.9316821433603781E-14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378.51861272969165</v>
      </c>
      <c r="BJ175" s="62">
        <f t="shared" si="146"/>
        <v>387.42368617035459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0.27919371556525585</v>
      </c>
      <c r="BR175" s="23">
        <f>EXP(-LN(2)/2)*BR174+(1-EXP(-LN(2)/2))/(LN(2)/2)*BL175*BO175*VLOOKUP('Données projet'!$B$11,Paramètres!$A$1:$I$89,3,0)*0.475*44/12</f>
        <v>7.5998148840298572E-21</v>
      </c>
      <c r="BS175" s="24">
        <f t="shared" si="169"/>
        <v>0.27919371556525585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5.6843418860808015E-14</v>
      </c>
      <c r="BZ175" s="14">
        <f>BY175*VLOOKUP('Données projet'!$B$12,Paramètres!$A$1:$I$89,3,0)*VLOOKUP('Données projet'!$B$12,Paramètres!$A$1:$I$89,5,0)</f>
        <v>3.3992364478763198E-14</v>
      </c>
      <c r="CA175" s="14">
        <f t="shared" si="170"/>
        <v>5.790027782444094E-13</v>
      </c>
      <c r="CB175" s="22">
        <f t="shared" si="171"/>
        <v>1.0676332069095257E-12</v>
      </c>
      <c r="CC175" s="62">
        <f t="shared" si="119"/>
        <v>286.46535942604339</v>
      </c>
      <c r="CD175" s="62">
        <f ca="1">AVERAGE(OFFSET($CC$3,0,0,'Données projet'!$E$12+1,1))-AVERAGE(OFFSET($H$3,0,0,'Données projet'!$E$12+1,1))</f>
        <v>225.71928466161592</v>
      </c>
      <c r="CE175" s="62">
        <f t="shared" si="148"/>
        <v>385.98818770742025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6.5713637287970856</v>
      </c>
      <c r="CL175" s="23">
        <f>EXP(-LN(2)/25)*CL174+(1-EXP(-LN(2)/25))/(LN(2)/25)*Calculateur!CG175*Calculateur!CI175*VLOOKUP('Données projet'!$B$12,Paramètres!$A$1:$I$89,3,0)*0.475*44/12</f>
        <v>6.5207278834691643E-2</v>
      </c>
      <c r="CM175" s="23">
        <f>EXP(-LN(2)/2)*CM174+(1-EXP(-LN(2)/2))/(LN(2)/2)*CG175*CJ175*VLOOKUP('Données projet'!$B$12,Paramètres!$A$1:$I$89,3,0)*0.475*44/12</f>
        <v>4.6651128949216098E-19</v>
      </c>
      <c r="CN175" s="24">
        <f t="shared" si="172"/>
        <v>6.636571007631777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499.92116338695428</v>
      </c>
      <c r="CZ175" s="62">
        <f t="shared" si="150"/>
        <v>316.79403154855652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6.1105135474828064E-2</v>
      </c>
      <c r="DH175" s="23">
        <f>EXP(-LN(2)/2)*DH174+(1-EXP(-LN(2)/2))/(LN(2)/2)*DB175*DE175*VLOOKUP('Données projet'!$B$13,Paramètres!$A$1:$I$89,3,0)*0.475*44/12</f>
        <v>1.252732299620596E-21</v>
      </c>
      <c r="DI175" s="24">
        <f t="shared" si="175"/>
        <v>6.1105135474828064E-2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135.66666666666666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211.70619219850786</v>
      </c>
      <c r="T176" s="62">
        <f t="shared" si="142"/>
        <v>426.883837098247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1.9895196601282805E-13</v>
      </c>
      <c r="AJ176" s="14">
        <f>AI176*VLOOKUP('Données projet'!$B$10,Paramètres!$A$1:$I$89,3,0)*VLOOKUP('Données projet'!$B$10,Paramètres!$A$1:$I$89,5,0)</f>
        <v>1.8001173884840681E-13</v>
      </c>
      <c r="AK176" s="14">
        <f t="shared" si="164"/>
        <v>2.5254331426407198E-12</v>
      </c>
      <c r="AL176" s="22">
        <f t="shared" si="165"/>
        <v>4.7119831685935622E-12</v>
      </c>
      <c r="AM176" s="62">
        <f t="shared" si="113"/>
        <v>286.58450341884907</v>
      </c>
      <c r="AN176" s="62">
        <f ca="1">AVERAGE(OFFSET($AM$3,0,0,'Données projet'!$E$10+1,1))-AVERAGE(OFFSET($H$3,0,0,'Données projet'!$E$10+1,1))</f>
        <v>327.07074355218322</v>
      </c>
      <c r="AO176" s="62">
        <f t="shared" si="144"/>
        <v>462.01668587029087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0.49101876535290545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0.49101876535290545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-9.9316821433603781E-14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378.51861272969165</v>
      </c>
      <c r="BJ176" s="62">
        <f t="shared" si="146"/>
        <v>387.42368617035459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0.27155914873096454</v>
      </c>
      <c r="BR176" s="23">
        <f>EXP(-LN(2)/2)*BR175+(1-EXP(-LN(2)/2))/(LN(2)/2)*BL176*BO176*VLOOKUP('Données projet'!$B$11,Paramètres!$A$1:$I$89,3,0)*0.475*44/12</f>
        <v>5.3738806402599674E-21</v>
      </c>
      <c r="BS176" s="24">
        <f t="shared" si="169"/>
        <v>0.27155914873096454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5.6843418860808015E-14</v>
      </c>
      <c r="BZ176" s="14">
        <f>BY176*VLOOKUP('Données projet'!$B$12,Paramètres!$A$1:$I$89,3,0)*VLOOKUP('Données projet'!$B$12,Paramètres!$A$1:$I$89,5,0)</f>
        <v>3.3992364478763198E-14</v>
      </c>
      <c r="CA176" s="14">
        <f t="shared" si="170"/>
        <v>5.790027782444094E-13</v>
      </c>
      <c r="CB176" s="22">
        <f t="shared" si="171"/>
        <v>1.0676332069095257E-12</v>
      </c>
      <c r="CC176" s="62">
        <f t="shared" si="119"/>
        <v>286.58450341884543</v>
      </c>
      <c r="CD176" s="62">
        <f ca="1">AVERAGE(OFFSET($CC$3,0,0,'Données projet'!$E$12+1,1))-AVERAGE(OFFSET($H$3,0,0,'Données projet'!$E$12+1,1))</f>
        <v>225.71928466161592</v>
      </c>
      <c r="CE176" s="62">
        <f t="shared" si="148"/>
        <v>385.98818770742025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6.4425032942114786</v>
      </c>
      <c r="CL176" s="23">
        <f>EXP(-LN(2)/25)*CL175+(1-EXP(-LN(2)/25))/(LN(2)/25)*Calculateur!CG176*Calculateur!CI176*VLOOKUP('Données projet'!$B$12,Paramètres!$A$1:$I$89,3,0)*0.475*44/12</f>
        <v>6.3424182365855244E-2</v>
      </c>
      <c r="CM176" s="23">
        <f>EXP(-LN(2)/2)*CM175+(1-EXP(-LN(2)/2))/(LN(2)/2)*CG176*CJ176*VLOOKUP('Données projet'!$B$12,Paramètres!$A$1:$I$89,3,0)*0.475*44/12</f>
        <v>3.298732962999876E-19</v>
      </c>
      <c r="CN176" s="24">
        <f t="shared" si="172"/>
        <v>6.5059274765773338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499.92116338695428</v>
      </c>
      <c r="CZ176" s="62">
        <f t="shared" si="150"/>
        <v>316.79403154855652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5.9434212331889474E-2</v>
      </c>
      <c r="DH176" s="23">
        <f>EXP(-LN(2)/2)*DH175+(1-EXP(-LN(2)/2))/(LN(2)/2)*DB176*DE176*VLOOKUP('Données projet'!$B$13,Paramètres!$A$1:$I$89,3,0)*0.475*44/12</f>
        <v>8.8581550407314123E-22</v>
      </c>
      <c r="DI176" s="24">
        <f t="shared" si="175"/>
        <v>5.9434212331889474E-2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135.66666666666666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211.70619219850786</v>
      </c>
      <c r="T177" s="62">
        <f t="shared" si="142"/>
        <v>426.883837098247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1.9895196601282805E-13</v>
      </c>
      <c r="AJ177" s="14">
        <f>AI177*VLOOKUP('Données projet'!$B$10,Paramètres!$A$1:$I$89,3,0)*VLOOKUP('Données projet'!$B$10,Paramètres!$A$1:$I$89,5,0)</f>
        <v>1.8001173884840681E-13</v>
      </c>
      <c r="AK177" s="14">
        <f t="shared" si="164"/>
        <v>2.5254331426407198E-12</v>
      </c>
      <c r="AL177" s="22">
        <f t="shared" si="165"/>
        <v>4.7119831685935622E-12</v>
      </c>
      <c r="AM177" s="62">
        <f t="shared" si="113"/>
        <v>286.70158052974216</v>
      </c>
      <c r="AN177" s="62">
        <f ca="1">AVERAGE(OFFSET($AM$3,0,0,'Données projet'!$E$10+1,1))-AVERAGE(OFFSET($H$3,0,0,'Données projet'!$E$10+1,1))</f>
        <v>327.07074355218322</v>
      </c>
      <c r="AO177" s="62">
        <f t="shared" si="144"/>
        <v>462.01668587029087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0.48139018685620949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0.48139018685620949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-9.9316821433603781E-14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378.51861272969165</v>
      </c>
      <c r="BJ177" s="62">
        <f t="shared" si="146"/>
        <v>387.42368617035459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0.26413334952824136</v>
      </c>
      <c r="BR177" s="23">
        <f>EXP(-LN(2)/2)*BR176+(1-EXP(-LN(2)/2))/(LN(2)/2)*BL177*BO177*VLOOKUP('Données projet'!$B$11,Paramètres!$A$1:$I$89,3,0)*0.475*44/12</f>
        <v>3.7999074420149286E-21</v>
      </c>
      <c r="BS177" s="24">
        <f t="shared" si="169"/>
        <v>0.26413334952824136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5.6843418860808015E-14</v>
      </c>
      <c r="BZ177" s="14">
        <f>BY177*VLOOKUP('Données projet'!$B$12,Paramètres!$A$1:$I$89,3,0)*VLOOKUP('Données projet'!$B$12,Paramètres!$A$1:$I$89,5,0)</f>
        <v>3.3992364478763198E-14</v>
      </c>
      <c r="CA177" s="14">
        <f t="shared" si="170"/>
        <v>5.790027782444094E-13</v>
      </c>
      <c r="CB177" s="22">
        <f t="shared" si="171"/>
        <v>1.0676332069095257E-12</v>
      </c>
      <c r="CC177" s="62">
        <f t="shared" si="119"/>
        <v>286.70158052973852</v>
      </c>
      <c r="CD177" s="62">
        <f ca="1">AVERAGE(OFFSET($CC$3,0,0,'Données projet'!$E$12+1,1))-AVERAGE(OFFSET($H$3,0,0,'Données projet'!$E$12+1,1))</f>
        <v>225.71928466161592</v>
      </c>
      <c r="CE177" s="62">
        <f t="shared" si="148"/>
        <v>385.98818770742025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6.316169734150991</v>
      </c>
      <c r="CL177" s="23">
        <f>EXP(-LN(2)/25)*CL176+(1-EXP(-LN(2)/25))/(LN(2)/25)*Calculateur!CG177*Calculateur!CI177*VLOOKUP('Données projet'!$B$12,Paramètres!$A$1:$I$89,3,0)*0.475*44/12</f>
        <v>6.1689844763728137E-2</v>
      </c>
      <c r="CM177" s="23">
        <f>EXP(-LN(2)/2)*CM176+(1-EXP(-LN(2)/2))/(LN(2)/2)*CG177*CJ177*VLOOKUP('Données projet'!$B$12,Paramètres!$A$1:$I$89,3,0)*0.475*44/12</f>
        <v>2.3325564474608049E-19</v>
      </c>
      <c r="CN177" s="24">
        <f t="shared" si="172"/>
        <v>6.3778595789147188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499.92116338695428</v>
      </c>
      <c r="CZ177" s="62">
        <f t="shared" si="150"/>
        <v>316.79403154855652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5.7808980670164566E-2</v>
      </c>
      <c r="DH177" s="23">
        <f>EXP(-LN(2)/2)*DH176+(1-EXP(-LN(2)/2))/(LN(2)/2)*DB177*DE177*VLOOKUP('Données projet'!$B$13,Paramètres!$A$1:$I$89,3,0)*0.475*44/12</f>
        <v>6.2636614981029798E-22</v>
      </c>
      <c r="DI177" s="24">
        <f t="shared" si="175"/>
        <v>5.7808980670164566E-2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135.66666666666666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211.70619219850786</v>
      </c>
      <c r="T178" s="62">
        <f t="shared" si="142"/>
        <v>426.883837098247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1.9895196601282805E-13</v>
      </c>
      <c r="AJ178" s="14">
        <f>AI178*VLOOKUP('Données projet'!$B$10,Paramètres!$A$1:$I$89,3,0)*VLOOKUP('Données projet'!$B$10,Paramètres!$A$1:$I$89,5,0)</f>
        <v>1.8001173884840681E-13</v>
      </c>
      <c r="AK178" s="14">
        <f t="shared" si="164"/>
        <v>2.5254331426407198E-12</v>
      </c>
      <c r="AL178" s="22">
        <f t="shared" si="165"/>
        <v>4.7119831685935622E-12</v>
      </c>
      <c r="AM178" s="62">
        <f t="shared" si="113"/>
        <v>286.81662661450639</v>
      </c>
      <c r="AN178" s="62">
        <f ca="1">AVERAGE(OFFSET($AM$3,0,0,'Données projet'!$E$10+1,1))-AVERAGE(OFFSET($H$3,0,0,'Données projet'!$E$10+1,1))</f>
        <v>327.07074355218322</v>
      </c>
      <c r="AO178" s="62">
        <f t="shared" si="144"/>
        <v>462.01668587029087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0.47195041891098072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0.47195041891098072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-9.9316821433603781E-14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378.51861272969165</v>
      </c>
      <c r="BJ178" s="62">
        <f t="shared" si="146"/>
        <v>387.42368617035459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0.25691060919522241</v>
      </c>
      <c r="BR178" s="23">
        <f>EXP(-LN(2)/2)*BR177+(1-EXP(-LN(2)/2))/(LN(2)/2)*BL178*BO178*VLOOKUP('Données projet'!$B$11,Paramètres!$A$1:$I$89,3,0)*0.475*44/12</f>
        <v>2.6869403201299837E-21</v>
      </c>
      <c r="BS178" s="24">
        <f t="shared" si="169"/>
        <v>0.25691060919522241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5.6843418860808015E-14</v>
      </c>
      <c r="BZ178" s="14">
        <f>BY178*VLOOKUP('Données projet'!$B$12,Paramètres!$A$1:$I$89,3,0)*VLOOKUP('Données projet'!$B$12,Paramètres!$A$1:$I$89,5,0)</f>
        <v>3.3992364478763198E-14</v>
      </c>
      <c r="CA178" s="14">
        <f t="shared" si="170"/>
        <v>5.790027782444094E-13</v>
      </c>
      <c r="CB178" s="22">
        <f t="shared" si="171"/>
        <v>1.0676332069095257E-12</v>
      </c>
      <c r="CC178" s="62">
        <f t="shared" si="119"/>
        <v>286.81662661450275</v>
      </c>
      <c r="CD178" s="62">
        <f ca="1">AVERAGE(OFFSET($CC$3,0,0,'Données projet'!$E$12+1,1))-AVERAGE(OFFSET($H$3,0,0,'Données projet'!$E$12+1,1))</f>
        <v>225.71928466161592</v>
      </c>
      <c r="CE178" s="62">
        <f t="shared" si="148"/>
        <v>385.98818770742025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6.1923134981474268</v>
      </c>
      <c r="CL178" s="23">
        <f>EXP(-LN(2)/25)*CL177+(1-EXP(-LN(2)/25))/(LN(2)/25)*Calculateur!CG178*Calculateur!CI178*VLOOKUP('Données projet'!$B$12,Paramètres!$A$1:$I$89,3,0)*0.475*44/12</f>
        <v>6.000293271453605E-2</v>
      </c>
      <c r="CM178" s="23">
        <f>EXP(-LN(2)/2)*CM177+(1-EXP(-LN(2)/2))/(LN(2)/2)*CG178*CJ178*VLOOKUP('Données projet'!$B$12,Paramètres!$A$1:$I$89,3,0)*0.475*44/12</f>
        <v>1.649366481499938E-19</v>
      </c>
      <c r="CN178" s="24">
        <f t="shared" si="172"/>
        <v>6.2523164308619625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499.92116338695428</v>
      </c>
      <c r="CZ178" s="62">
        <f t="shared" si="150"/>
        <v>316.79403154855652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5.6228191053696745E-2</v>
      </c>
      <c r="DH178" s="23">
        <f>EXP(-LN(2)/2)*DH177+(1-EXP(-LN(2)/2))/(LN(2)/2)*DB178*DE178*VLOOKUP('Données projet'!$B$13,Paramètres!$A$1:$I$89,3,0)*0.475*44/12</f>
        <v>4.4290775203657061E-22</v>
      </c>
      <c r="DI178" s="24">
        <f t="shared" si="175"/>
        <v>5.6228191053696745E-2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135.66666666666666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211.70619219850786</v>
      </c>
      <c r="T179" s="62">
        <f t="shared" si="142"/>
        <v>426.883837098247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1.9895196601282805E-13</v>
      </c>
      <c r="AJ179" s="14">
        <f>AI179*VLOOKUP('Données projet'!$B$10,Paramètres!$A$1:$I$89,3,0)*VLOOKUP('Données projet'!$B$10,Paramètres!$A$1:$I$89,5,0)</f>
        <v>1.8001173884840681E-13</v>
      </c>
      <c r="AK179" s="14">
        <f t="shared" si="164"/>
        <v>2.5254331426407198E-12</v>
      </c>
      <c r="AL179" s="22">
        <f t="shared" si="165"/>
        <v>4.7119831685935622E-12</v>
      </c>
      <c r="AM179" s="62">
        <f t="shared" si="113"/>
        <v>286.92967690690455</v>
      </c>
      <c r="AN179" s="62">
        <f ca="1">AVERAGE(OFFSET($AM$3,0,0,'Données projet'!$E$10+1,1))-AVERAGE(OFFSET($H$3,0,0,'Données projet'!$E$10+1,1))</f>
        <v>327.07074355218322</v>
      </c>
      <c r="AO179" s="62">
        <f t="shared" si="144"/>
        <v>462.01668587029087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0.46269575905746796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0.46269575905746796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-9.9316821433603781E-14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378.51861272969165</v>
      </c>
      <c r="BJ179" s="62">
        <f t="shared" si="146"/>
        <v>387.42368617035459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0.24988537507643729</v>
      </c>
      <c r="BR179" s="23">
        <f>EXP(-LN(2)/2)*BR178+(1-EXP(-LN(2)/2))/(LN(2)/2)*BL179*BO179*VLOOKUP('Données projet'!$B$11,Paramètres!$A$1:$I$89,3,0)*0.475*44/12</f>
        <v>1.8999537210074643E-21</v>
      </c>
      <c r="BS179" s="24">
        <f t="shared" si="169"/>
        <v>0.24988537507643729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5.6843418860808015E-14</v>
      </c>
      <c r="BZ179" s="14">
        <f>BY179*VLOOKUP('Données projet'!$B$12,Paramètres!$A$1:$I$89,3,0)*VLOOKUP('Données projet'!$B$12,Paramètres!$A$1:$I$89,5,0)</f>
        <v>3.3992364478763198E-14</v>
      </c>
      <c r="CA179" s="14">
        <f t="shared" si="170"/>
        <v>5.790027782444094E-13</v>
      </c>
      <c r="CB179" s="22">
        <f t="shared" si="171"/>
        <v>1.0676332069095257E-12</v>
      </c>
      <c r="CC179" s="62">
        <f t="shared" si="119"/>
        <v>286.92967690690091</v>
      </c>
      <c r="CD179" s="62">
        <f ca="1">AVERAGE(OFFSET($CC$3,0,0,'Données projet'!$E$12+1,1))-AVERAGE(OFFSET($H$3,0,0,'Données projet'!$E$12+1,1))</f>
        <v>225.71928466161592</v>
      </c>
      <c r="CE179" s="62">
        <f t="shared" si="148"/>
        <v>385.98818770742025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6.0708860073870481</v>
      </c>
      <c r="CL179" s="23">
        <f>EXP(-LN(2)/25)*CL178+(1-EXP(-LN(2)/25))/(LN(2)/25)*Calculateur!CG179*Calculateur!CI179*VLOOKUP('Données projet'!$B$12,Paramètres!$A$1:$I$89,3,0)*0.475*44/12</f>
        <v>5.8362149364039967E-2</v>
      </c>
      <c r="CM179" s="23">
        <f>EXP(-LN(2)/2)*CM178+(1-EXP(-LN(2)/2))/(LN(2)/2)*CG179*CJ179*VLOOKUP('Données projet'!$B$12,Paramètres!$A$1:$I$89,3,0)*0.475*44/12</f>
        <v>1.1662782237304025E-19</v>
      </c>
      <c r="CN179" s="24">
        <f t="shared" si="172"/>
        <v>6.1292481567510881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499.92116338695428</v>
      </c>
      <c r="CZ179" s="62">
        <f t="shared" si="150"/>
        <v>316.79403154855652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5.4690628212421349E-2</v>
      </c>
      <c r="DH179" s="23">
        <f>EXP(-LN(2)/2)*DH178+(1-EXP(-LN(2)/2))/(LN(2)/2)*DB179*DE179*VLOOKUP('Données projet'!$B$13,Paramètres!$A$1:$I$89,3,0)*0.475*44/12</f>
        <v>3.1318307490514899E-22</v>
      </c>
      <c r="DI179" s="24">
        <f t="shared" si="175"/>
        <v>5.4690628212421349E-2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135.66666666666666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211.70619219850786</v>
      </c>
      <c r="T180" s="62">
        <f t="shared" si="142"/>
        <v>426.883837098247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1.9895196601282805E-13</v>
      </c>
      <c r="AJ180" s="14">
        <f>AI180*VLOOKUP('Données projet'!$B$10,Paramètres!$A$1:$I$89,3,0)*VLOOKUP('Données projet'!$B$10,Paramètres!$A$1:$I$89,5,0)</f>
        <v>1.8001173884840681E-13</v>
      </c>
      <c r="AK180" s="14">
        <f t="shared" si="164"/>
        <v>2.5254331426407198E-12</v>
      </c>
      <c r="AL180" s="22">
        <f t="shared" si="165"/>
        <v>4.7119831685935622E-12</v>
      </c>
      <c r="AM180" s="62">
        <f t="shared" si="113"/>
        <v>287.04076602947214</v>
      </c>
      <c r="AN180" s="62">
        <f ca="1">AVERAGE(OFFSET($AM$3,0,0,'Données projet'!$E$10+1,1))-AVERAGE(OFFSET($H$3,0,0,'Données projet'!$E$10+1,1))</f>
        <v>327.07074355218322</v>
      </c>
      <c r="AO180" s="62">
        <f t="shared" si="144"/>
        <v>462.01668587029087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0.45362257743889745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0.45362257743889745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-9.9316821433603781E-14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378.51861272969165</v>
      </c>
      <c r="BJ180" s="62">
        <f t="shared" si="146"/>
        <v>387.42368617035459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0.24305224635407136</v>
      </c>
      <c r="BR180" s="23">
        <f>EXP(-LN(2)/2)*BR179+(1-EXP(-LN(2)/2))/(LN(2)/2)*BL180*BO180*VLOOKUP('Données projet'!$B$11,Paramètres!$A$1:$I$89,3,0)*0.475*44/12</f>
        <v>1.3434701600649919E-21</v>
      </c>
      <c r="BS180" s="24">
        <f t="shared" si="169"/>
        <v>0.24305224635407136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5.6843418860808015E-14</v>
      </c>
      <c r="BZ180" s="14">
        <f>BY180*VLOOKUP('Données projet'!$B$12,Paramètres!$A$1:$I$89,3,0)*VLOOKUP('Données projet'!$B$12,Paramètres!$A$1:$I$89,5,0)</f>
        <v>3.3992364478763198E-14</v>
      </c>
      <c r="CA180" s="14">
        <f t="shared" si="170"/>
        <v>5.790027782444094E-13</v>
      </c>
      <c r="CB180" s="22">
        <f t="shared" si="171"/>
        <v>1.0676332069095257E-12</v>
      </c>
      <c r="CC180" s="62">
        <f t="shared" si="119"/>
        <v>287.0407660294685</v>
      </c>
      <c r="CD180" s="62">
        <f ca="1">AVERAGE(OFFSET($CC$3,0,0,'Données projet'!$E$12+1,1))-AVERAGE(OFFSET($H$3,0,0,'Données projet'!$E$12+1,1))</f>
        <v>225.71928466161592</v>
      </c>
      <c r="CE180" s="62">
        <f t="shared" si="148"/>
        <v>385.98818770742025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5.9518396356570245</v>
      </c>
      <c r="CL180" s="23">
        <f>EXP(-LN(2)/25)*CL179+(1-EXP(-LN(2)/25))/(LN(2)/25)*Calculateur!CG180*Calculateur!CI180*VLOOKUP('Données projet'!$B$12,Paramètres!$A$1:$I$89,3,0)*0.475*44/12</f>
        <v>5.6766233320548247E-2</v>
      </c>
      <c r="CM180" s="23">
        <f>EXP(-LN(2)/2)*CM179+(1-EXP(-LN(2)/2))/(LN(2)/2)*CG180*CJ180*VLOOKUP('Données projet'!$B$12,Paramètres!$A$1:$I$89,3,0)*0.475*44/12</f>
        <v>8.24683240749969E-20</v>
      </c>
      <c r="CN180" s="24">
        <f t="shared" si="172"/>
        <v>6.0086058689775728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499.92116338695428</v>
      </c>
      <c r="CZ180" s="62">
        <f t="shared" si="150"/>
        <v>316.79403154855652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5.3195110107897549E-2</v>
      </c>
      <c r="DH180" s="23">
        <f>EXP(-LN(2)/2)*DH179+(1-EXP(-LN(2)/2))/(LN(2)/2)*DB180*DE180*VLOOKUP('Données projet'!$B$13,Paramètres!$A$1:$I$89,3,0)*0.475*44/12</f>
        <v>2.2145387601828531E-22</v>
      </c>
      <c r="DI180" s="24">
        <f t="shared" si="175"/>
        <v>5.3195110107897549E-2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135.66666666666666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211.70619219850786</v>
      </c>
      <c r="T181" s="62">
        <f t="shared" si="142"/>
        <v>426.883837098247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1.9895196601282805E-13</v>
      </c>
      <c r="AJ181" s="14">
        <f>AI181*VLOOKUP('Données projet'!$B$10,Paramètres!$A$1:$I$89,3,0)*VLOOKUP('Données projet'!$B$10,Paramètres!$A$1:$I$89,5,0)</f>
        <v>1.8001173884840681E-13</v>
      </c>
      <c r="AK181" s="14">
        <f t="shared" si="164"/>
        <v>2.5254331426407198E-12</v>
      </c>
      <c r="AL181" s="22">
        <f t="shared" si="165"/>
        <v>4.7119831685935622E-12</v>
      </c>
      <c r="AM181" s="62">
        <f t="shared" si="113"/>
        <v>287.14992800412131</v>
      </c>
      <c r="AN181" s="62">
        <f ca="1">AVERAGE(OFFSET($AM$3,0,0,'Données projet'!$E$10+1,1))-AVERAGE(OFFSET($H$3,0,0,'Données projet'!$E$10+1,1))</f>
        <v>327.07074355218322</v>
      </c>
      <c r="AO181" s="62">
        <f t="shared" si="144"/>
        <v>462.01668587029087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0.44472731537777277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0.44472731537777277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-9.9316821433603781E-14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378.51861272969165</v>
      </c>
      <c r="BJ181" s="62">
        <f t="shared" si="146"/>
        <v>387.42368617035459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0.23640596989595714</v>
      </c>
      <c r="BR181" s="23">
        <f>EXP(-LN(2)/2)*BR180+(1-EXP(-LN(2)/2))/(LN(2)/2)*BL181*BO181*VLOOKUP('Données projet'!$B$11,Paramètres!$A$1:$I$89,3,0)*0.475*44/12</f>
        <v>9.4997686050373216E-22</v>
      </c>
      <c r="BS181" s="24">
        <f t="shared" si="169"/>
        <v>0.23640596989595714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5.6843418860808015E-14</v>
      </c>
      <c r="BZ181" s="14">
        <f>BY181*VLOOKUP('Données projet'!$B$12,Paramètres!$A$1:$I$89,3,0)*VLOOKUP('Données projet'!$B$12,Paramètres!$A$1:$I$89,5,0)</f>
        <v>3.3992364478763198E-14</v>
      </c>
      <c r="CA181" s="14">
        <f t="shared" si="170"/>
        <v>5.790027782444094E-13</v>
      </c>
      <c r="CB181" s="22">
        <f t="shared" si="171"/>
        <v>1.0676332069095257E-12</v>
      </c>
      <c r="CC181" s="62">
        <f t="shared" si="119"/>
        <v>287.14992800411767</v>
      </c>
      <c r="CD181" s="62">
        <f ca="1">AVERAGE(OFFSET($CC$3,0,0,'Données projet'!$E$12+1,1))-AVERAGE(OFFSET($H$3,0,0,'Données projet'!$E$12+1,1))</f>
        <v>225.71928466161592</v>
      </c>
      <c r="CE181" s="62">
        <f t="shared" si="148"/>
        <v>385.98818770742025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5.8351276906655096</v>
      </c>
      <c r="CL181" s="23">
        <f>EXP(-LN(2)/25)*CL180+(1-EXP(-LN(2)/25))/(LN(2)/25)*Calculateur!CG181*Calculateur!CI181*VLOOKUP('Données projet'!$B$12,Paramètres!$A$1:$I$89,3,0)*0.475*44/12</f>
        <v>5.5213957685191384E-2</v>
      </c>
      <c r="CM181" s="23">
        <f>EXP(-LN(2)/2)*CM180+(1-EXP(-LN(2)/2))/(LN(2)/2)*CG181*CJ181*VLOOKUP('Données projet'!$B$12,Paramètres!$A$1:$I$89,3,0)*0.475*44/12</f>
        <v>5.8313911186520123E-20</v>
      </c>
      <c r="CN181" s="24">
        <f t="shared" si="172"/>
        <v>5.8903416483507014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499.92116338695428</v>
      </c>
      <c r="CZ181" s="62">
        <f t="shared" si="150"/>
        <v>316.79403154855652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5.1740487024587827E-2</v>
      </c>
      <c r="DH181" s="23">
        <f>EXP(-LN(2)/2)*DH180+(1-EXP(-LN(2)/2))/(LN(2)/2)*DB181*DE181*VLOOKUP('Données projet'!$B$13,Paramètres!$A$1:$I$89,3,0)*0.475*44/12</f>
        <v>1.565915374525745E-22</v>
      </c>
      <c r="DI181" s="24">
        <f t="shared" si="175"/>
        <v>5.1740487024587827E-2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135.66666666666666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211.70619219850786</v>
      </c>
      <c r="T182" s="62">
        <f t="shared" si="142"/>
        <v>426.883837098247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1.9895196601282805E-13</v>
      </c>
      <c r="AJ182" s="14">
        <f>AI182*VLOOKUP('Données projet'!$B$10,Paramètres!$A$1:$I$89,3,0)*VLOOKUP('Données projet'!$B$10,Paramètres!$A$1:$I$89,5,0)</f>
        <v>1.8001173884840681E-13</v>
      </c>
      <c r="AK182" s="14">
        <f t="shared" si="164"/>
        <v>2.5254331426407198E-12</v>
      </c>
      <c r="AL182" s="22">
        <f t="shared" si="165"/>
        <v>4.7119831685935622E-12</v>
      </c>
      <c r="AM182" s="62">
        <f t="shared" si="113"/>
        <v>287.25719626255983</v>
      </c>
      <c r="AN182" s="62">
        <f ca="1">AVERAGE(OFFSET($AM$3,0,0,'Données projet'!$E$10+1,1))-AVERAGE(OFFSET($H$3,0,0,'Données projet'!$E$10+1,1))</f>
        <v>327.07074355218322</v>
      </c>
      <c r="AO182" s="62">
        <f t="shared" si="144"/>
        <v>462.01668587029087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0.43600648398009262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0.43600648398009262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-9.9316821433603781E-14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378.51861272969165</v>
      </c>
      <c r="BJ182" s="62">
        <f t="shared" si="146"/>
        <v>387.42368617035459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0.22994143621710256</v>
      </c>
      <c r="BR182" s="23">
        <f>EXP(-LN(2)/2)*BR181+(1-EXP(-LN(2)/2))/(LN(2)/2)*BL182*BO182*VLOOKUP('Données projet'!$B$11,Paramètres!$A$1:$I$89,3,0)*0.475*44/12</f>
        <v>6.7173508003249593E-22</v>
      </c>
      <c r="BS182" s="24">
        <f t="shared" si="169"/>
        <v>0.22994143621710256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5.6843418860808015E-14</v>
      </c>
      <c r="BZ182" s="14">
        <f>BY182*VLOOKUP('Données projet'!$B$12,Paramètres!$A$1:$I$89,3,0)*VLOOKUP('Données projet'!$B$12,Paramètres!$A$1:$I$89,5,0)</f>
        <v>3.3992364478763198E-14</v>
      </c>
      <c r="CA182" s="14">
        <f t="shared" si="170"/>
        <v>5.790027782444094E-13</v>
      </c>
      <c r="CB182" s="22">
        <f t="shared" si="171"/>
        <v>1.0676332069095257E-12</v>
      </c>
      <c r="CC182" s="62">
        <f t="shared" si="119"/>
        <v>287.25719626255619</v>
      </c>
      <c r="CD182" s="62">
        <f ca="1">AVERAGE(OFFSET($CC$3,0,0,'Données projet'!$E$12+1,1))-AVERAGE(OFFSET($H$3,0,0,'Données projet'!$E$12+1,1))</f>
        <v>225.71928466161592</v>
      </c>
      <c r="CE182" s="62">
        <f t="shared" si="148"/>
        <v>385.98818770742025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5.7207043957280206</v>
      </c>
      <c r="CL182" s="23">
        <f>EXP(-LN(2)/25)*CL181+(1-EXP(-LN(2)/25))/(LN(2)/25)*Calculateur!CG182*Calculateur!CI182*VLOOKUP('Données projet'!$B$12,Paramètres!$A$1:$I$89,3,0)*0.475*44/12</f>
        <v>5.3704129108713985E-2</v>
      </c>
      <c r="CM182" s="23">
        <f>EXP(-LN(2)/2)*CM181+(1-EXP(-LN(2)/2))/(LN(2)/2)*CG182*CJ182*VLOOKUP('Données projet'!$B$12,Paramètres!$A$1:$I$89,3,0)*0.475*44/12</f>
        <v>4.123416203749845E-20</v>
      </c>
      <c r="CN182" s="24">
        <f t="shared" si="172"/>
        <v>5.7744085248367343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499.92116338695428</v>
      </c>
      <c r="CZ182" s="62">
        <f t="shared" si="150"/>
        <v>316.79403154855652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5.0325640685986515E-2</v>
      </c>
      <c r="DH182" s="23">
        <f>EXP(-LN(2)/2)*DH181+(1-EXP(-LN(2)/2))/(LN(2)/2)*DB182*DE182*VLOOKUP('Données projet'!$B$13,Paramètres!$A$1:$I$89,3,0)*0.475*44/12</f>
        <v>1.1072693800914265E-22</v>
      </c>
      <c r="DI182" s="24">
        <f t="shared" si="175"/>
        <v>5.0325640685986515E-2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135.66666666666666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211.70619219850786</v>
      </c>
      <c r="T183" s="62">
        <f t="shared" si="142"/>
        <v>426.883837098247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1.9895196601282805E-13</v>
      </c>
      <c r="AJ183" s="14">
        <f>AI183*VLOOKUP('Données projet'!$B$10,Paramètres!$A$1:$I$89,3,0)*VLOOKUP('Données projet'!$B$10,Paramètres!$A$1:$I$89,5,0)</f>
        <v>1.8001173884840681E-13</v>
      </c>
      <c r="AK183" s="14">
        <f t="shared" si="164"/>
        <v>2.5254331426407198E-12</v>
      </c>
      <c r="AL183" s="22">
        <f t="shared" si="165"/>
        <v>4.7119831685935622E-12</v>
      </c>
      <c r="AM183" s="62">
        <f t="shared" si="113"/>
        <v>287.36260365653044</v>
      </c>
      <c r="AN183" s="62">
        <f ca="1">AVERAGE(OFFSET($AM$3,0,0,'Données projet'!$E$10+1,1))-AVERAGE(OFFSET($H$3,0,0,'Données projet'!$E$10+1,1))</f>
        <v>327.07074355218322</v>
      </c>
      <c r="AO183" s="62">
        <f t="shared" si="144"/>
        <v>462.01668587029087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0.42745666276693906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0.42745666276693906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-9.9316821433603781E-14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378.51861272969165</v>
      </c>
      <c r="BJ183" s="62">
        <f t="shared" si="146"/>
        <v>387.42368617035459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0.2236536755516513</v>
      </c>
      <c r="BR183" s="23">
        <f>EXP(-LN(2)/2)*BR182+(1-EXP(-LN(2)/2))/(LN(2)/2)*BL183*BO183*VLOOKUP('Données projet'!$B$11,Paramètres!$A$1:$I$89,3,0)*0.475*44/12</f>
        <v>4.7498843025186608E-22</v>
      </c>
      <c r="BS183" s="24">
        <f t="shared" si="169"/>
        <v>0.2236536755516513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5.6843418860808015E-14</v>
      </c>
      <c r="BZ183" s="14">
        <f>BY183*VLOOKUP('Données projet'!$B$12,Paramètres!$A$1:$I$89,3,0)*VLOOKUP('Données projet'!$B$12,Paramètres!$A$1:$I$89,5,0)</f>
        <v>3.3992364478763198E-14</v>
      </c>
      <c r="CA183" s="14">
        <f t="shared" si="170"/>
        <v>5.790027782444094E-13</v>
      </c>
      <c r="CB183" s="22">
        <f t="shared" si="171"/>
        <v>1.0676332069095257E-12</v>
      </c>
      <c r="CC183" s="62">
        <f t="shared" si="119"/>
        <v>287.3626036565268</v>
      </c>
      <c r="CD183" s="62">
        <f ca="1">AVERAGE(OFFSET($CC$3,0,0,'Données projet'!$E$12+1,1))-AVERAGE(OFFSET($H$3,0,0,'Données projet'!$E$12+1,1))</f>
        <v>225.71928466161592</v>
      </c>
      <c r="CE183" s="62">
        <f t="shared" si="148"/>
        <v>385.98818770742025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5.6085248718129375</v>
      </c>
      <c r="CL183" s="23">
        <f>EXP(-LN(2)/25)*CL182+(1-EXP(-LN(2)/25))/(LN(2)/25)*Calculateur!CG183*Calculateur!CI183*VLOOKUP('Données projet'!$B$12,Paramètres!$A$1:$I$89,3,0)*0.475*44/12</f>
        <v>5.2235586874058791E-2</v>
      </c>
      <c r="CM183" s="23">
        <f>EXP(-LN(2)/2)*CM182+(1-EXP(-LN(2)/2))/(LN(2)/2)*CG183*CJ183*VLOOKUP('Données projet'!$B$12,Paramètres!$A$1:$I$89,3,0)*0.475*44/12</f>
        <v>2.9156955593260061E-20</v>
      </c>
      <c r="CN183" s="24">
        <f t="shared" si="172"/>
        <v>5.6607604586869966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499.92116338695428</v>
      </c>
      <c r="CZ183" s="62">
        <f t="shared" si="150"/>
        <v>316.79403154855652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4.8949483394917788E-2</v>
      </c>
      <c r="DH183" s="23">
        <f>EXP(-LN(2)/2)*DH182+(1-EXP(-LN(2)/2))/(LN(2)/2)*DB183*DE183*VLOOKUP('Données projet'!$B$13,Paramètres!$A$1:$I$89,3,0)*0.475*44/12</f>
        <v>7.8295768726287248E-23</v>
      </c>
      <c r="DI183" s="24">
        <f t="shared" si="175"/>
        <v>4.8949483394917788E-2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135.66666666666666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211.70619219850786</v>
      </c>
      <c r="T184" s="62">
        <f t="shared" si="142"/>
        <v>426.883837098247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1.9895196601282805E-13</v>
      </c>
      <c r="AJ184" s="14">
        <f>AI184*VLOOKUP('Données projet'!$B$10,Paramètres!$A$1:$I$89,3,0)*VLOOKUP('Données projet'!$B$10,Paramètres!$A$1:$I$89,5,0)</f>
        <v>1.8001173884840681E-13</v>
      </c>
      <c r="AK184" s="14">
        <f t="shared" si="164"/>
        <v>2.5254331426407198E-12</v>
      </c>
      <c r="AL184" s="22">
        <f t="shared" si="165"/>
        <v>4.7119831685935622E-12</v>
      </c>
      <c r="AM184" s="62">
        <f t="shared" si="113"/>
        <v>287.46618246787125</v>
      </c>
      <c r="AN184" s="62">
        <f ca="1">AVERAGE(OFFSET($AM$3,0,0,'Données projet'!$E$10+1,1))-AVERAGE(OFFSET($H$3,0,0,'Données projet'!$E$10+1,1))</f>
        <v>327.07074355218322</v>
      </c>
      <c r="AO184" s="62">
        <f t="shared" si="144"/>
        <v>462.01668587029087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0.41907449833289945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0.41907449833289945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-9.9316821433603781E-14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378.51861272969165</v>
      </c>
      <c r="BJ184" s="62">
        <f t="shared" si="146"/>
        <v>387.42368617035459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0.21753785403225576</v>
      </c>
      <c r="BR184" s="23">
        <f>EXP(-LN(2)/2)*BR183+(1-EXP(-LN(2)/2))/(LN(2)/2)*BL184*BO184*VLOOKUP('Données projet'!$B$11,Paramètres!$A$1:$I$89,3,0)*0.475*44/12</f>
        <v>3.3586754001624796E-22</v>
      </c>
      <c r="BS184" s="24">
        <f t="shared" si="169"/>
        <v>0.21753785403225576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5.6843418860808015E-14</v>
      </c>
      <c r="BZ184" s="14">
        <f>BY184*VLOOKUP('Données projet'!$B$12,Paramètres!$A$1:$I$89,3,0)*VLOOKUP('Données projet'!$B$12,Paramètres!$A$1:$I$89,5,0)</f>
        <v>3.3992364478763198E-14</v>
      </c>
      <c r="CA184" s="14">
        <f t="shared" si="170"/>
        <v>5.790027782444094E-13</v>
      </c>
      <c r="CB184" s="22">
        <f t="shared" si="171"/>
        <v>1.0676332069095257E-12</v>
      </c>
      <c r="CC184" s="62">
        <f t="shared" si="119"/>
        <v>287.46618246786761</v>
      </c>
      <c r="CD184" s="62">
        <f ca="1">AVERAGE(OFFSET($CC$3,0,0,'Données projet'!$E$12+1,1))-AVERAGE(OFFSET($H$3,0,0,'Données projet'!$E$12+1,1))</f>
        <v>225.71928466161592</v>
      </c>
      <c r="CE184" s="62">
        <f t="shared" si="148"/>
        <v>385.98818770742025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5.4985451199390756</v>
      </c>
      <c r="CL184" s="23">
        <f>EXP(-LN(2)/25)*CL183+(1-EXP(-LN(2)/25))/(LN(2)/25)*Calculateur!CG184*Calculateur!CI184*VLOOKUP('Données projet'!$B$12,Paramètres!$A$1:$I$89,3,0)*0.475*44/12</f>
        <v>5.0807202004037523E-2</v>
      </c>
      <c r="CM184" s="23">
        <f>EXP(-LN(2)/2)*CM183+(1-EXP(-LN(2)/2))/(LN(2)/2)*CG184*CJ184*VLOOKUP('Données projet'!$B$12,Paramètres!$A$1:$I$89,3,0)*0.475*44/12</f>
        <v>2.0617081018749225E-20</v>
      </c>
      <c r="CN184" s="24">
        <f t="shared" si="172"/>
        <v>5.5493523219431129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499.92116338695428</v>
      </c>
      <c r="CZ184" s="62">
        <f t="shared" si="150"/>
        <v>316.79403154855652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4.7610957197342305E-2</v>
      </c>
      <c r="DH184" s="23">
        <f>EXP(-LN(2)/2)*DH183+(1-EXP(-LN(2)/2))/(LN(2)/2)*DB184*DE184*VLOOKUP('Données projet'!$B$13,Paramètres!$A$1:$I$89,3,0)*0.475*44/12</f>
        <v>5.5363469004571327E-23</v>
      </c>
      <c r="DI184" s="24">
        <f t="shared" si="175"/>
        <v>4.7610957197342305E-2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135.66666666666666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211.70619219850786</v>
      </c>
      <c r="T185" s="62">
        <f t="shared" si="142"/>
        <v>426.883837098247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1.9895196601282805E-13</v>
      </c>
      <c r="AJ185" s="14">
        <f>AI185*VLOOKUP('Données projet'!$B$10,Paramètres!$A$1:$I$89,3,0)*VLOOKUP('Données projet'!$B$10,Paramètres!$A$1:$I$89,5,0)</f>
        <v>1.8001173884840681E-13</v>
      </c>
      <c r="AK185" s="14">
        <f t="shared" si="164"/>
        <v>2.5254331426407198E-12</v>
      </c>
      <c r="AL185" s="22">
        <f t="shared" si="165"/>
        <v>4.7119831685935622E-12</v>
      </c>
      <c r="AM185" s="62">
        <f t="shared" si="113"/>
        <v>287.56796441840282</v>
      </c>
      <c r="AN185" s="62">
        <f ca="1">AVERAGE(OFFSET($AM$3,0,0,'Données projet'!$E$10+1,1))-AVERAGE(OFFSET($H$3,0,0,'Données projet'!$E$10+1,1))</f>
        <v>327.07074355218322</v>
      </c>
      <c r="AO185" s="62">
        <f t="shared" si="144"/>
        <v>462.01668587029087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0.41085670303079586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0.41085670303079586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-9.9316821433603781E-14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378.51861272969165</v>
      </c>
      <c r="BJ185" s="62">
        <f t="shared" si="146"/>
        <v>387.42368617035459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0.21158926997392516</v>
      </c>
      <c r="BR185" s="23">
        <f>EXP(-LN(2)/2)*BR184+(1-EXP(-LN(2)/2))/(LN(2)/2)*BL185*BO185*VLOOKUP('Données projet'!$B$11,Paramètres!$A$1:$I$89,3,0)*0.475*44/12</f>
        <v>2.3749421512593304E-22</v>
      </c>
      <c r="BS185" s="24">
        <f t="shared" si="169"/>
        <v>0.21158926997392516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5.6843418860808015E-14</v>
      </c>
      <c r="BZ185" s="14">
        <f>BY185*VLOOKUP('Données projet'!$B$12,Paramètres!$A$1:$I$89,3,0)*VLOOKUP('Données projet'!$B$12,Paramètres!$A$1:$I$89,5,0)</f>
        <v>3.3992364478763198E-14</v>
      </c>
      <c r="CA185" s="14">
        <f t="shared" si="170"/>
        <v>5.790027782444094E-13</v>
      </c>
      <c r="CB185" s="22">
        <f t="shared" si="171"/>
        <v>1.0676332069095257E-12</v>
      </c>
      <c r="CC185" s="62">
        <f t="shared" si="119"/>
        <v>287.56796441839919</v>
      </c>
      <c r="CD185" s="62">
        <f ca="1">AVERAGE(OFFSET($CC$3,0,0,'Données projet'!$E$12+1,1))-AVERAGE(OFFSET($H$3,0,0,'Données projet'!$E$12+1,1))</f>
        <v>225.71928466161592</v>
      </c>
      <c r="CE185" s="62">
        <f t="shared" si="148"/>
        <v>385.98818770742025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5.3907220039184347</v>
      </c>
      <c r="CL185" s="23">
        <f>EXP(-LN(2)/25)*CL184+(1-EXP(-LN(2)/25))/(LN(2)/25)*Calculateur!CG185*Calculateur!CI185*VLOOKUP('Données projet'!$B$12,Paramètres!$A$1:$I$89,3,0)*0.475*44/12</f>
        <v>4.9417876393402484E-2</v>
      </c>
      <c r="CM185" s="23">
        <f>EXP(-LN(2)/2)*CM184+(1-EXP(-LN(2)/2))/(LN(2)/2)*CG185*CJ185*VLOOKUP('Données projet'!$B$12,Paramètres!$A$1:$I$89,3,0)*0.475*44/12</f>
        <v>1.4578477796630031E-20</v>
      </c>
      <c r="CN185" s="24">
        <f t="shared" si="172"/>
        <v>5.440139880311837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499.92116338695428</v>
      </c>
      <c r="CZ185" s="62">
        <f t="shared" si="150"/>
        <v>316.79403154855652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4.6309033069029559E-2</v>
      </c>
      <c r="DH185" s="23">
        <f>EXP(-LN(2)/2)*DH184+(1-EXP(-LN(2)/2))/(LN(2)/2)*DB185*DE185*VLOOKUP('Données projet'!$B$13,Paramètres!$A$1:$I$89,3,0)*0.475*44/12</f>
        <v>3.9147884363143624E-23</v>
      </c>
      <c r="DI185" s="24">
        <f t="shared" si="175"/>
        <v>4.6309033069029559E-2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135.66666666666666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211.70619219850786</v>
      </c>
      <c r="T186" s="62">
        <f t="shared" si="142"/>
        <v>426.883837098247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1.9895196601282805E-13</v>
      </c>
      <c r="AJ186" s="14">
        <f>AI186*VLOOKUP('Données projet'!$B$10,Paramètres!$A$1:$I$89,3,0)*VLOOKUP('Données projet'!$B$10,Paramètres!$A$1:$I$89,5,0)</f>
        <v>1.8001173884840681E-13</v>
      </c>
      <c r="AK186" s="14">
        <f t="shared" si="164"/>
        <v>2.5254331426407198E-12</v>
      </c>
      <c r="AL186" s="22">
        <f t="shared" si="165"/>
        <v>4.7119831685935622E-12</v>
      </c>
      <c r="AM186" s="62">
        <f t="shared" si="113"/>
        <v>287.66798067964305</v>
      </c>
      <c r="AN186" s="62">
        <f ca="1">AVERAGE(OFFSET($AM$3,0,0,'Données projet'!$E$10+1,1))-AVERAGE(OFFSET($H$3,0,0,'Données projet'!$E$10+1,1))</f>
        <v>327.07074355218322</v>
      </c>
      <c r="AO186" s="62">
        <f t="shared" si="144"/>
        <v>462.01668587029087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0.40280005368220634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0.40280005368220634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-9.9316821433603781E-14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378.51861272969165</v>
      </c>
      <c r="BJ186" s="62">
        <f t="shared" si="146"/>
        <v>387.42368617035459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0.20580335025949206</v>
      </c>
      <c r="BR186" s="23">
        <f>EXP(-LN(2)/2)*BR185+(1-EXP(-LN(2)/2))/(LN(2)/2)*BL186*BO186*VLOOKUP('Données projet'!$B$11,Paramètres!$A$1:$I$89,3,0)*0.475*44/12</f>
        <v>1.6793377000812398E-22</v>
      </c>
      <c r="BS186" s="24">
        <f t="shared" si="169"/>
        <v>0.20580335025949206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5.6843418860808015E-14</v>
      </c>
      <c r="BZ186" s="14">
        <f>BY186*VLOOKUP('Données projet'!$B$12,Paramètres!$A$1:$I$89,3,0)*VLOOKUP('Données projet'!$B$12,Paramètres!$A$1:$I$89,5,0)</f>
        <v>3.3992364478763198E-14</v>
      </c>
      <c r="CA186" s="14">
        <f t="shared" si="170"/>
        <v>5.790027782444094E-13</v>
      </c>
      <c r="CB186" s="22">
        <f t="shared" si="171"/>
        <v>1.0676332069095257E-12</v>
      </c>
      <c r="CC186" s="62">
        <f t="shared" si="119"/>
        <v>287.66798067963941</v>
      </c>
      <c r="CD186" s="62">
        <f ca="1">AVERAGE(OFFSET($CC$3,0,0,'Données projet'!$E$12+1,1))-AVERAGE(OFFSET($H$3,0,0,'Données projet'!$E$12+1,1))</f>
        <v>225.71928466161592</v>
      </c>
      <c r="CE186" s="62">
        <f t="shared" si="148"/>
        <v>385.98818770742025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5.2850132334373523</v>
      </c>
      <c r="CL186" s="23">
        <f>EXP(-LN(2)/25)*CL185+(1-EXP(-LN(2)/25))/(LN(2)/25)*Calculateur!CG186*Calculateur!CI186*VLOOKUP('Données projet'!$B$12,Paramètres!$A$1:$I$89,3,0)*0.475*44/12</f>
        <v>4.8066541964651717E-2</v>
      </c>
      <c r="CM186" s="23">
        <f>EXP(-LN(2)/2)*CM185+(1-EXP(-LN(2)/2))/(LN(2)/2)*CG186*CJ186*VLOOKUP('Données projet'!$B$12,Paramètres!$A$1:$I$89,3,0)*0.475*44/12</f>
        <v>1.0308540509374613E-20</v>
      </c>
      <c r="CN186" s="24">
        <f t="shared" si="172"/>
        <v>5.3330797754020036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499.92116338695428</v>
      </c>
      <c r="CZ186" s="62">
        <f t="shared" si="150"/>
        <v>316.79403154855652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4.5042710124470739E-2</v>
      </c>
      <c r="DH186" s="23">
        <f>EXP(-LN(2)/2)*DH185+(1-EXP(-LN(2)/2))/(LN(2)/2)*DB186*DE186*VLOOKUP('Données projet'!$B$13,Paramètres!$A$1:$I$89,3,0)*0.475*44/12</f>
        <v>2.7681734502285663E-23</v>
      </c>
      <c r="DI186" s="24">
        <f t="shared" si="175"/>
        <v>4.5042710124470739E-2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135.66666666666666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211.70619219850786</v>
      </c>
      <c r="T187" s="62">
        <f t="shared" si="142"/>
        <v>426.883837098247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1.9895196601282805E-13</v>
      </c>
      <c r="AJ187" s="14">
        <f>AI187*VLOOKUP('Données projet'!$B$10,Paramètres!$A$1:$I$89,3,0)*VLOOKUP('Données projet'!$B$10,Paramètres!$A$1:$I$89,5,0)</f>
        <v>1.8001173884840681E-13</v>
      </c>
      <c r="AK187" s="14">
        <f t="shared" si="164"/>
        <v>2.5254331426407198E-12</v>
      </c>
      <c r="AL187" s="22">
        <f t="shared" si="165"/>
        <v>4.7119831685935622E-12</v>
      </c>
      <c r="AM187" s="62">
        <f t="shared" si="113"/>
        <v>287.76626188235355</v>
      </c>
      <c r="AN187" s="62">
        <f ca="1">AVERAGE(OFFSET($AM$3,0,0,'Données projet'!$E$10+1,1))-AVERAGE(OFFSET($H$3,0,0,'Données projet'!$E$10+1,1))</f>
        <v>327.07074355218322</v>
      </c>
      <c r="AO187" s="62">
        <f t="shared" si="144"/>
        <v>462.01668587029087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0.39490139031327176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0.39490139031327176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-9.9316821433603781E-14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378.51861272969165</v>
      </c>
      <c r="BJ187" s="62">
        <f t="shared" si="146"/>
        <v>387.42368617035459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0.20017564682391842</v>
      </c>
      <c r="BR187" s="23">
        <f>EXP(-LN(2)/2)*BR186+(1-EXP(-LN(2)/2))/(LN(2)/2)*BL187*BO187*VLOOKUP('Données projet'!$B$11,Paramètres!$A$1:$I$89,3,0)*0.475*44/12</f>
        <v>1.1874710756296652E-22</v>
      </c>
      <c r="BS187" s="24">
        <f t="shared" si="169"/>
        <v>0.20017564682391842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5.6843418860808015E-14</v>
      </c>
      <c r="BZ187" s="14">
        <f>BY187*VLOOKUP('Données projet'!$B$12,Paramètres!$A$1:$I$89,3,0)*VLOOKUP('Données projet'!$B$12,Paramètres!$A$1:$I$89,5,0)</f>
        <v>3.3992364478763198E-14</v>
      </c>
      <c r="CA187" s="14">
        <f t="shared" si="170"/>
        <v>5.790027782444094E-13</v>
      </c>
      <c r="CB187" s="22">
        <f t="shared" si="171"/>
        <v>1.0676332069095257E-12</v>
      </c>
      <c r="CC187" s="62">
        <f t="shared" si="119"/>
        <v>287.76626188234991</v>
      </c>
      <c r="CD187" s="62">
        <f ca="1">AVERAGE(OFFSET($CC$3,0,0,'Données projet'!$E$12+1,1))-AVERAGE(OFFSET($H$3,0,0,'Données projet'!$E$12+1,1))</f>
        <v>225.71928466161592</v>
      </c>
      <c r="CE187" s="62">
        <f t="shared" si="148"/>
        <v>385.98818770742025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5.1813773474694198</v>
      </c>
      <c r="CL187" s="23">
        <f>EXP(-LN(2)/25)*CL186+(1-EXP(-LN(2)/25))/(LN(2)/25)*Calculateur!CG187*Calculateur!CI187*VLOOKUP('Données projet'!$B$12,Paramètres!$A$1:$I$89,3,0)*0.475*44/12</f>
        <v>4.6752159846918731E-2</v>
      </c>
      <c r="CM187" s="23">
        <f>EXP(-LN(2)/2)*CM186+(1-EXP(-LN(2)/2))/(LN(2)/2)*CG187*CJ187*VLOOKUP('Données projet'!$B$12,Paramètres!$A$1:$I$89,3,0)*0.475*44/12</f>
        <v>7.2892388983150153E-21</v>
      </c>
      <c r="CN187" s="24">
        <f t="shared" si="172"/>
        <v>5.2281295073163383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499.92116338695428</v>
      </c>
      <c r="CZ187" s="62">
        <f t="shared" si="150"/>
        <v>316.79403154855652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4.3811014847423911E-2</v>
      </c>
      <c r="DH187" s="23">
        <f>EXP(-LN(2)/2)*DH186+(1-EXP(-LN(2)/2))/(LN(2)/2)*DB187*DE187*VLOOKUP('Données projet'!$B$13,Paramètres!$A$1:$I$89,3,0)*0.475*44/12</f>
        <v>1.9573942181571812E-23</v>
      </c>
      <c r="DI187" s="24">
        <f t="shared" si="175"/>
        <v>4.3811014847423911E-2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135.66666666666666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211.70619219850786</v>
      </c>
      <c r="T188" s="62">
        <f t="shared" si="142"/>
        <v>426.883837098247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1.9895196601282805E-13</v>
      </c>
      <c r="AJ188" s="14">
        <f>AI188*VLOOKUP('Données projet'!$B$10,Paramètres!$A$1:$I$89,3,0)*VLOOKUP('Données projet'!$B$10,Paramètres!$A$1:$I$89,5,0)</f>
        <v>1.8001173884840681E-13</v>
      </c>
      <c r="AK188" s="14">
        <f t="shared" si="164"/>
        <v>2.5254331426407198E-12</v>
      </c>
      <c r="AL188" s="22">
        <f t="shared" si="165"/>
        <v>4.7119831685935622E-12</v>
      </c>
      <c r="AM188" s="62">
        <f t="shared" si="113"/>
        <v>287.86283812592097</v>
      </c>
      <c r="AN188" s="62">
        <f ca="1">AVERAGE(OFFSET($AM$3,0,0,'Données projet'!$E$10+1,1))-AVERAGE(OFFSET($H$3,0,0,'Données projet'!$E$10+1,1))</f>
        <v>327.07074355218322</v>
      </c>
      <c r="AO188" s="62">
        <f t="shared" si="144"/>
        <v>462.01668587029087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0.38715761491529305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0.38715761491529305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-9.9316821433603781E-14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378.51861272969165</v>
      </c>
      <c r="BJ188" s="62">
        <f t="shared" si="146"/>
        <v>387.42368617035459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0.19470183323473861</v>
      </c>
      <c r="BR188" s="23">
        <f>EXP(-LN(2)/2)*BR187+(1-EXP(-LN(2)/2))/(LN(2)/2)*BL188*BO188*VLOOKUP('Données projet'!$B$11,Paramètres!$A$1:$I$89,3,0)*0.475*44/12</f>
        <v>8.3966885004061991E-23</v>
      </c>
      <c r="BS188" s="24">
        <f t="shared" si="169"/>
        <v>0.19470183323473861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5.6843418860808015E-14</v>
      </c>
      <c r="BZ188" s="14">
        <f>BY188*VLOOKUP('Données projet'!$B$12,Paramètres!$A$1:$I$89,3,0)*VLOOKUP('Données projet'!$B$12,Paramètres!$A$1:$I$89,5,0)</f>
        <v>3.3992364478763198E-14</v>
      </c>
      <c r="CA188" s="14">
        <f t="shared" si="170"/>
        <v>5.790027782444094E-13</v>
      </c>
      <c r="CB188" s="22">
        <f t="shared" si="171"/>
        <v>1.0676332069095257E-12</v>
      </c>
      <c r="CC188" s="62">
        <f t="shared" si="119"/>
        <v>287.86283812591734</v>
      </c>
      <c r="CD188" s="62">
        <f ca="1">AVERAGE(OFFSET($CC$3,0,0,'Données projet'!$E$12+1,1))-AVERAGE(OFFSET($H$3,0,0,'Données projet'!$E$12+1,1))</f>
        <v>225.71928466161592</v>
      </c>
      <c r="CE188" s="62">
        <f t="shared" si="148"/>
        <v>385.98818770742025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5.0797736980136703</v>
      </c>
      <c r="CL188" s="23">
        <f>EXP(-LN(2)/25)*CL187+(1-EXP(-LN(2)/25))/(LN(2)/25)*Calculateur!CG188*Calculateur!CI188*VLOOKUP('Données projet'!$B$12,Paramètres!$A$1:$I$89,3,0)*0.475*44/12</f>
        <v>4.5473719577315504E-2</v>
      </c>
      <c r="CM188" s="23">
        <f>EXP(-LN(2)/2)*CM187+(1-EXP(-LN(2)/2))/(LN(2)/2)*CG188*CJ188*VLOOKUP('Données projet'!$B$12,Paramètres!$A$1:$I$89,3,0)*0.475*44/12</f>
        <v>5.1542702546873063E-21</v>
      </c>
      <c r="CN188" s="24">
        <f t="shared" si="172"/>
        <v>5.1252474175909857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499.92116338695428</v>
      </c>
      <c r="CZ188" s="62">
        <f t="shared" si="150"/>
        <v>316.79403154855652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4.2613000342499964E-2</v>
      </c>
      <c r="DH188" s="23">
        <f>EXP(-LN(2)/2)*DH187+(1-EXP(-LN(2)/2))/(LN(2)/2)*DB188*DE188*VLOOKUP('Données projet'!$B$13,Paramètres!$A$1:$I$89,3,0)*0.475*44/12</f>
        <v>1.3840867251142832E-23</v>
      </c>
      <c r="DI188" s="24">
        <f t="shared" si="175"/>
        <v>4.2613000342499964E-2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135.66666666666666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211.70619219850786</v>
      </c>
      <c r="T189" s="62">
        <f t="shared" si="142"/>
        <v>426.883837098247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1.9895196601282805E-13</v>
      </c>
      <c r="AJ189" s="14">
        <f>AI189*VLOOKUP('Données projet'!$B$10,Paramètres!$A$1:$I$89,3,0)*VLOOKUP('Données projet'!$B$10,Paramètres!$A$1:$I$89,5,0)</f>
        <v>1.8001173884840681E-13</v>
      </c>
      <c r="AK189" s="14">
        <f t="shared" si="164"/>
        <v>2.5254331426407198E-12</v>
      </c>
      <c r="AL189" s="22">
        <f t="shared" si="165"/>
        <v>4.7119831685935622E-12</v>
      </c>
      <c r="AM189" s="62">
        <f t="shared" si="113"/>
        <v>287.95773898757454</v>
      </c>
      <c r="AN189" s="62">
        <f ca="1">AVERAGE(OFFSET($AM$3,0,0,'Données projet'!$E$10+1,1))-AVERAGE(OFFSET($H$3,0,0,'Données projet'!$E$10+1,1))</f>
        <v>327.07074355218322</v>
      </c>
      <c r="AO189" s="62">
        <f t="shared" si="144"/>
        <v>462.01668587029087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0.3795656902296321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0.3795656902296321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-9.9316821433603781E-14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378.51861272969165</v>
      </c>
      <c r="BJ189" s="62">
        <f t="shared" si="146"/>
        <v>387.42368617035459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0.18937770136601026</v>
      </c>
      <c r="BR189" s="23">
        <f>EXP(-LN(2)/2)*BR188+(1-EXP(-LN(2)/2))/(LN(2)/2)*BL189*BO189*VLOOKUP('Données projet'!$B$11,Paramètres!$A$1:$I$89,3,0)*0.475*44/12</f>
        <v>5.937355378148326E-23</v>
      </c>
      <c r="BS189" s="24">
        <f t="shared" si="169"/>
        <v>0.18937770136601026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5.6843418860808015E-14</v>
      </c>
      <c r="BZ189" s="14">
        <f>BY189*VLOOKUP('Données projet'!$B$12,Paramètres!$A$1:$I$89,3,0)*VLOOKUP('Données projet'!$B$12,Paramètres!$A$1:$I$89,5,0)</f>
        <v>3.3992364478763198E-14</v>
      </c>
      <c r="CA189" s="14">
        <f t="shared" si="170"/>
        <v>5.790027782444094E-13</v>
      </c>
      <c r="CB189" s="22">
        <f t="shared" si="171"/>
        <v>1.0676332069095257E-12</v>
      </c>
      <c r="CC189" s="62">
        <f t="shared" si="119"/>
        <v>287.95773898757091</v>
      </c>
      <c r="CD189" s="62">
        <f ca="1">AVERAGE(OFFSET($CC$3,0,0,'Données projet'!$E$12+1,1))-AVERAGE(OFFSET($H$3,0,0,'Données projet'!$E$12+1,1))</f>
        <v>225.71928466161592</v>
      </c>
      <c r="CE189" s="62">
        <f t="shared" si="148"/>
        <v>385.98818770742025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4.9801624341516408</v>
      </c>
      <c r="CL189" s="23">
        <f>EXP(-LN(2)/25)*CL188+(1-EXP(-LN(2)/25))/(LN(2)/25)*Calculateur!CG189*Calculateur!CI189*VLOOKUP('Données projet'!$B$12,Paramètres!$A$1:$I$89,3,0)*0.475*44/12</f>
        <v>4.423023832411483E-2</v>
      </c>
      <c r="CM189" s="23">
        <f>EXP(-LN(2)/2)*CM188+(1-EXP(-LN(2)/2))/(LN(2)/2)*CG189*CJ189*VLOOKUP('Données projet'!$B$12,Paramètres!$A$1:$I$89,3,0)*0.475*44/12</f>
        <v>3.6446194491575077E-21</v>
      </c>
      <c r="CN189" s="24">
        <f t="shared" si="172"/>
        <v>5.0243926724757557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499.92116338695428</v>
      </c>
      <c r="CZ189" s="62">
        <f t="shared" si="150"/>
        <v>316.79403154855652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4.1447745607214009E-2</v>
      </c>
      <c r="DH189" s="23">
        <f>EXP(-LN(2)/2)*DH188+(1-EXP(-LN(2)/2))/(LN(2)/2)*DB189*DE189*VLOOKUP('Données projet'!$B$13,Paramètres!$A$1:$I$89,3,0)*0.475*44/12</f>
        <v>9.786971090785906E-24</v>
      </c>
      <c r="DI189" s="24">
        <f t="shared" si="175"/>
        <v>4.1447745607214009E-2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135.66666666666666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211.70619219850786</v>
      </c>
      <c r="T190" s="62">
        <f t="shared" si="142"/>
        <v>426.883837098247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1.9895196601282805E-13</v>
      </c>
      <c r="AJ190" s="14">
        <f>AI190*VLOOKUP('Données projet'!$B$10,Paramètres!$A$1:$I$89,3,0)*VLOOKUP('Données projet'!$B$10,Paramètres!$A$1:$I$89,5,0)</f>
        <v>1.8001173884840681E-13</v>
      </c>
      <c r="AK190" s="14">
        <f t="shared" si="164"/>
        <v>2.5254331426407198E-12</v>
      </c>
      <c r="AL190" s="22">
        <f t="shared" si="165"/>
        <v>4.7119831685935622E-12</v>
      </c>
      <c r="AM190" s="62">
        <f t="shared" si="113"/>
        <v>288.0509935314451</v>
      </c>
      <c r="AN190" s="62">
        <f ca="1">AVERAGE(OFFSET($AM$3,0,0,'Données projet'!$E$10+1,1))-AVERAGE(OFFSET($H$3,0,0,'Données projet'!$E$10+1,1))</f>
        <v>327.07074355218322</v>
      </c>
      <c r="AO190" s="62">
        <f t="shared" si="144"/>
        <v>462.01668587029087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0.37212263855644012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0.37212263855644012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-9.9316821433603781E-14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378.51861272969165</v>
      </c>
      <c r="BJ190" s="62">
        <f t="shared" si="146"/>
        <v>387.42368617035459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0.18419915816321622</v>
      </c>
      <c r="BR190" s="23">
        <f>EXP(-LN(2)/2)*BR189+(1-EXP(-LN(2)/2))/(LN(2)/2)*BL190*BO190*VLOOKUP('Données projet'!$B$11,Paramètres!$A$1:$I$89,3,0)*0.475*44/12</f>
        <v>4.1983442502030996E-23</v>
      </c>
      <c r="BS190" s="24">
        <f t="shared" si="169"/>
        <v>0.18419915816321622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5.6843418860808015E-14</v>
      </c>
      <c r="BZ190" s="14">
        <f>BY190*VLOOKUP('Données projet'!$B$12,Paramètres!$A$1:$I$89,3,0)*VLOOKUP('Données projet'!$B$12,Paramètres!$A$1:$I$89,5,0)</f>
        <v>3.3992364478763198E-14</v>
      </c>
      <c r="CA190" s="14">
        <f t="shared" si="170"/>
        <v>5.790027782444094E-13</v>
      </c>
      <c r="CB190" s="22">
        <f t="shared" si="171"/>
        <v>1.0676332069095257E-12</v>
      </c>
      <c r="CC190" s="62">
        <f t="shared" si="119"/>
        <v>288.05099353144146</v>
      </c>
      <c r="CD190" s="62">
        <f ca="1">AVERAGE(OFFSET($CC$3,0,0,'Données projet'!$E$12+1,1))-AVERAGE(OFFSET($H$3,0,0,'Données projet'!$E$12+1,1))</f>
        <v>225.71928466161592</v>
      </c>
      <c r="CE190" s="62">
        <f t="shared" si="148"/>
        <v>385.98818770742025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4.8825044864170737</v>
      </c>
      <c r="CL190" s="23">
        <f>EXP(-LN(2)/25)*CL189+(1-EXP(-LN(2)/25))/(LN(2)/25)*Calculateur!CG190*Calculateur!CI190*VLOOKUP('Données projet'!$B$12,Paramètres!$A$1:$I$89,3,0)*0.475*44/12</f>
        <v>4.3020760131174764E-2</v>
      </c>
      <c r="CM190" s="23">
        <f>EXP(-LN(2)/2)*CM189+(1-EXP(-LN(2)/2))/(LN(2)/2)*CG190*CJ190*VLOOKUP('Données projet'!$B$12,Paramètres!$A$1:$I$89,3,0)*0.475*44/12</f>
        <v>2.5771351273436531E-21</v>
      </c>
      <c r="CN190" s="24">
        <f t="shared" si="172"/>
        <v>4.9255252465482489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499.92116338695428</v>
      </c>
      <c r="CZ190" s="62">
        <f t="shared" si="150"/>
        <v>316.79403154855652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4.0314354823942529E-2</v>
      </c>
      <c r="DH190" s="23">
        <f>EXP(-LN(2)/2)*DH189+(1-EXP(-LN(2)/2))/(LN(2)/2)*DB190*DE190*VLOOKUP('Données projet'!$B$13,Paramètres!$A$1:$I$89,3,0)*0.475*44/12</f>
        <v>6.9204336255714159E-24</v>
      </c>
      <c r="DI190" s="24">
        <f t="shared" si="175"/>
        <v>4.0314354823942529E-2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135.66666666666666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211.70619219850786</v>
      </c>
      <c r="T191" s="62">
        <f t="shared" si="142"/>
        <v>426.883837098247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1.9895196601282805E-13</v>
      </c>
      <c r="AJ191" s="14">
        <f>AI191*VLOOKUP('Données projet'!$B$10,Paramètres!$A$1:$I$89,3,0)*VLOOKUP('Données projet'!$B$10,Paramètres!$A$1:$I$89,5,0)</f>
        <v>1.8001173884840681E-13</v>
      </c>
      <c r="AK191" s="14">
        <f t="shared" si="164"/>
        <v>2.5254331426407198E-12</v>
      </c>
      <c r="AL191" s="22">
        <f t="shared" si="165"/>
        <v>4.7119831685935622E-12</v>
      </c>
      <c r="AM191" s="62">
        <f t="shared" si="113"/>
        <v>288.14263031746532</v>
      </c>
      <c r="AN191" s="62">
        <f ca="1">AVERAGE(OFFSET($AM$3,0,0,'Données projet'!$E$10+1,1))-AVERAGE(OFFSET($H$3,0,0,'Données projet'!$E$10+1,1))</f>
        <v>327.07074355218322</v>
      </c>
      <c r="AO191" s="62">
        <f t="shared" si="144"/>
        <v>462.01668587029087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0.36482554058674621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0.36482554058674621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-9.9316821433603781E-14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378.51861272969165</v>
      </c>
      <c r="BJ191" s="62">
        <f t="shared" si="146"/>
        <v>387.42368617035459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0.17916222249663033</v>
      </c>
      <c r="BR191" s="23">
        <f>EXP(-LN(2)/2)*BR190+(1-EXP(-LN(2)/2))/(LN(2)/2)*BL191*BO191*VLOOKUP('Données projet'!$B$11,Paramètres!$A$1:$I$89,3,0)*0.475*44/12</f>
        <v>2.968677689074163E-23</v>
      </c>
      <c r="BS191" s="24">
        <f t="shared" si="169"/>
        <v>0.17916222249663033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5.6843418860808015E-14</v>
      </c>
      <c r="BZ191" s="14">
        <f>BY191*VLOOKUP('Données projet'!$B$12,Paramètres!$A$1:$I$89,3,0)*VLOOKUP('Données projet'!$B$12,Paramètres!$A$1:$I$89,5,0)</f>
        <v>3.3992364478763198E-14</v>
      </c>
      <c r="CA191" s="14">
        <f t="shared" si="170"/>
        <v>5.790027782444094E-13</v>
      </c>
      <c r="CB191" s="22">
        <f t="shared" si="171"/>
        <v>1.0676332069095257E-12</v>
      </c>
      <c r="CC191" s="62">
        <f t="shared" si="119"/>
        <v>288.14263031746168</v>
      </c>
      <c r="CD191" s="62">
        <f ca="1">AVERAGE(OFFSET($CC$3,0,0,'Données projet'!$E$12+1,1))-AVERAGE(OFFSET($H$3,0,0,'Données projet'!$E$12+1,1))</f>
        <v>225.71928466161592</v>
      </c>
      <c r="CE191" s="62">
        <f t="shared" si="148"/>
        <v>385.98818770742025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4.7867615514721154</v>
      </c>
      <c r="CL191" s="23">
        <f>EXP(-LN(2)/25)*CL190+(1-EXP(-LN(2)/25))/(LN(2)/25)*Calculateur!CG191*Calculateur!CI191*VLOOKUP('Données projet'!$B$12,Paramètres!$A$1:$I$89,3,0)*0.475*44/12</f>
        <v>4.1844355183024338E-2</v>
      </c>
      <c r="CM191" s="23">
        <f>EXP(-LN(2)/2)*CM190+(1-EXP(-LN(2)/2))/(LN(2)/2)*CG191*CJ191*VLOOKUP('Données projet'!$B$12,Paramètres!$A$1:$I$89,3,0)*0.475*44/12</f>
        <v>1.8223097245787538E-21</v>
      </c>
      <c r="CN191" s="24">
        <f t="shared" si="172"/>
        <v>4.8286059066551399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499.92116338695428</v>
      </c>
      <c r="CZ191" s="62">
        <f t="shared" si="150"/>
        <v>316.79403154855652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3.921195667124204E-2</v>
      </c>
      <c r="DH191" s="23">
        <f>EXP(-LN(2)/2)*DH190+(1-EXP(-LN(2)/2))/(LN(2)/2)*DB191*DE191*VLOOKUP('Données projet'!$B$13,Paramètres!$A$1:$I$89,3,0)*0.475*44/12</f>
        <v>4.893485545392953E-24</v>
      </c>
      <c r="DI191" s="24">
        <f t="shared" si="175"/>
        <v>3.921195667124204E-2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135.66666666666666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211.70619219850786</v>
      </c>
      <c r="T192" s="62">
        <f t="shared" si="142"/>
        <v>426.883837098247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1.9895196601282805E-13</v>
      </c>
      <c r="AJ192" s="14">
        <f>AI192*VLOOKUP('Données projet'!$B$10,Paramètres!$A$1:$I$89,3,0)*VLOOKUP('Données projet'!$B$10,Paramètres!$A$1:$I$89,5,0)</f>
        <v>1.8001173884840681E-13</v>
      </c>
      <c r="AK192" s="14">
        <f t="shared" si="164"/>
        <v>2.5254331426407198E-12</v>
      </c>
      <c r="AL192" s="22">
        <f t="shared" si="165"/>
        <v>4.7119831685935622E-12</v>
      </c>
      <c r="AM192" s="62">
        <f t="shared" si="113"/>
        <v>288.23267741011728</v>
      </c>
      <c r="AN192" s="62">
        <f ca="1">AVERAGE(OFFSET($AM$3,0,0,'Données projet'!$E$10+1,1))-AVERAGE(OFFSET($H$3,0,0,'Données projet'!$E$10+1,1))</f>
        <v>327.07074355218322</v>
      </c>
      <c r="AO192" s="62">
        <f t="shared" si="144"/>
        <v>462.01668587029087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0.35767153425744769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0.35767153425744769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-9.9316821433603781E-14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378.51861272969165</v>
      </c>
      <c r="BJ192" s="62">
        <f t="shared" si="146"/>
        <v>387.42368617035459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0.17426302210072817</v>
      </c>
      <c r="BR192" s="23">
        <f>EXP(-LN(2)/2)*BR191+(1-EXP(-LN(2)/2))/(LN(2)/2)*BL192*BO192*VLOOKUP('Données projet'!$B$11,Paramètres!$A$1:$I$89,3,0)*0.475*44/12</f>
        <v>2.0991721251015498E-23</v>
      </c>
      <c r="BS192" s="24">
        <f t="shared" si="169"/>
        <v>0.17426302210072817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5.6843418860808015E-14</v>
      </c>
      <c r="BZ192" s="14">
        <f>BY192*VLOOKUP('Données projet'!$B$12,Paramètres!$A$1:$I$89,3,0)*VLOOKUP('Données projet'!$B$12,Paramètres!$A$1:$I$89,5,0)</f>
        <v>3.3992364478763198E-14</v>
      </c>
      <c r="CA192" s="14">
        <f t="shared" si="170"/>
        <v>5.790027782444094E-13</v>
      </c>
      <c r="CB192" s="22">
        <f t="shared" si="171"/>
        <v>1.0676332069095257E-12</v>
      </c>
      <c r="CC192" s="62">
        <f t="shared" si="119"/>
        <v>288.23267741011364</v>
      </c>
      <c r="CD192" s="62">
        <f ca="1">AVERAGE(OFFSET($CC$3,0,0,'Données projet'!$E$12+1,1))-AVERAGE(OFFSET($H$3,0,0,'Données projet'!$E$12+1,1))</f>
        <v>225.71928466161592</v>
      </c>
      <c r="CE192" s="62">
        <f t="shared" si="148"/>
        <v>385.98818770742025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4.6928960770840034</v>
      </c>
      <c r="CL192" s="23">
        <f>EXP(-LN(2)/25)*CL191+(1-EXP(-LN(2)/25))/(LN(2)/25)*Calculateur!CG192*Calculateur!CI192*VLOOKUP('Données projet'!$B$12,Paramètres!$A$1:$I$89,3,0)*0.475*44/12</f>
        <v>4.0700119090045533E-2</v>
      </c>
      <c r="CM192" s="23">
        <f>EXP(-LN(2)/2)*CM191+(1-EXP(-LN(2)/2))/(LN(2)/2)*CG192*CJ192*VLOOKUP('Données projet'!$B$12,Paramètres!$A$1:$I$89,3,0)*0.475*44/12</f>
        <v>1.2885675636718266E-21</v>
      </c>
      <c r="CN192" s="24">
        <f t="shared" si="172"/>
        <v>4.7335961961740489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499.92116338695428</v>
      </c>
      <c r="CZ192" s="62">
        <f t="shared" si="150"/>
        <v>316.79403154855652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3.8139703653999747E-2</v>
      </c>
      <c r="DH192" s="23">
        <f>EXP(-LN(2)/2)*DH191+(1-EXP(-LN(2)/2))/(LN(2)/2)*DB192*DE192*VLOOKUP('Données projet'!$B$13,Paramètres!$A$1:$I$89,3,0)*0.475*44/12</f>
        <v>3.4602168127857079E-24</v>
      </c>
      <c r="DI192" s="24">
        <f t="shared" si="175"/>
        <v>3.8139703653999747E-2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135.66666666666666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211.70619219850786</v>
      </c>
      <c r="T193" s="62">
        <f t="shared" si="142"/>
        <v>426.883837098247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1.9895196601282805E-13</v>
      </c>
      <c r="AJ193" s="14">
        <f>AI193*VLOOKUP('Données projet'!$B$10,Paramètres!$A$1:$I$89,3,0)*VLOOKUP('Données projet'!$B$10,Paramètres!$A$1:$I$89,5,0)</f>
        <v>1.8001173884840681E-13</v>
      </c>
      <c r="AK193" s="14">
        <f t="shared" si="164"/>
        <v>2.5254331426407198E-12</v>
      </c>
      <c r="AL193" s="22">
        <f t="shared" si="165"/>
        <v>4.7119831685935622E-12</v>
      </c>
      <c r="AM193" s="62">
        <f t="shared" si="113"/>
        <v>288.32116238702685</v>
      </c>
      <c r="AN193" s="62">
        <f ca="1">AVERAGE(OFFSET($AM$3,0,0,'Données projet'!$E$10+1,1))-AVERAGE(OFFSET($H$3,0,0,'Données projet'!$E$10+1,1))</f>
        <v>327.07074355218322</v>
      </c>
      <c r="AO193" s="62">
        <f t="shared" si="144"/>
        <v>462.01668587029087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0.3506578136287537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0.3506578136287537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-9.9316821433603781E-14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378.51861272969165</v>
      </c>
      <c r="BJ193" s="62">
        <f t="shared" si="146"/>
        <v>387.42368617035459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0.1694977905972897</v>
      </c>
      <c r="BR193" s="23">
        <f>EXP(-LN(2)/2)*BR192+(1-EXP(-LN(2)/2))/(LN(2)/2)*BL193*BO193*VLOOKUP('Données projet'!$B$11,Paramètres!$A$1:$I$89,3,0)*0.475*44/12</f>
        <v>1.4843388445370815E-23</v>
      </c>
      <c r="BS193" s="24">
        <f t="shared" si="169"/>
        <v>0.1694977905972897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5.6843418860808015E-14</v>
      </c>
      <c r="BZ193" s="14">
        <f>BY193*VLOOKUP('Données projet'!$B$12,Paramètres!$A$1:$I$89,3,0)*VLOOKUP('Données projet'!$B$12,Paramètres!$A$1:$I$89,5,0)</f>
        <v>3.3992364478763198E-14</v>
      </c>
      <c r="CA193" s="14">
        <f t="shared" si="170"/>
        <v>5.790027782444094E-13</v>
      </c>
      <c r="CB193" s="22">
        <f t="shared" si="171"/>
        <v>1.0676332069095257E-12</v>
      </c>
      <c r="CC193" s="62">
        <f t="shared" si="119"/>
        <v>288.32116238702321</v>
      </c>
      <c r="CD193" s="62">
        <f ca="1">AVERAGE(OFFSET($CC$3,0,0,'Données projet'!$E$12+1,1))-AVERAGE(OFFSET($H$3,0,0,'Données projet'!$E$12+1,1))</f>
        <v>225.71928466161592</v>
      </c>
      <c r="CE193" s="62">
        <f t="shared" si="148"/>
        <v>385.98818770742025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4.6008712473963564</v>
      </c>
      <c r="CL193" s="23">
        <f>EXP(-LN(2)/25)*CL192+(1-EXP(-LN(2)/25))/(LN(2)/25)*Calculateur!CG193*Calculateur!CI193*VLOOKUP('Données projet'!$B$12,Paramètres!$A$1:$I$89,3,0)*0.475*44/12</f>
        <v>3.9587172193202E-2</v>
      </c>
      <c r="CM193" s="23">
        <f>EXP(-LN(2)/2)*CM192+(1-EXP(-LN(2)/2))/(LN(2)/2)*CG193*CJ193*VLOOKUP('Données projet'!$B$12,Paramètres!$A$1:$I$89,3,0)*0.475*44/12</f>
        <v>9.1115486228937691E-22</v>
      </c>
      <c r="CN193" s="24">
        <f t="shared" si="172"/>
        <v>4.6404584195895584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499.92116338695428</v>
      </c>
      <c r="CZ193" s="62">
        <f t="shared" si="150"/>
        <v>316.79403154855652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3.7096771451901281E-2</v>
      </c>
      <c r="DH193" s="23">
        <f>EXP(-LN(2)/2)*DH192+(1-EXP(-LN(2)/2))/(LN(2)/2)*DB193*DE193*VLOOKUP('Données projet'!$B$13,Paramètres!$A$1:$I$89,3,0)*0.475*44/12</f>
        <v>2.4467427726964765E-24</v>
      </c>
      <c r="DI193" s="24">
        <f t="shared" si="175"/>
        <v>3.7096771451901281E-2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135.66666666666666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211.70619219850786</v>
      </c>
      <c r="T194" s="62">
        <f t="shared" si="142"/>
        <v>426.883837098247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1.9895196601282805E-13</v>
      </c>
      <c r="AJ194" s="14">
        <f>AI194*VLOOKUP('Données projet'!$B$10,Paramètres!$A$1:$I$89,3,0)*VLOOKUP('Données projet'!$B$10,Paramètres!$A$1:$I$89,5,0)</f>
        <v>1.8001173884840681E-13</v>
      </c>
      <c r="AK194" s="14">
        <f t="shared" si="164"/>
        <v>2.5254331426407198E-12</v>
      </c>
      <c r="AL194" s="22">
        <f t="shared" si="165"/>
        <v>4.7119831685935622E-12</v>
      </c>
      <c r="AM194" s="62">
        <f t="shared" si="113"/>
        <v>288.40811234740983</v>
      </c>
      <c r="AN194" s="62">
        <f ca="1">AVERAGE(OFFSET($AM$3,0,0,'Données projet'!$E$10+1,1))-AVERAGE(OFFSET($H$3,0,0,'Données projet'!$E$10+1,1))</f>
        <v>327.07074355218322</v>
      </c>
      <c r="AO194" s="62">
        <f t="shared" si="144"/>
        <v>462.01668587029087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0.34378162778364124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0.34378162778364124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-9.9316821433603781E-14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378.51861272969165</v>
      </c>
      <c r="BJ194" s="62">
        <f t="shared" si="146"/>
        <v>387.42368617035459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0.1648628645999054</v>
      </c>
      <c r="BR194" s="23">
        <f>EXP(-LN(2)/2)*BR193+(1-EXP(-LN(2)/2))/(LN(2)/2)*BL194*BO194*VLOOKUP('Données projet'!$B$11,Paramètres!$A$1:$I$89,3,0)*0.475*44/12</f>
        <v>1.0495860625507749E-23</v>
      </c>
      <c r="BS194" s="24">
        <f t="shared" si="169"/>
        <v>0.1648628645999054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5.6843418860808015E-14</v>
      </c>
      <c r="BZ194" s="14">
        <f>BY194*VLOOKUP('Données projet'!$B$12,Paramètres!$A$1:$I$89,3,0)*VLOOKUP('Données projet'!$B$12,Paramètres!$A$1:$I$89,5,0)</f>
        <v>3.3992364478763198E-14</v>
      </c>
      <c r="CA194" s="14">
        <f t="shared" si="170"/>
        <v>5.790027782444094E-13</v>
      </c>
      <c r="CB194" s="22">
        <f t="shared" si="171"/>
        <v>1.0676332069095257E-12</v>
      </c>
      <c r="CC194" s="62">
        <f t="shared" si="119"/>
        <v>288.40811234740619</v>
      </c>
      <c r="CD194" s="62">
        <f ca="1">AVERAGE(OFFSET($CC$3,0,0,'Données projet'!$E$12+1,1))-AVERAGE(OFFSET($H$3,0,0,'Données projet'!$E$12+1,1))</f>
        <v>225.71928466161592</v>
      </c>
      <c r="CE194" s="62">
        <f t="shared" si="148"/>
        <v>385.98818770742025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4.5106509684892799</v>
      </c>
      <c r="CL194" s="23">
        <f>EXP(-LN(2)/25)*CL193+(1-EXP(-LN(2)/25))/(LN(2)/25)*Calculateur!CG194*Calculateur!CI194*VLOOKUP('Données projet'!$B$12,Paramètres!$A$1:$I$89,3,0)*0.475*44/12</f>
        <v>3.8504658887779986E-2</v>
      </c>
      <c r="CM194" s="23">
        <f>EXP(-LN(2)/2)*CM193+(1-EXP(-LN(2)/2))/(LN(2)/2)*CG194*CJ194*VLOOKUP('Données projet'!$B$12,Paramètres!$A$1:$I$89,3,0)*0.475*44/12</f>
        <v>6.4428378183591328E-22</v>
      </c>
      <c r="CN194" s="24">
        <f t="shared" si="172"/>
        <v>4.5491556273770595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499.92116338695428</v>
      </c>
      <c r="CZ194" s="62">
        <f t="shared" si="150"/>
        <v>316.79403154855652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3.6082358285714614E-2</v>
      </c>
      <c r="DH194" s="23">
        <f>EXP(-LN(2)/2)*DH193+(1-EXP(-LN(2)/2))/(LN(2)/2)*DB194*DE194*VLOOKUP('Données projet'!$B$13,Paramètres!$A$1:$I$89,3,0)*0.475*44/12</f>
        <v>1.730108406392854E-24</v>
      </c>
      <c r="DI194" s="24">
        <f t="shared" si="175"/>
        <v>3.6082358285714614E-2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135.66666666666666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211.70619219850786</v>
      </c>
      <c r="T195" s="62">
        <f t="shared" si="142"/>
        <v>426.883837098247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1.9895196601282805E-13</v>
      </c>
      <c r="AJ195" s="14">
        <f>AI195*VLOOKUP('Données projet'!$B$10,Paramètres!$A$1:$I$89,3,0)*VLOOKUP('Données projet'!$B$10,Paramètres!$A$1:$I$89,5,0)</f>
        <v>1.8001173884840681E-13</v>
      </c>
      <c r="AK195" s="14">
        <f t="shared" si="164"/>
        <v>2.5254331426407198E-12</v>
      </c>
      <c r="AL195" s="22">
        <f t="shared" si="165"/>
        <v>4.7119831685935622E-12</v>
      </c>
      <c r="AM195" s="62">
        <f t="shared" si="113"/>
        <v>288.49355392037114</v>
      </c>
      <c r="AN195" s="62">
        <f ca="1">AVERAGE(OFFSET($AM$3,0,0,'Données projet'!$E$10+1,1))-AVERAGE(OFFSET($H$3,0,0,'Données projet'!$E$10+1,1))</f>
        <v>327.07074355218322</v>
      </c>
      <c r="AO195" s="62">
        <f t="shared" si="144"/>
        <v>462.01668587029087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0.33704027974889222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0.33704027974889222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-9.9316821433603781E-14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378.51861272969165</v>
      </c>
      <c r="BJ195" s="62">
        <f t="shared" si="146"/>
        <v>387.42368617035459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0.16035468089765975</v>
      </c>
      <c r="BR195" s="23">
        <f>EXP(-LN(2)/2)*BR194+(1-EXP(-LN(2)/2))/(LN(2)/2)*BL195*BO195*VLOOKUP('Données projet'!$B$11,Paramètres!$A$1:$I$89,3,0)*0.475*44/12</f>
        <v>7.4216942226854075E-24</v>
      </c>
      <c r="BS195" s="24">
        <f t="shared" si="169"/>
        <v>0.16035468089765975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5.6843418860808015E-14</v>
      </c>
      <c r="BZ195" s="14">
        <f>BY195*VLOOKUP('Données projet'!$B$12,Paramètres!$A$1:$I$89,3,0)*VLOOKUP('Données projet'!$B$12,Paramètres!$A$1:$I$89,5,0)</f>
        <v>3.3992364478763198E-14</v>
      </c>
      <c r="CA195" s="14">
        <f t="shared" si="170"/>
        <v>5.790027782444094E-13</v>
      </c>
      <c r="CB195" s="22">
        <f t="shared" si="171"/>
        <v>1.0676332069095257E-12</v>
      </c>
      <c r="CC195" s="62">
        <f t="shared" si="119"/>
        <v>288.4935539203675</v>
      </c>
      <c r="CD195" s="62">
        <f ca="1">AVERAGE(OFFSET($CC$3,0,0,'Données projet'!$E$12+1,1))-AVERAGE(OFFSET($H$3,0,0,'Données projet'!$E$12+1,1))</f>
        <v>225.71928466161592</v>
      </c>
      <c r="CE195" s="62">
        <f t="shared" si="148"/>
        <v>385.98818770742025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4.4221998542226348</v>
      </c>
      <c r="CL195" s="23">
        <f>EXP(-LN(2)/25)*CL194+(1-EXP(-LN(2)/25))/(LN(2)/25)*Calculateur!CG195*Calculateur!CI195*VLOOKUP('Données projet'!$B$12,Paramètres!$A$1:$I$89,3,0)*0.475*44/12</f>
        <v>3.7451746965621632E-2</v>
      </c>
      <c r="CM195" s="23">
        <f>EXP(-LN(2)/2)*CM194+(1-EXP(-LN(2)/2))/(LN(2)/2)*CG195*CJ195*VLOOKUP('Données projet'!$B$12,Paramètres!$A$1:$I$89,3,0)*0.475*44/12</f>
        <v>4.5557743114468846E-22</v>
      </c>
      <c r="CN195" s="24">
        <f t="shared" si="172"/>
        <v>4.4596516011882565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499.92116338695428</v>
      </c>
      <c r="CZ195" s="62">
        <f t="shared" si="150"/>
        <v>316.79403154855652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3.5095684300902992E-2</v>
      </c>
      <c r="DH195" s="23">
        <f>EXP(-LN(2)/2)*DH194+(1-EXP(-LN(2)/2))/(LN(2)/2)*DB195*DE195*VLOOKUP('Données projet'!$B$13,Paramètres!$A$1:$I$89,3,0)*0.475*44/12</f>
        <v>1.2233713863482382E-24</v>
      </c>
      <c r="DI195" s="24">
        <f t="shared" si="175"/>
        <v>3.5095684300902992E-2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135.66666666666666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211.70619219850786</v>
      </c>
      <c r="T196" s="62">
        <f t="shared" si="142"/>
        <v>426.883837098247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1.9895196601282805E-13</v>
      </c>
      <c r="AJ196" s="14">
        <f>AI196*VLOOKUP('Données projet'!$B$10,Paramètres!$A$1:$I$89,3,0)*VLOOKUP('Données projet'!$B$10,Paramètres!$A$1:$I$89,5,0)</f>
        <v>1.8001173884840681E-13</v>
      </c>
      <c r="AK196" s="14">
        <f t="shared" si="164"/>
        <v>2.5254331426407198E-12</v>
      </c>
      <c r="AL196" s="22">
        <f t="shared" si="165"/>
        <v>4.7119831685935622E-12</v>
      </c>
      <c r="AM196" s="62">
        <f t="shared" ref="AM196:AM203" si="193">AL196+(AD196+AE196)*44/12</f>
        <v>288.57751327306033</v>
      </c>
      <c r="AN196" s="62">
        <f ca="1">AVERAGE(OFFSET($AM$3,0,0,'Données projet'!$E$10+1,1))-AVERAGE(OFFSET($H$3,0,0,'Données projet'!$E$10+1,1))</f>
        <v>327.07074355218322</v>
      </c>
      <c r="AO196" s="62">
        <f t="shared" si="144"/>
        <v>462.01668587029087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0.33043112543728831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0.33043112543728831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-9.9316821433603781E-14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378.51861272969165</v>
      </c>
      <c r="BJ196" s="62">
        <f t="shared" si="146"/>
        <v>387.42368617035459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0.15596977371582707</v>
      </c>
      <c r="BR196" s="23">
        <f>EXP(-LN(2)/2)*BR195+(1-EXP(-LN(2)/2))/(LN(2)/2)*BL196*BO196*VLOOKUP('Données projet'!$B$11,Paramètres!$A$1:$I$89,3,0)*0.475*44/12</f>
        <v>5.2479303127538744E-24</v>
      </c>
      <c r="BS196" s="24">
        <f t="shared" si="169"/>
        <v>0.15596977371582707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5.6843418860808015E-14</v>
      </c>
      <c r="BZ196" s="14">
        <f>BY196*VLOOKUP('Données projet'!$B$12,Paramètres!$A$1:$I$89,3,0)*VLOOKUP('Données projet'!$B$12,Paramètres!$A$1:$I$89,5,0)</f>
        <v>3.3992364478763198E-14</v>
      </c>
      <c r="CA196" s="14">
        <f t="shared" si="170"/>
        <v>5.790027782444094E-13</v>
      </c>
      <c r="CB196" s="22">
        <f t="shared" si="171"/>
        <v>1.0676332069095257E-12</v>
      </c>
      <c r="CC196" s="62">
        <f t="shared" ref="CC196:CC203" si="195">CB196+(BT196+BU196)*44/12</f>
        <v>288.5775132730567</v>
      </c>
      <c r="CD196" s="62">
        <f ca="1">AVERAGE(OFFSET($CC$3,0,0,'Données projet'!$E$12+1,1))-AVERAGE(OFFSET($H$3,0,0,'Données projet'!$E$12+1,1))</f>
        <v>225.71928466161592</v>
      </c>
      <c r="CE196" s="62">
        <f t="shared" si="148"/>
        <v>385.98818770742025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4.3354832123569063</v>
      </c>
      <c r="CL196" s="23">
        <f>EXP(-LN(2)/25)*CL195+(1-EXP(-LN(2)/25))/(LN(2)/25)*Calculateur!CG196*Calculateur!CI196*VLOOKUP('Données projet'!$B$12,Paramètres!$A$1:$I$89,3,0)*0.475*44/12</f>
        <v>3.6427626975344934E-2</v>
      </c>
      <c r="CM196" s="23">
        <f>EXP(-LN(2)/2)*CM195+(1-EXP(-LN(2)/2))/(LN(2)/2)*CG196*CJ196*VLOOKUP('Données projet'!$B$12,Paramètres!$A$1:$I$89,3,0)*0.475*44/12</f>
        <v>3.2214189091795664E-22</v>
      </c>
      <c r="CN196" s="24">
        <f t="shared" si="172"/>
        <v>4.3719108393322514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499.92116338695428</v>
      </c>
      <c r="CZ196" s="62">
        <f t="shared" si="150"/>
        <v>316.79403154855652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3.4135990968092972E-2</v>
      </c>
      <c r="DH196" s="23">
        <f>EXP(-LN(2)/2)*DH195+(1-EXP(-LN(2)/2))/(LN(2)/2)*DB196*DE196*VLOOKUP('Données projet'!$B$13,Paramètres!$A$1:$I$89,3,0)*0.475*44/12</f>
        <v>8.6505420319642698E-25</v>
      </c>
      <c r="DI196" s="24">
        <f t="shared" si="175"/>
        <v>3.4135990968092972E-2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135.66666666666666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211.70619219850786</v>
      </c>
      <c r="T197" s="62">
        <f t="shared" ref="T197:T203" si="204">$T$3</f>
        <v>426.883837098247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1.9895196601282805E-13</v>
      </c>
      <c r="AJ197" s="14">
        <f>AI197*VLOOKUP('Données projet'!$B$10,Paramètres!$A$1:$I$89,3,0)*VLOOKUP('Données projet'!$B$10,Paramètres!$A$1:$I$89,5,0)</f>
        <v>1.8001173884840681E-13</v>
      </c>
      <c r="AK197" s="14">
        <f t="shared" si="164"/>
        <v>2.5254331426407198E-12</v>
      </c>
      <c r="AL197" s="22">
        <f t="shared" si="165"/>
        <v>4.7119831685935622E-12</v>
      </c>
      <c r="AM197" s="62">
        <f t="shared" si="193"/>
        <v>288.66001611868535</v>
      </c>
      <c r="AN197" s="62">
        <f ca="1">AVERAGE(OFFSET($AM$3,0,0,'Données projet'!$E$10+1,1))-AVERAGE(OFFSET($H$3,0,0,'Données projet'!$E$10+1,1))</f>
        <v>327.07074355218322</v>
      </c>
      <c r="AO197" s="62">
        <f t="shared" ref="AO197:AO203" si="205">$AO$3</f>
        <v>462.01668587029087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0.32395157261054885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0.32395157261054885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-9.9316821433603781E-14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378.51861272969165</v>
      </c>
      <c r="BJ197" s="62">
        <f t="shared" ref="BJ197:BJ203" si="206">$BJ$3</f>
        <v>387.42368617035459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0.15170477205147384</v>
      </c>
      <c r="BR197" s="23">
        <f>EXP(-LN(2)/2)*BR196+(1-EXP(-LN(2)/2))/(LN(2)/2)*BL197*BO197*VLOOKUP('Données projet'!$B$11,Paramètres!$A$1:$I$89,3,0)*0.475*44/12</f>
        <v>3.7108471113427037E-24</v>
      </c>
      <c r="BS197" s="24">
        <f t="shared" si="169"/>
        <v>0.15170477205147384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5.6843418860808015E-14</v>
      </c>
      <c r="BZ197" s="14">
        <f>BY197*VLOOKUP('Données projet'!$B$12,Paramètres!$A$1:$I$89,3,0)*VLOOKUP('Données projet'!$B$12,Paramètres!$A$1:$I$89,5,0)</f>
        <v>3.3992364478763198E-14</v>
      </c>
      <c r="CA197" s="14">
        <f t="shared" si="170"/>
        <v>5.790027782444094E-13</v>
      </c>
      <c r="CB197" s="22">
        <f t="shared" si="171"/>
        <v>1.0676332069095257E-12</v>
      </c>
      <c r="CC197" s="62">
        <f t="shared" si="195"/>
        <v>288.66001611868171</v>
      </c>
      <c r="CD197" s="62">
        <f ca="1">AVERAGE(OFFSET($CC$3,0,0,'Données projet'!$E$12+1,1))-AVERAGE(OFFSET($H$3,0,0,'Données projet'!$E$12+1,1))</f>
        <v>225.71928466161592</v>
      </c>
      <c r="CE197" s="62">
        <f t="shared" ref="CE197:CE203" si="207">$CE$3</f>
        <v>385.98818770742025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4.2504670309462353</v>
      </c>
      <c r="CL197" s="23">
        <f>EXP(-LN(2)/25)*CL196+(1-EXP(-LN(2)/25))/(LN(2)/25)*Calculateur!CG197*Calculateur!CI197*VLOOKUP('Données projet'!$B$12,Paramètres!$A$1:$I$89,3,0)*0.475*44/12</f>
        <v>3.5431511600058481E-2</v>
      </c>
      <c r="CM197" s="23">
        <f>EXP(-LN(2)/2)*CM196+(1-EXP(-LN(2)/2))/(LN(2)/2)*CG197*CJ197*VLOOKUP('Données projet'!$B$12,Paramètres!$A$1:$I$89,3,0)*0.475*44/12</f>
        <v>2.2778871557234423E-22</v>
      </c>
      <c r="CN197" s="24">
        <f t="shared" si="172"/>
        <v>4.2858985425462937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499.92116338695428</v>
      </c>
      <c r="CZ197" s="62">
        <f t="shared" ref="CZ197:CZ203" si="208">$CZ$3</f>
        <v>316.79403154855652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3.3202540499936727E-2</v>
      </c>
      <c r="DH197" s="23">
        <f>EXP(-LN(2)/2)*DH196+(1-EXP(-LN(2)/2))/(LN(2)/2)*DB197*DE197*VLOOKUP('Données projet'!$B$13,Paramètres!$A$1:$I$89,3,0)*0.475*44/12</f>
        <v>6.1168569317411912E-25</v>
      </c>
      <c r="DI197" s="24">
        <f t="shared" si="175"/>
        <v>3.3202540499936727E-2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135.66666666666666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211.70619219850786</v>
      </c>
      <c r="T198" s="62">
        <f t="shared" si="204"/>
        <v>426.883837098247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1.9895196601282805E-13</v>
      </c>
      <c r="AJ198" s="14">
        <f>AI198*VLOOKUP('Données projet'!$B$10,Paramètres!$A$1:$I$89,3,0)*VLOOKUP('Données projet'!$B$10,Paramètres!$A$1:$I$89,5,0)</f>
        <v>1.8001173884840681E-13</v>
      </c>
      <c r="AK198" s="14">
        <f t="shared" si="164"/>
        <v>2.5254331426407198E-12</v>
      </c>
      <c r="AL198" s="22">
        <f t="shared" si="165"/>
        <v>4.7119831685935622E-12</v>
      </c>
      <c r="AM198" s="62">
        <f t="shared" si="193"/>
        <v>288.74108772438751</v>
      </c>
      <c r="AN198" s="62">
        <f ca="1">AVERAGE(OFFSET($AM$3,0,0,'Données projet'!$E$10+1,1))-AVERAGE(OFFSET($H$3,0,0,'Données projet'!$E$10+1,1))</f>
        <v>327.07074355218322</v>
      </c>
      <c r="AO198" s="62">
        <f t="shared" si="205"/>
        <v>462.01668587029087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0.31759907986260477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0.31759907986260477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-9.9316821433603781E-14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378.51861272969165</v>
      </c>
      <c r="BJ198" s="62">
        <f t="shared" si="206"/>
        <v>387.42368617035459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0.14755639708191906</v>
      </c>
      <c r="BR198" s="23">
        <f>EXP(-LN(2)/2)*BR197+(1-EXP(-LN(2)/2))/(LN(2)/2)*BL198*BO198*VLOOKUP('Données projet'!$B$11,Paramètres!$A$1:$I$89,3,0)*0.475*44/12</f>
        <v>2.6239651563769372E-24</v>
      </c>
      <c r="BS198" s="24">
        <f t="shared" si="169"/>
        <v>0.14755639708191906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5.6843418860808015E-14</v>
      </c>
      <c r="BZ198" s="14">
        <f>BY198*VLOOKUP('Données projet'!$B$12,Paramètres!$A$1:$I$89,3,0)*VLOOKUP('Données projet'!$B$12,Paramètres!$A$1:$I$89,5,0)</f>
        <v>3.3992364478763198E-14</v>
      </c>
      <c r="CA198" s="14">
        <f t="shared" si="170"/>
        <v>5.790027782444094E-13</v>
      </c>
      <c r="CB198" s="22">
        <f t="shared" si="171"/>
        <v>1.0676332069095257E-12</v>
      </c>
      <c r="CC198" s="62">
        <f t="shared" si="195"/>
        <v>288.74108772438387</v>
      </c>
      <c r="CD198" s="62">
        <f ca="1">AVERAGE(OFFSET($CC$3,0,0,'Données projet'!$E$12+1,1))-AVERAGE(OFFSET($H$3,0,0,'Données projet'!$E$12+1,1))</f>
        <v>225.71928466161592</v>
      </c>
      <c r="CE198" s="62">
        <f t="shared" si="207"/>
        <v>385.98818770742025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4.1671179649982779</v>
      </c>
      <c r="CL198" s="23">
        <f>EXP(-LN(2)/25)*CL197+(1-EXP(-LN(2)/25))/(LN(2)/25)*Calculateur!CG198*Calculateur!CI198*VLOOKUP('Données projet'!$B$12,Paramètres!$A$1:$I$89,3,0)*0.475*44/12</f>
        <v>3.4462635052092669E-2</v>
      </c>
      <c r="CM198" s="23">
        <f>EXP(-LN(2)/2)*CM197+(1-EXP(-LN(2)/2))/(LN(2)/2)*CG198*CJ198*VLOOKUP('Données projet'!$B$12,Paramètres!$A$1:$I$89,3,0)*0.475*44/12</f>
        <v>1.6107094545897832E-22</v>
      </c>
      <c r="CN198" s="24">
        <f t="shared" si="172"/>
        <v>4.2015806000503702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499.92116338695428</v>
      </c>
      <c r="CZ198" s="62">
        <f t="shared" si="208"/>
        <v>316.79403154855652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3.229461528392024E-2</v>
      </c>
      <c r="DH198" s="23">
        <f>EXP(-LN(2)/2)*DH197+(1-EXP(-LN(2)/2))/(LN(2)/2)*DB198*DE198*VLOOKUP('Données projet'!$B$13,Paramètres!$A$1:$I$89,3,0)*0.475*44/12</f>
        <v>4.3252710159821349E-25</v>
      </c>
      <c r="DI198" s="24">
        <f t="shared" si="175"/>
        <v>3.229461528392024E-2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135.66666666666666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211.70619219850786</v>
      </c>
      <c r="T199" s="62">
        <f t="shared" si="204"/>
        <v>426.883837098247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1.9895196601282805E-13</v>
      </c>
      <c r="AJ199" s="14">
        <f>AI199*VLOOKUP('Données projet'!$B$10,Paramètres!$A$1:$I$89,3,0)*VLOOKUP('Données projet'!$B$10,Paramètres!$A$1:$I$89,5,0)</f>
        <v>1.8001173884840681E-13</v>
      </c>
      <c r="AK199" s="14">
        <f t="shared" si="164"/>
        <v>2.5254331426407198E-12</v>
      </c>
      <c r="AL199" s="22">
        <f t="shared" si="165"/>
        <v>4.7119831685935622E-12</v>
      </c>
      <c r="AM199" s="62">
        <f t="shared" si="193"/>
        <v>288.82075291897968</v>
      </c>
      <c r="AN199" s="62">
        <f ca="1">AVERAGE(OFFSET($AM$3,0,0,'Données projet'!$E$10+1,1))-AVERAGE(OFFSET($H$3,0,0,'Données projet'!$E$10+1,1))</f>
        <v>327.07074355218322</v>
      </c>
      <c r="AO199" s="62">
        <f t="shared" si="205"/>
        <v>462.01668587029087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0.31137115562280993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0.31137115562280993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-9.9316821433603781E-14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378.51861272969165</v>
      </c>
      <c r="BJ199" s="62">
        <f t="shared" si="206"/>
        <v>387.42368617035459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0.1435214596440603</v>
      </c>
      <c r="BR199" s="23">
        <f>EXP(-LN(2)/2)*BR198+(1-EXP(-LN(2)/2))/(LN(2)/2)*BL199*BO199*VLOOKUP('Données projet'!$B$11,Paramètres!$A$1:$I$89,3,0)*0.475*44/12</f>
        <v>1.8554235556713519E-24</v>
      </c>
      <c r="BS199" s="24">
        <f t="shared" si="169"/>
        <v>0.1435214596440603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5.6843418860808015E-14</v>
      </c>
      <c r="BZ199" s="14">
        <f>BY199*VLOOKUP('Données projet'!$B$12,Paramètres!$A$1:$I$89,3,0)*VLOOKUP('Données projet'!$B$12,Paramètres!$A$1:$I$89,5,0)</f>
        <v>3.3992364478763198E-14</v>
      </c>
      <c r="CA199" s="14">
        <f t="shared" si="170"/>
        <v>5.790027782444094E-13</v>
      </c>
      <c r="CB199" s="22">
        <f t="shared" si="171"/>
        <v>1.0676332069095257E-12</v>
      </c>
      <c r="CC199" s="62">
        <f t="shared" si="195"/>
        <v>288.82075291897604</v>
      </c>
      <c r="CD199" s="62">
        <f ca="1">AVERAGE(OFFSET($CC$3,0,0,'Données projet'!$E$12+1,1))-AVERAGE(OFFSET($H$3,0,0,'Données projet'!$E$12+1,1))</f>
        <v>225.71928466161592</v>
      </c>
      <c r="CE199" s="62">
        <f t="shared" si="207"/>
        <v>385.98818770742025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4.0854033233956493</v>
      </c>
      <c r="CL199" s="23">
        <f>EXP(-LN(2)/25)*CL198+(1-EXP(-LN(2)/25))/(LN(2)/25)*Calculateur!CG199*Calculateur!CI199*VLOOKUP('Données projet'!$B$12,Paramètres!$A$1:$I$89,3,0)*0.475*44/12</f>
        <v>3.3520252484281983E-2</v>
      </c>
      <c r="CM199" s="23">
        <f>EXP(-LN(2)/2)*CM198+(1-EXP(-LN(2)/2))/(LN(2)/2)*CG199*CJ199*VLOOKUP('Données projet'!$B$12,Paramètres!$A$1:$I$89,3,0)*0.475*44/12</f>
        <v>1.1389435778617211E-22</v>
      </c>
      <c r="CN199" s="24">
        <f t="shared" si="172"/>
        <v>4.118923575879931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499.92116338695428</v>
      </c>
      <c r="CZ199" s="62">
        <f t="shared" si="208"/>
        <v>316.79403154855652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3.1411517330681434E-2</v>
      </c>
      <c r="DH199" s="23">
        <f>EXP(-LN(2)/2)*DH198+(1-EXP(-LN(2)/2))/(LN(2)/2)*DB199*DE199*VLOOKUP('Données projet'!$B$13,Paramètres!$A$1:$I$89,3,0)*0.475*44/12</f>
        <v>3.0584284658705956E-25</v>
      </c>
      <c r="DI199" s="24">
        <f t="shared" si="175"/>
        <v>3.1411517330681434E-2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135.66666666666666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211.70619219850786</v>
      </c>
      <c r="T200" s="62">
        <f t="shared" si="204"/>
        <v>426.883837098247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1.9895196601282805E-13</v>
      </c>
      <c r="AJ200" s="14">
        <f>AI200*VLOOKUP('Données projet'!$B$10,Paramètres!$A$1:$I$89,3,0)*VLOOKUP('Données projet'!$B$10,Paramètres!$A$1:$I$89,5,0)</f>
        <v>1.8001173884840681E-13</v>
      </c>
      <c r="AK200" s="14">
        <f t="shared" si="164"/>
        <v>2.5254331426407198E-12</v>
      </c>
      <c r="AL200" s="22">
        <f t="shared" si="165"/>
        <v>4.7119831685935622E-12</v>
      </c>
      <c r="AM200" s="62">
        <f t="shared" si="193"/>
        <v>288.89903610055035</v>
      </c>
      <c r="AN200" s="62">
        <f ca="1">AVERAGE(OFFSET($AM$3,0,0,'Données projet'!$E$10+1,1))-AVERAGE(OFFSET($H$3,0,0,'Données projet'!$E$10+1,1))</f>
        <v>327.07074355218322</v>
      </c>
      <c r="AO200" s="62">
        <f t="shared" si="205"/>
        <v>462.01668587029087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0.30526535717869874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0.30526535717869874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-9.9316821433603781E-14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378.51861272969165</v>
      </c>
      <c r="BJ200" s="62">
        <f t="shared" si="206"/>
        <v>387.42368617035459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0.13959685778262793</v>
      </c>
      <c r="BR200" s="23">
        <f>EXP(-LN(2)/2)*BR199+(1-EXP(-LN(2)/2))/(LN(2)/2)*BL200*BO200*VLOOKUP('Données projet'!$B$11,Paramètres!$A$1:$I$89,3,0)*0.475*44/12</f>
        <v>1.3119825781884686E-24</v>
      </c>
      <c r="BS200" s="24">
        <f t="shared" si="169"/>
        <v>0.13959685778262793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5.6843418860808015E-14</v>
      </c>
      <c r="BZ200" s="14">
        <f>BY200*VLOOKUP('Données projet'!$B$12,Paramètres!$A$1:$I$89,3,0)*VLOOKUP('Données projet'!$B$12,Paramètres!$A$1:$I$89,5,0)</f>
        <v>3.3992364478763198E-14</v>
      </c>
      <c r="CA200" s="14">
        <f t="shared" si="170"/>
        <v>5.790027782444094E-13</v>
      </c>
      <c r="CB200" s="22">
        <f t="shared" si="171"/>
        <v>1.0676332069095257E-12</v>
      </c>
      <c r="CC200" s="62">
        <f t="shared" si="195"/>
        <v>288.89903610054671</v>
      </c>
      <c r="CD200" s="62">
        <f ca="1">AVERAGE(OFFSET($CC$3,0,0,'Données projet'!$E$12+1,1))-AVERAGE(OFFSET($H$3,0,0,'Données projet'!$E$12+1,1))</f>
        <v>225.71928466161592</v>
      </c>
      <c r="CE200" s="62">
        <f t="shared" si="207"/>
        <v>385.98818770742025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4.0052910560738377</v>
      </c>
      <c r="CL200" s="23">
        <f>EXP(-LN(2)/25)*CL199+(1-EXP(-LN(2)/25))/(LN(2)/25)*Calculateur!CG200*Calculateur!CI200*VLOOKUP('Données projet'!$B$12,Paramètres!$A$1:$I$89,3,0)*0.475*44/12</f>
        <v>3.2603639417345828E-2</v>
      </c>
      <c r="CM200" s="23">
        <f>EXP(-LN(2)/2)*CM199+(1-EXP(-LN(2)/2))/(LN(2)/2)*CG200*CJ200*VLOOKUP('Données projet'!$B$12,Paramètres!$A$1:$I$89,3,0)*0.475*44/12</f>
        <v>8.053547272948916E-23</v>
      </c>
      <c r="CN200" s="24">
        <f t="shared" si="172"/>
        <v>4.0378946954911834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499.92116338695428</v>
      </c>
      <c r="CZ200" s="62">
        <f t="shared" si="208"/>
        <v>316.79403154855652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3.0552567737414046E-2</v>
      </c>
      <c r="DH200" s="23">
        <f>EXP(-LN(2)/2)*DH199+(1-EXP(-LN(2)/2))/(LN(2)/2)*DB200*DE200*VLOOKUP('Données projet'!$B$13,Paramètres!$A$1:$I$89,3,0)*0.475*44/12</f>
        <v>2.1626355079910675E-25</v>
      </c>
      <c r="DI200" s="24">
        <f t="shared" si="175"/>
        <v>3.0552567737414046E-2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135.66666666666666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211.70619219850786</v>
      </c>
      <c r="T201" s="62">
        <f t="shared" si="204"/>
        <v>426.883837098247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1.9895196601282805E-13</v>
      </c>
      <c r="AJ201" s="14">
        <f>AI201*VLOOKUP('Données projet'!$B$10,Paramètres!$A$1:$I$89,3,0)*VLOOKUP('Données projet'!$B$10,Paramètres!$A$1:$I$89,5,0)</f>
        <v>1.8001173884840681E-13</v>
      </c>
      <c r="AK201" s="14">
        <f t="shared" si="164"/>
        <v>2.5254331426407198E-12</v>
      </c>
      <c r="AL201" s="22">
        <f t="shared" si="165"/>
        <v>4.7119831685935622E-12</v>
      </c>
      <c r="AM201" s="62">
        <f t="shared" si="193"/>
        <v>288.97596124393579</v>
      </c>
      <c r="AN201" s="62">
        <f ca="1">AVERAGE(OFFSET($AM$3,0,0,'Données projet'!$E$10+1,1))-AVERAGE(OFFSET($H$3,0,0,'Données projet'!$E$10+1,1))</f>
        <v>327.07074355218322</v>
      </c>
      <c r="AO201" s="62">
        <f t="shared" si="205"/>
        <v>462.01668587029087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0.29927928971790724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0.29927928971790724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-9.9316821433603781E-14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378.51861272969165</v>
      </c>
      <c r="BJ201" s="62">
        <f t="shared" si="206"/>
        <v>387.42368617035459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0.13577957436548227</v>
      </c>
      <c r="BR201" s="23">
        <f>EXP(-LN(2)/2)*BR200+(1-EXP(-LN(2)/2))/(LN(2)/2)*BL201*BO201*VLOOKUP('Données projet'!$B$11,Paramètres!$A$1:$I$89,3,0)*0.475*44/12</f>
        <v>9.2771177783567593E-25</v>
      </c>
      <c r="BS201" s="24">
        <f t="shared" si="169"/>
        <v>0.13577957436548227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5.6843418860808015E-14</v>
      </c>
      <c r="BZ201" s="14">
        <f>BY201*VLOOKUP('Données projet'!$B$12,Paramètres!$A$1:$I$89,3,0)*VLOOKUP('Données projet'!$B$12,Paramètres!$A$1:$I$89,5,0)</f>
        <v>3.3992364478763198E-14</v>
      </c>
      <c r="CA201" s="14">
        <f t="shared" si="170"/>
        <v>5.790027782444094E-13</v>
      </c>
      <c r="CB201" s="22">
        <f t="shared" si="171"/>
        <v>1.0676332069095257E-12</v>
      </c>
      <c r="CC201" s="62">
        <f t="shared" si="195"/>
        <v>288.97596124393215</v>
      </c>
      <c r="CD201" s="62">
        <f ca="1">AVERAGE(OFFSET($CC$3,0,0,'Données projet'!$E$12+1,1))-AVERAGE(OFFSET($H$3,0,0,'Données projet'!$E$12+1,1))</f>
        <v>225.71928466161592</v>
      </c>
      <c r="CE201" s="62">
        <f t="shared" si="207"/>
        <v>385.98818770742025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3.926749741450549</v>
      </c>
      <c r="CL201" s="23">
        <f>EXP(-LN(2)/25)*CL200+(1-EXP(-LN(2)/25))/(LN(2)/25)*Calculateur!CG201*Calculateur!CI201*VLOOKUP('Données projet'!$B$12,Paramètres!$A$1:$I$89,3,0)*0.475*44/12</f>
        <v>3.1712091182927629E-2</v>
      </c>
      <c r="CM201" s="23">
        <f>EXP(-LN(2)/2)*CM200+(1-EXP(-LN(2)/2))/(LN(2)/2)*CG201*CJ201*VLOOKUP('Données projet'!$B$12,Paramètres!$A$1:$I$89,3,0)*0.475*44/12</f>
        <v>5.6947178893086057E-23</v>
      </c>
      <c r="CN201" s="24">
        <f t="shared" si="172"/>
        <v>3.9584618326334766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499.92116338695428</v>
      </c>
      <c r="CZ201" s="62">
        <f t="shared" si="208"/>
        <v>316.79403154855652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2.9717106165944751E-2</v>
      </c>
      <c r="DH201" s="23">
        <f>EXP(-LN(2)/2)*DH200+(1-EXP(-LN(2)/2))/(LN(2)/2)*DB201*DE201*VLOOKUP('Données projet'!$B$13,Paramètres!$A$1:$I$89,3,0)*0.475*44/12</f>
        <v>1.5292142329352978E-25</v>
      </c>
      <c r="DI201" s="24">
        <f t="shared" si="175"/>
        <v>2.9717106165944751E-2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135.66666666666666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211.70619219850786</v>
      </c>
      <c r="T202" s="62">
        <f t="shared" si="204"/>
        <v>426.883837098247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1.9895196601282805E-13</v>
      </c>
      <c r="AJ202" s="14">
        <f>AI202*VLOOKUP('Données projet'!$B$10,Paramètres!$A$1:$I$89,3,0)*VLOOKUP('Données projet'!$B$10,Paramètres!$A$1:$I$89,5,0)</f>
        <v>1.8001173884840681E-13</v>
      </c>
      <c r="AK202" s="14">
        <f t="shared" si="164"/>
        <v>2.5254331426407198E-12</v>
      </c>
      <c r="AL202" s="22">
        <f t="shared" si="165"/>
        <v>4.7119831685935622E-12</v>
      </c>
      <c r="AM202" s="62">
        <f t="shared" si="193"/>
        <v>289.05155190806232</v>
      </c>
      <c r="AN202" s="62">
        <f ca="1">AVERAGE(OFFSET($AM$3,0,0,'Données projet'!$E$10+1,1))-AVERAGE(OFFSET($H$3,0,0,'Données projet'!$E$10+1,1))</f>
        <v>327.07074355218322</v>
      </c>
      <c r="AO202" s="62">
        <f t="shared" si="205"/>
        <v>462.01668587029087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0.29341060538888125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0.29341060538888125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-9.9316821433603781E-14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378.51861272969165</v>
      </c>
      <c r="BJ202" s="62">
        <f t="shared" si="206"/>
        <v>387.42368617035459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0.13206667476412068</v>
      </c>
      <c r="BR202" s="23">
        <f>EXP(-LN(2)/2)*BR201+(1-EXP(-LN(2)/2))/(LN(2)/2)*BL202*BO202*VLOOKUP('Données projet'!$B$11,Paramètres!$A$1:$I$89,3,0)*0.475*44/12</f>
        <v>6.5599128909423431E-25</v>
      </c>
      <c r="BS202" s="24">
        <f t="shared" si="169"/>
        <v>0.13206667476412068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5.6843418860808015E-14</v>
      </c>
      <c r="BZ202" s="14">
        <f>BY202*VLOOKUP('Données projet'!$B$12,Paramètres!$A$1:$I$89,3,0)*VLOOKUP('Données projet'!$B$12,Paramètres!$A$1:$I$89,5,0)</f>
        <v>3.3992364478763198E-14</v>
      </c>
      <c r="CA202" s="14">
        <f t="shared" si="170"/>
        <v>5.790027782444094E-13</v>
      </c>
      <c r="CB202" s="22">
        <f t="shared" si="171"/>
        <v>1.0676332069095257E-12</v>
      </c>
      <c r="CC202" s="62">
        <f t="shared" si="195"/>
        <v>289.05155190805868</v>
      </c>
      <c r="CD202" s="62">
        <f ca="1">AVERAGE(OFFSET($CC$3,0,0,'Données projet'!$E$12+1,1))-AVERAGE(OFFSET($H$3,0,0,'Données projet'!$E$12+1,1))</f>
        <v>225.71928466161592</v>
      </c>
      <c r="CE202" s="62">
        <f t="shared" si="207"/>
        <v>385.98818770742025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3.8497485741015516</v>
      </c>
      <c r="CL202" s="23">
        <f>EXP(-LN(2)/25)*CL201+(1-EXP(-LN(2)/25))/(LN(2)/25)*Calculateur!CG202*Calculateur!CI202*VLOOKUP('Données projet'!$B$12,Paramètres!$A$1:$I$89,3,0)*0.475*44/12</f>
        <v>3.0844922381864075E-2</v>
      </c>
      <c r="CM202" s="23">
        <f>EXP(-LN(2)/2)*CM201+(1-EXP(-LN(2)/2))/(LN(2)/2)*CG202*CJ202*VLOOKUP('Données projet'!$B$12,Paramètres!$A$1:$I$89,3,0)*0.475*44/12</f>
        <v>4.026773636474458E-23</v>
      </c>
      <c r="CN202" s="24">
        <f t="shared" si="172"/>
        <v>3.8805934964834154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499.92116338695428</v>
      </c>
      <c r="CZ202" s="62">
        <f t="shared" si="208"/>
        <v>316.79403154855652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2.8904490335082297E-2</v>
      </c>
      <c r="DH202" s="23">
        <f>EXP(-LN(2)/2)*DH201+(1-EXP(-LN(2)/2))/(LN(2)/2)*DB202*DE202*VLOOKUP('Données projet'!$B$13,Paramètres!$A$1:$I$89,3,0)*0.475*44/12</f>
        <v>1.0813177539955337E-25</v>
      </c>
      <c r="DI202" s="24">
        <f t="shared" si="175"/>
        <v>2.8904490335082297E-2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135.66666666666666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211.70619219850786</v>
      </c>
      <c r="T203" s="62">
        <f t="shared" si="204"/>
        <v>426.883837098247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1.9895196601282805E-13</v>
      </c>
      <c r="AJ203" s="14">
        <f>AI203*VLOOKUP('Données projet'!$B$10,Paramètres!$A$1:$I$89,3,0)*VLOOKUP('Données projet'!$B$10,Paramètres!$A$1:$I$89,5,0)</f>
        <v>1.8001173884840681E-13</v>
      </c>
      <c r="AK203" s="14">
        <f t="shared" si="164"/>
        <v>2.5254331426407198E-12</v>
      </c>
      <c r="AL203" s="22">
        <f t="shared" si="165"/>
        <v>4.7119831685935622E-12</v>
      </c>
      <c r="AM203" s="62">
        <f t="shared" si="193"/>
        <v>289.12583124316171</v>
      </c>
      <c r="AN203" s="62">
        <f ca="1">AVERAGE(OFFSET($AM$3,0,0,'Données projet'!$E$10+1,1))-AVERAGE(OFFSET($H$3,0,0,'Données projet'!$E$10+1,1))</f>
        <v>327.07074355218322</v>
      </c>
      <c r="AO203" s="62">
        <f t="shared" si="205"/>
        <v>462.01668587029087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0.28765700238000347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0.28765700238000347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-9.9316821433603781E-14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378.51861272969165</v>
      </c>
      <c r="BJ203" s="62">
        <f t="shared" si="206"/>
        <v>387.42368617035459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0.1284553045976112</v>
      </c>
      <c r="BR203" s="23">
        <f>EXP(-LN(2)/2)*BR202+(1-EXP(-LN(2)/2))/(LN(2)/2)*BL203*BO203*VLOOKUP('Données projet'!$B$11,Paramètres!$A$1:$I$89,3,0)*0.475*44/12</f>
        <v>4.6385588891783797E-25</v>
      </c>
      <c r="BS203" s="24">
        <f t="shared" si="169"/>
        <v>0.1284553045976112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5.6843418860808015E-14</v>
      </c>
      <c r="BZ203" s="14">
        <f>BY203*VLOOKUP('Données projet'!$B$12,Paramètres!$A$1:$I$89,3,0)*VLOOKUP('Données projet'!$B$12,Paramètres!$A$1:$I$89,5,0)</f>
        <v>3.3992364478763198E-14</v>
      </c>
      <c r="CA203" s="14">
        <f t="shared" si="170"/>
        <v>5.790027782444094E-13</v>
      </c>
      <c r="CB203" s="22">
        <f t="shared" si="171"/>
        <v>1.0676332069095257E-12</v>
      </c>
      <c r="CC203" s="62">
        <f t="shared" si="195"/>
        <v>289.12583124315807</v>
      </c>
      <c r="CD203" s="62">
        <f ca="1">AVERAGE(OFFSET($CC$3,0,0,'Données projet'!$E$12+1,1))-AVERAGE(OFFSET($H$3,0,0,'Données projet'!$E$12+1,1))</f>
        <v>225.71928466161592</v>
      </c>
      <c r="CE203" s="62">
        <f t="shared" si="207"/>
        <v>385.98818770742025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3.7742573526781933</v>
      </c>
      <c r="CL203" s="23">
        <f>EXP(-LN(2)/25)*CL202+(1-EXP(-LN(2)/25))/(LN(2)/25)*Calculateur!CG203*Calculateur!CI203*VLOOKUP('Données projet'!$B$12,Paramètres!$A$1:$I$89,3,0)*0.475*44/12</f>
        <v>3.0001466357268032E-2</v>
      </c>
      <c r="CM203" s="23">
        <f>EXP(-LN(2)/2)*CM202+(1-EXP(-LN(2)/2))/(LN(2)/2)*CG203*CJ203*VLOOKUP('Données projet'!$B$12,Paramètres!$A$1:$I$89,3,0)*0.475*44/12</f>
        <v>2.8473589446543029E-23</v>
      </c>
      <c r="CN203" s="24">
        <f t="shared" si="172"/>
        <v>3.8042588190354611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499.92116338695428</v>
      </c>
      <c r="CZ203" s="62">
        <f t="shared" si="208"/>
        <v>316.79403154855652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2.8114095526848387E-2</v>
      </c>
      <c r="DH203" s="23">
        <f>EXP(-LN(2)/2)*DH202+(1-EXP(-LN(2)/2))/(LN(2)/2)*DB203*DE203*VLOOKUP('Données projet'!$B$13,Paramètres!$A$1:$I$89,3,0)*0.475*44/12</f>
        <v>7.646071164676489E-26</v>
      </c>
      <c r="DI203" s="24">
        <f t="shared" si="175"/>
        <v>2.8114095526848387E-2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1.9472943612303364</v>
      </c>
      <c r="BA205" s="88">
        <f>EXP(LN('Données projet'!B88)/'Données projet'!A88)</f>
        <v>1.2765231539157764</v>
      </c>
      <c r="BV205" s="88">
        <f>EXP(LN('Données projet'!B114)/'Données projet'!A114)</f>
        <v>1.3939124009120489</v>
      </c>
      <c r="CQ205" s="88">
        <f>EXP(LN('Données projet'!B140)/'Données projet'!A140)</f>
        <v>1.2392705892426346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F1" workbookViewId="0">
      <selection activeCell="M17" sqref="M17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taeda</v>
      </c>
      <c r="B6" s="155">
        <f>'Données projet'!D9</f>
        <v>5.6071999999999997</v>
      </c>
      <c r="C6" s="156">
        <f ca="1">IF(OR('Données projet'!B9="",'Données projet'!C9="",'Données projet'!C9=0%),0,Calculateur!S3)</f>
        <v>211.70619219850786</v>
      </c>
      <c r="D6" s="156">
        <f>IF(OR('Données projet'!B9="",'Données projet'!C9="",'Données projet'!C9=0%),0,Calculateur!T3)</f>
        <v>426.883837098247</v>
      </c>
      <c r="E6" s="156">
        <f ca="1">MIN(C6,D6)</f>
        <v>211.70619219850786</v>
      </c>
      <c r="F6" s="156">
        <f ca="1">E6*B6</f>
        <v>1187.0789608954733</v>
      </c>
      <c r="G6" s="156">
        <f ca="1">F6*(100%-'Données projet'!$C$24)*(100%-'Données projet'!$C$25)*(100%-'Données projet'!$C$26)*(100%-'Données projet'!$C$27)</f>
        <v>1014.9525115656296</v>
      </c>
      <c r="H6" s="157">
        <f>IF(OR('Données projet'!B9="",'Données projet'!C9="",'Données projet'!C9=0%),0,AVERAGE(Calculateur!$AC$3:$AC$33)*B6)</f>
        <v>54.300023784968943</v>
      </c>
      <c r="I6" s="158">
        <f>H6*(100%-'Données projet'!$C$24)*(100%-'Données projet'!$C$25)*(100%-'Données projet'!$C$26)*(100%-'Données projet'!$C$27)</f>
        <v>46.426520336148442</v>
      </c>
      <c r="J6" s="159">
        <f>IF(OR('Données projet'!B9="",'Données projet'!C9="",'Données projet'!C9=0%),0,SUM(Calculateur!$V$3:$V$33)*VLOOKUP('Données projet'!$B$9,Paramètres!$A$1:$I$89,9,0)*B6)</f>
        <v>289.33152000000001</v>
      </c>
      <c r="K6" s="160">
        <f>J6*(100%-'Données projet'!$C$24)*(100%-'Données projet'!$C$25)*(100%-'Données projet'!$C$26)*(100%-'Données projet'!$C$27)</f>
        <v>247.37844959999998</v>
      </c>
      <c r="L6" s="161">
        <f ca="1">G6+I6+K6</f>
        <v>1308.7574815017781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Robinier faux-acacia</v>
      </c>
      <c r="B7" s="163">
        <f>'Données projet'!D10</f>
        <v>2.9927999999999995</v>
      </c>
      <c r="C7" s="156">
        <f ca="1">IF(OR('Données projet'!B10="",'Données projet'!C10="",'Données projet'!C10=0%),0,Calculateur!AN3)</f>
        <v>327.07074355218322</v>
      </c>
      <c r="D7" s="156">
        <f>IF(OR('Données projet'!B10="",'Données projet'!C10="",'Données projet'!C10=0%),0,Calculateur!AO3)</f>
        <v>462.01668587029087</v>
      </c>
      <c r="E7" s="156">
        <f t="shared" ref="E7:E15" ca="1" si="0">MIN(C7,D7)</f>
        <v>327.07074355218322</v>
      </c>
      <c r="F7" s="156">
        <f t="shared" ref="F7:F15" ca="1" si="1">E7*B7</f>
        <v>978.85732130297379</v>
      </c>
      <c r="G7" s="156">
        <f ca="1">F7*(100%-'Données projet'!$C$24)*(100%-'Données projet'!$C$25)*(100%-'Données projet'!$C$26)*(100%-'Données projet'!$C$27)</f>
        <v>836.92300971404256</v>
      </c>
      <c r="H7" s="164">
        <f>IF(OR('Données projet'!B10="",'Données projet'!C10="",'Données projet'!C10=0%),0,AVERAGE(Calculateur!$AX$3:$AX$33)*B7)</f>
        <v>6.2941251348079321</v>
      </c>
      <c r="I7" s="158">
        <f>H7*(100%-'Données projet'!$C$24)*(100%-'Données projet'!$C$25)*(100%-'Données projet'!$C$26)*(100%-'Données projet'!$C$27)</f>
        <v>5.381476990260782</v>
      </c>
      <c r="J7" s="159">
        <f>IF(OR('Données projet'!B10="",'Données projet'!C10="",'Données projet'!C10=0%),0,SUM(Calculateur!$AQ$3:$AQ$33)*VLOOKUP('Données projet'!$B$10,Paramètres!$A$1:$I$89,9,0)*B7)</f>
        <v>56.863199999999992</v>
      </c>
      <c r="K7" s="160">
        <f>J7*(100%-'Données projet'!$C$24)*(100%-'Données projet'!$C$25)*(100%-'Données projet'!$C$26)*(100%-'Données projet'!$C$27)</f>
        <v>48.618035999999996</v>
      </c>
      <c r="L7" s="161">
        <f t="shared" ref="L7:L15" ca="1" si="2">G7+I7+K7</f>
        <v>890.92252270430333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Chêne rouge d'Amérique</v>
      </c>
      <c r="B8" s="163">
        <f>'Données projet'!D11</f>
        <v>3.6119999999999997</v>
      </c>
      <c r="C8" s="156">
        <f ca="1">IF(OR('Données projet'!B11="",'Données projet'!C11="",'Données projet'!C11=0%),0,Calculateur!BI3)</f>
        <v>378.51861272969165</v>
      </c>
      <c r="D8" s="156">
        <f>IF(OR('Données projet'!B11="",'Données projet'!C11="",'Données projet'!C11=0%),0,Calculateur!BJ3)</f>
        <v>387.42368617035459</v>
      </c>
      <c r="E8" s="156">
        <f t="shared" ca="1" si="0"/>
        <v>378.51861272969165</v>
      </c>
      <c r="F8" s="156">
        <f t="shared" ca="1" si="1"/>
        <v>1367.2092291796462</v>
      </c>
      <c r="G8" s="156">
        <f ca="1">F8*(100%-'Données projet'!$C$24)*(100%-'Données projet'!$C$25)*(100%-'Données projet'!$C$26)*(100%-'Données projet'!$C$27)</f>
        <v>1168.9638909485975</v>
      </c>
      <c r="H8" s="164">
        <f>IF(OR('Données projet'!B11="",'Données projet'!C11="",'Données projet'!C11=0%),0,AVERAGE(Calculateur!$BS$3:$BS$33)*B8)</f>
        <v>12.973237136729598</v>
      </c>
      <c r="I8" s="158">
        <f>H8*(100%-'Données projet'!$C$24)*(100%-'Données projet'!$C$25)*(100%-'Données projet'!$C$26)*(100%-'Données projet'!$C$27)</f>
        <v>11.092117751903805</v>
      </c>
      <c r="J8" s="159">
        <f>IF(OR('Données projet'!B11="",'Données projet'!C11="",'Données projet'!C11=0%),0,SUM(Calculateur!$BL$3:$BL$33)*VLOOKUP('Données projet'!$B$11,Paramètres!$A$1:$I$89,9,0)*B8)</f>
        <v>111.97199999999999</v>
      </c>
      <c r="K8" s="160">
        <f>J8*(100%-'Données projet'!$C$24)*(100%-'Données projet'!$C$25)*(100%-'Données projet'!$C$26)*(100%-'Données projet'!$C$27)</f>
        <v>95.736059999999995</v>
      </c>
      <c r="L8" s="161">
        <f t="shared" ca="1" si="2"/>
        <v>1275.7920687005012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Pin maritime</v>
      </c>
      <c r="B9" s="163">
        <f>'Données projet'!D12</f>
        <v>3.4916</v>
      </c>
      <c r="C9" s="156">
        <f ca="1">IF(OR('Données projet'!B12="",'Données projet'!C12="",'Données projet'!C12=0%),0,Calculateur!CD3)</f>
        <v>225.71928466161592</v>
      </c>
      <c r="D9" s="156">
        <f>IF(OR('Données projet'!B12="",'Données projet'!C12="",'Données projet'!C12=0%),0,Calculateur!CE3)</f>
        <v>385.98818770742025</v>
      </c>
      <c r="E9" s="156">
        <f t="shared" ca="1" si="0"/>
        <v>225.71928466161592</v>
      </c>
      <c r="F9" s="156">
        <f t="shared" ca="1" si="1"/>
        <v>788.12145432449813</v>
      </c>
      <c r="G9" s="156">
        <f ca="1">F9*(100%-'Données projet'!$C$24)*(100%-'Données projet'!$C$25)*(100%-'Données projet'!$C$26)*(100%-'Données projet'!$C$27)</f>
        <v>673.84384344744581</v>
      </c>
      <c r="H9" s="164">
        <f>IF(OR('Données projet'!B12="",'Données projet'!C12="",'Données projet'!C12=0%),0,AVERAGE(Calculateur!$CN$3:$CN$33)*B9)</f>
        <v>28.585902649992821</v>
      </c>
      <c r="I9" s="158">
        <f>H9*(100%-'Données projet'!$C$24)*(100%-'Données projet'!$C$25)*(100%-'Données projet'!$C$26)*(100%-'Données projet'!$C$27)</f>
        <v>24.44094676574386</v>
      </c>
      <c r="J9" s="159">
        <f>IF(OR('Données projet'!B12="",'Données projet'!C12="",'Données projet'!C12=0%),0,SUM(Calculateur!$CG$3:$CG$33)*VLOOKUP('Données projet'!$B$12,Paramètres!$A$1:$I$89,9,0)*B9)</f>
        <v>224.54479600000002</v>
      </c>
      <c r="K9" s="160">
        <f>J9*(100%-'Données projet'!$C$24)*(100%-'Données projet'!$C$25)*(100%-'Données projet'!$C$26)*(100%-'Données projet'!$C$27)</f>
        <v>191.98580058000002</v>
      </c>
      <c r="L9" s="161">
        <f t="shared" ca="1" si="2"/>
        <v>890.27059079318974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Chêne sessile</v>
      </c>
      <c r="B10" s="163">
        <f>'Données projet'!D13</f>
        <v>1.4963999999999997</v>
      </c>
      <c r="C10" s="156">
        <f ca="1">IF(OR('Données projet'!B13="",'Données projet'!C13="",'Données projet'!C13=0%),0,Calculateur!CY3)</f>
        <v>499.92116338695428</v>
      </c>
      <c r="D10" s="156">
        <f>IF(OR('Données projet'!B13="",'Données projet'!C13="",'Données projet'!C13=0%),0,Calculateur!CZ3)</f>
        <v>316.79403154855652</v>
      </c>
      <c r="E10" s="156">
        <f t="shared" ca="1" si="0"/>
        <v>316.79403154855652</v>
      </c>
      <c r="F10" s="156">
        <f t="shared" ca="1" si="1"/>
        <v>474.05058880925986</v>
      </c>
      <c r="G10" s="156">
        <f ca="1">F10*(100%-'Données projet'!$C$24)*(100%-'Données projet'!$C$25)*(100%-'Données projet'!$C$26)*(100%-'Données projet'!$C$27)</f>
        <v>405.31325343191713</v>
      </c>
      <c r="H10" s="164">
        <f>IF(OR('Données projet'!B13="",'Données projet'!C13="",'Données projet'!C13=0%),0,AVERAGE(Calculateur!$DI$3:$DI$33)*B10)</f>
        <v>3.3864894350969976</v>
      </c>
      <c r="I10" s="158">
        <f>H10*(100%-'Données projet'!$C$24)*(100%-'Données projet'!$C$25)*(100%-'Données projet'!$C$26)*(100%-'Données projet'!$C$27)</f>
        <v>2.8954484670079328</v>
      </c>
      <c r="J10" s="159">
        <f>IF(OR('Données projet'!B13="",'Données projet'!C13="",'Données projet'!C13=0%),0,SUM(Calculateur!$DB$3:$DB$33)*VLOOKUP('Données projet'!$B$13,Paramètres!$A$1:$I$89,9,0)*B10)</f>
        <v>23.194199999999995</v>
      </c>
      <c r="K10" s="160">
        <f>J10*(100%-'Données projet'!$C$24)*(100%-'Données projet'!$C$25)*(100%-'Données projet'!$C$26)*(100%-'Données projet'!$C$27)</f>
        <v>19.831040999999995</v>
      </c>
      <c r="L10" s="161">
        <f t="shared" ca="1" si="2"/>
        <v>428.03974289892506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4795.3175545118511</v>
      </c>
      <c r="G16" s="175">
        <f t="shared" ca="1" si="3"/>
        <v>4099.9965091076328</v>
      </c>
      <c r="H16" s="176">
        <f t="shared" si="3"/>
        <v>105.53977814159629</v>
      </c>
      <c r="I16" s="176">
        <f t="shared" si="3"/>
        <v>90.236510311064833</v>
      </c>
      <c r="J16" s="177">
        <f t="shared" si="3"/>
        <v>705.9057160000001</v>
      </c>
      <c r="K16" s="177">
        <f t="shared" si="3"/>
        <v>603.54938718000005</v>
      </c>
      <c r="L16" s="178">
        <f t="shared" ca="1" si="3"/>
        <v>4793.7824065986979</v>
      </c>
      <c r="M16" s="25">
        <f ca="1">L16/17.2</f>
        <v>278.70827945341267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Robinier faux-acacia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Chêne rouge d'Amérique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Pin maritime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Chêne sessile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74" zoomScale="90" zoomScaleNormal="90" workbookViewId="0">
      <selection activeCell="I22" sqref="I2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3254.574497588254</v>
      </c>
      <c r="U10" s="190">
        <f>'Données projet'!D9</f>
        <v>5.6071999999999997</v>
      </c>
      <c r="V10" s="189">
        <f>U10*T10</f>
        <v>18249.050122876855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Robinier faux-acacia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770.23355090563405</v>
      </c>
      <c r="U11" s="190">
        <f>'Données projet'!D10</f>
        <v>2.9927999999999995</v>
      </c>
      <c r="V11" s="189">
        <f t="shared" ref="V11" si="0">U11*T11</f>
        <v>2305.1549711503812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rouge d'Amérique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981.53929453486364</v>
      </c>
      <c r="U12" s="190">
        <f>'Données projet'!D11</f>
        <v>3.6119999999999997</v>
      </c>
      <c r="V12" s="189">
        <f t="shared" ref="V12:V19" si="1">U12*T12</f>
        <v>3545.3199318599272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maritime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2826.5783150634784</v>
      </c>
      <c r="U13" s="190">
        <f>'Données projet'!D12</f>
        <v>3.4916</v>
      </c>
      <c r="V13" s="189">
        <f t="shared" si="1"/>
        <v>9869.2808448756405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Chêne sessile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902.103941500014</v>
      </c>
      <c r="U14" s="190">
        <f>'Données projet'!D13</f>
        <v>1.4963999999999997</v>
      </c>
      <c r="V14" s="189">
        <f t="shared" si="1"/>
        <v>1349.9083380606207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>66871/17.2</f>
        <v>3887.8488372093025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f>34456/17.2</f>
        <v>2003.2558139534885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13</v>
      </c>
      <c r="B23" s="193">
        <f>'Données projet'!D36</f>
        <v>28</v>
      </c>
      <c r="C23" s="206">
        <v>15</v>
      </c>
      <c r="D23" s="194">
        <f>B23*C23</f>
        <v>420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-63104.676991011758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18</v>
      </c>
      <c r="B24" s="193">
        <f>'Données projet'!D37</f>
        <v>40</v>
      </c>
      <c r="C24" s="206">
        <v>20</v>
      </c>
      <c r="D24" s="194">
        <f t="shared" ref="D24:D42" si="2">B24*C24</f>
        <v>800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23</v>
      </c>
      <c r="B25" s="193">
        <f>'Données projet'!D38</f>
        <v>52</v>
      </c>
      <c r="C25" s="206">
        <v>25</v>
      </c>
      <c r="D25" s="194">
        <f t="shared" si="2"/>
        <v>1300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2">
        <f ca="1">T23-T24</f>
        <v>-63104.676991011758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34</v>
      </c>
      <c r="B27" s="193">
        <f>'Données projet'!D40</f>
        <v>325</v>
      </c>
      <c r="C27" s="206">
        <v>30</v>
      </c>
      <c r="D27" s="194">
        <f t="shared" si="2"/>
        <v>9750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Robinier faux-acacia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5</v>
      </c>
      <c r="B54" s="193">
        <f>'Données projet'!D62</f>
        <v>4</v>
      </c>
      <c r="C54" s="292">
        <v>8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10</v>
      </c>
      <c r="B55" s="193">
        <f>'Données projet'!D63</f>
        <v>21</v>
      </c>
      <c r="C55" s="292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15</v>
      </c>
      <c r="B56" s="193">
        <f>'Données projet'!D64</f>
        <v>17</v>
      </c>
      <c r="C56" s="292">
        <v>9</v>
      </c>
      <c r="D56" s="191">
        <f t="shared" si="4"/>
        <v>153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20</v>
      </c>
      <c r="B57" s="193">
        <f>'Données projet'!D65</f>
        <v>14</v>
      </c>
      <c r="C57" s="292">
        <v>12</v>
      </c>
      <c r="D57" s="191">
        <f t="shared" si="4"/>
        <v>168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25</v>
      </c>
      <c r="B58" s="193">
        <f>'Données projet'!D66</f>
        <v>11</v>
      </c>
      <c r="C58" s="292">
        <v>12</v>
      </c>
      <c r="D58" s="191">
        <f t="shared" si="4"/>
        <v>132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30</v>
      </c>
      <c r="B59" s="193">
        <f>'Données projet'!D67</f>
        <v>9</v>
      </c>
      <c r="C59" s="292">
        <v>13</v>
      </c>
      <c r="D59" s="191">
        <f t="shared" si="4"/>
        <v>117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35</v>
      </c>
      <c r="B60" s="193">
        <f>'Données projet'!D68</f>
        <v>7</v>
      </c>
      <c r="C60" s="292">
        <v>13</v>
      </c>
      <c r="D60" s="191">
        <f t="shared" si="4"/>
        <v>91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40</v>
      </c>
      <c r="B61" s="193">
        <f>'Données projet'!D69</f>
        <v>6</v>
      </c>
      <c r="C61" s="292">
        <v>14</v>
      </c>
      <c r="D61" s="191">
        <f t="shared" si="4"/>
        <v>84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45</v>
      </c>
      <c r="B62" s="193">
        <f>'Données projet'!D70</f>
        <v>252</v>
      </c>
      <c r="C62" s="292">
        <v>14</v>
      </c>
      <c r="D62" s="191">
        <f t="shared" si="4"/>
        <v>3528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Chêne rouge d'Amérique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20</v>
      </c>
      <c r="B85" s="193">
        <f>'Données projet'!D88</f>
        <v>50</v>
      </c>
      <c r="C85" s="292">
        <v>5</v>
      </c>
      <c r="D85" s="191">
        <f>B85*C85</f>
        <v>250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25</v>
      </c>
      <c r="B86" s="193">
        <f>'Données projet'!D89</f>
        <v>37</v>
      </c>
      <c r="C86" s="292">
        <v>7</v>
      </c>
      <c r="D86" s="191">
        <f t="shared" ref="D86:D104" si="6">B86*C86</f>
        <v>259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30</v>
      </c>
      <c r="B87" s="193">
        <f>'Données projet'!D90</f>
        <v>37</v>
      </c>
      <c r="C87" s="292">
        <v>9</v>
      </c>
      <c r="D87" s="191">
        <f t="shared" si="6"/>
        <v>333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35</v>
      </c>
      <c r="B88" s="193">
        <f>'Données projet'!D91</f>
        <v>36</v>
      </c>
      <c r="C88" s="292">
        <v>9</v>
      </c>
      <c r="D88" s="191">
        <f t="shared" si="6"/>
        <v>324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40</v>
      </c>
      <c r="B89" s="193">
        <f>'Données projet'!D92</f>
        <v>33</v>
      </c>
      <c r="C89" s="292">
        <v>9</v>
      </c>
      <c r="D89" s="191">
        <f t="shared" si="6"/>
        <v>297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45</v>
      </c>
      <c r="B90" s="193">
        <f>'Données projet'!D93</f>
        <v>31</v>
      </c>
      <c r="C90" s="292">
        <v>14</v>
      </c>
      <c r="D90" s="191">
        <f t="shared" si="6"/>
        <v>434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50</v>
      </c>
      <c r="B91" s="193">
        <f>'Données projet'!D94</f>
        <v>28</v>
      </c>
      <c r="C91" s="292">
        <v>14</v>
      </c>
      <c r="D91" s="191">
        <f t="shared" si="6"/>
        <v>392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55</v>
      </c>
      <c r="B92" s="193">
        <f>'Données projet'!D95</f>
        <v>25</v>
      </c>
      <c r="C92" s="292">
        <v>14</v>
      </c>
      <c r="D92" s="191">
        <f t="shared" si="6"/>
        <v>350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60</v>
      </c>
      <c r="B93" s="193">
        <f>'Données projet'!D96</f>
        <v>22</v>
      </c>
      <c r="C93" s="292">
        <v>17</v>
      </c>
      <c r="D93" s="191">
        <f t="shared" si="6"/>
        <v>374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65</v>
      </c>
      <c r="B94" s="193">
        <f>'Données projet'!D97</f>
        <v>20</v>
      </c>
      <c r="C94" s="292">
        <v>17</v>
      </c>
      <c r="D94" s="191">
        <f t="shared" si="6"/>
        <v>340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70</v>
      </c>
      <c r="B95" s="193">
        <f>'Données projet'!D98</f>
        <v>17</v>
      </c>
      <c r="C95" s="292">
        <v>17</v>
      </c>
      <c r="D95" s="191">
        <f t="shared" si="6"/>
        <v>289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75</v>
      </c>
      <c r="B96" s="193">
        <f>'Données projet'!D99</f>
        <v>15</v>
      </c>
      <c r="C96" s="292">
        <v>20</v>
      </c>
      <c r="D96" s="191">
        <f t="shared" si="6"/>
        <v>300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80</v>
      </c>
      <c r="B97" s="193">
        <f>'Données projet'!D100</f>
        <v>13</v>
      </c>
      <c r="C97" s="292">
        <v>25</v>
      </c>
      <c r="D97" s="191">
        <f t="shared" si="6"/>
        <v>325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85</v>
      </c>
      <c r="B98" s="193">
        <f>'Données projet'!D101</f>
        <v>12</v>
      </c>
      <c r="C98" s="292">
        <v>30</v>
      </c>
      <c r="D98" s="191">
        <f t="shared" si="6"/>
        <v>360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90</v>
      </c>
      <c r="B99" s="193">
        <f>'Données projet'!D102</f>
        <v>236</v>
      </c>
      <c r="C99" s="292">
        <v>80</v>
      </c>
      <c r="D99" s="191">
        <f t="shared" si="6"/>
        <v>18880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34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Pin maritime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13</v>
      </c>
      <c r="B116" s="193">
        <f>'Données projet'!D114</f>
        <v>15</v>
      </c>
      <c r="C116" s="204">
        <v>15</v>
      </c>
      <c r="D116" s="191">
        <f>B116*C116</f>
        <v>225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19</v>
      </c>
      <c r="B117" s="193">
        <f>'Données projet'!D115</f>
        <v>40</v>
      </c>
      <c r="C117" s="204">
        <v>20</v>
      </c>
      <c r="D117" s="191">
        <f t="shared" ref="D117:D135" si="8">B117*C117</f>
        <v>800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25</v>
      </c>
      <c r="B118" s="193">
        <f>'Données projet'!D116</f>
        <v>54</v>
      </c>
      <c r="C118" s="204">
        <v>25</v>
      </c>
      <c r="D118" s="191">
        <f t="shared" si="8"/>
        <v>1350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30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38</v>
      </c>
      <c r="B120" s="193">
        <f>'Données projet'!D118</f>
        <v>338</v>
      </c>
      <c r="C120" s="204">
        <v>30</v>
      </c>
      <c r="D120" s="191">
        <f t="shared" si="8"/>
        <v>10140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Chêne sessile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20</v>
      </c>
      <c r="B147" s="187">
        <f>'Données projet'!D140</f>
        <v>6</v>
      </c>
      <c r="C147" s="292">
        <v>4</v>
      </c>
      <c r="D147" s="194">
        <f>B147*C147</f>
        <v>24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25</v>
      </c>
      <c r="B148" s="187">
        <f>'Données projet'!D141</f>
        <v>28</v>
      </c>
      <c r="C148" s="292">
        <v>8</v>
      </c>
      <c r="D148" s="194">
        <f t="shared" ref="D148:D166" si="10">B148*C148</f>
        <v>224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30</v>
      </c>
      <c r="B149" s="187">
        <f>'Données projet'!D142</f>
        <v>28</v>
      </c>
      <c r="C149" s="292">
        <v>10</v>
      </c>
      <c r="D149" s="194">
        <f t="shared" si="10"/>
        <v>280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35</v>
      </c>
      <c r="B150" s="187">
        <f>'Données projet'!D143</f>
        <v>28</v>
      </c>
      <c r="C150" s="292">
        <v>10</v>
      </c>
      <c r="D150" s="194">
        <f t="shared" si="10"/>
        <v>280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40</v>
      </c>
      <c r="B151" s="187">
        <f>'Données projet'!D144</f>
        <v>28</v>
      </c>
      <c r="C151" s="292">
        <v>10</v>
      </c>
      <c r="D151" s="194">
        <f t="shared" si="10"/>
        <v>280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45</v>
      </c>
      <c r="B152" s="187">
        <f>'Données projet'!D145</f>
        <v>28</v>
      </c>
      <c r="C152" s="292">
        <v>10</v>
      </c>
      <c r="D152" s="194">
        <f t="shared" si="10"/>
        <v>280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50</v>
      </c>
      <c r="B153" s="187">
        <f>'Données projet'!D146</f>
        <v>28</v>
      </c>
      <c r="C153" s="292">
        <v>15</v>
      </c>
      <c r="D153" s="194">
        <f t="shared" si="10"/>
        <v>420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55</v>
      </c>
      <c r="B154" s="187">
        <f>'Données projet'!D147</f>
        <v>28</v>
      </c>
      <c r="C154" s="292">
        <v>15</v>
      </c>
      <c r="D154" s="194">
        <f t="shared" si="10"/>
        <v>420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60</v>
      </c>
      <c r="B155" s="187">
        <f>'Données projet'!D148</f>
        <v>28</v>
      </c>
      <c r="C155" s="292">
        <v>15</v>
      </c>
      <c r="D155" s="194">
        <f t="shared" si="10"/>
        <v>420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65</v>
      </c>
      <c r="B156" s="187">
        <f>'Données projet'!D149</f>
        <v>28</v>
      </c>
      <c r="C156" s="292">
        <v>15</v>
      </c>
      <c r="D156" s="194">
        <f t="shared" si="10"/>
        <v>420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70</v>
      </c>
      <c r="B157" s="187">
        <f>'Données projet'!D150</f>
        <v>28</v>
      </c>
      <c r="C157" s="292">
        <v>20</v>
      </c>
      <c r="D157" s="194">
        <f t="shared" si="10"/>
        <v>560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75</v>
      </c>
      <c r="B158" s="187">
        <f>'Données projet'!D151</f>
        <v>28</v>
      </c>
      <c r="C158" s="292">
        <v>20</v>
      </c>
      <c r="D158" s="194">
        <f t="shared" si="10"/>
        <v>560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80</v>
      </c>
      <c r="B159" s="187">
        <f>'Données projet'!D152</f>
        <v>28</v>
      </c>
      <c r="C159" s="292">
        <v>20</v>
      </c>
      <c r="D159" s="194">
        <f t="shared" si="10"/>
        <v>560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85</v>
      </c>
      <c r="B160" s="187">
        <f>'Données projet'!D153</f>
        <v>28</v>
      </c>
      <c r="C160" s="292">
        <v>20</v>
      </c>
      <c r="D160" s="194">
        <f t="shared" si="10"/>
        <v>560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90</v>
      </c>
      <c r="B161" s="187">
        <f>'Données projet'!D154</f>
        <v>28</v>
      </c>
      <c r="C161" s="292">
        <v>30</v>
      </c>
      <c r="D161" s="194">
        <f t="shared" si="10"/>
        <v>840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95</v>
      </c>
      <c r="B162" s="187">
        <f>'Données projet'!D155</f>
        <v>28</v>
      </c>
      <c r="C162" s="292">
        <v>30</v>
      </c>
      <c r="D162" s="194">
        <f t="shared" si="10"/>
        <v>840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100</v>
      </c>
      <c r="B163" s="187">
        <f>'Données projet'!D156</f>
        <v>27</v>
      </c>
      <c r="C163" s="292">
        <v>40</v>
      </c>
      <c r="D163" s="194">
        <f t="shared" si="10"/>
        <v>1080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105</v>
      </c>
      <c r="B164" s="187">
        <f>'Données projet'!D157</f>
        <v>26</v>
      </c>
      <c r="C164" s="292">
        <v>50</v>
      </c>
      <c r="D164" s="194">
        <f t="shared" si="10"/>
        <v>1300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110</v>
      </c>
      <c r="B165" s="187">
        <f>'Données projet'!D158</f>
        <v>25</v>
      </c>
      <c r="C165" s="292">
        <v>70</v>
      </c>
      <c r="D165" s="194">
        <f t="shared" si="10"/>
        <v>1750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115</v>
      </c>
      <c r="B166" s="187">
        <f>'Données projet'!D159</f>
        <v>330</v>
      </c>
      <c r="C166" s="292">
        <v>150</v>
      </c>
      <c r="D166" s="194">
        <f t="shared" si="10"/>
        <v>49500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2024-11-22T13:58:16Z</dcterms:modified>
</cp:coreProperties>
</file>