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webdav.hidrive.ionos.com/users/manonlop/CLIENTS/ECOTREE/PROJETS LBC/MOUSSY/wetransfer_label-bas-carbone-ecotree_2023-11-13_1432/Label Bas-Carbone Ecotree/"/>
    </mc:Choice>
  </mc:AlternateContent>
  <xr:revisionPtr revIDLastSave="0" documentId="13_ncr:1_{244FCFD7-B971-47C2-BACB-5E3A4BFE68F9}" xr6:coauthVersionLast="47" xr6:coauthVersionMax="47" xr10:uidLastSave="{00000000-0000-0000-0000-000000000000}"/>
  <bookViews>
    <workbookView xWindow="51480" yWindow="2235" windowWidth="29040" windowHeight="157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  <sheet name="Projet" sheetId="8" r:id="rId8"/>
    <sheet name="Table production" sheetId="9" r:id="rId9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6" l="1"/>
  <c r="I24" i="6"/>
  <c r="I23" i="6"/>
  <c r="I22" i="6"/>
  <c r="I21" i="6"/>
  <c r="I20" i="6"/>
  <c r="B15" i="8"/>
  <c r="G226" i="1"/>
  <c r="F226" i="1"/>
  <c r="D226" i="1"/>
  <c r="G225" i="1"/>
  <c r="F225" i="1"/>
  <c r="G224" i="1"/>
  <c r="F224" i="1"/>
  <c r="G223" i="1"/>
  <c r="F223" i="1"/>
  <c r="G222" i="1"/>
  <c r="F222" i="1"/>
  <c r="G221" i="1"/>
  <c r="F221" i="1"/>
  <c r="G220" i="1"/>
  <c r="F220" i="1"/>
  <c r="F219" i="1"/>
  <c r="G218" i="1"/>
  <c r="F218" i="1"/>
  <c r="P49" i="9"/>
  <c r="O49" i="9"/>
  <c r="M49" i="9"/>
  <c r="Z48" i="9"/>
  <c r="Y48" i="9"/>
  <c r="W48" i="9"/>
  <c r="P48" i="9"/>
  <c r="O48" i="9"/>
  <c r="BH47" i="9"/>
  <c r="Z47" i="9"/>
  <c r="Y47" i="9"/>
  <c r="P47" i="9"/>
  <c r="O47" i="9"/>
  <c r="Z46" i="9"/>
  <c r="Y46" i="9"/>
  <c r="P46" i="9"/>
  <c r="O46" i="9"/>
  <c r="Z45" i="9"/>
  <c r="Y45" i="9"/>
  <c r="P45" i="9"/>
  <c r="O45" i="9"/>
  <c r="Z44" i="9"/>
  <c r="Y44" i="9"/>
  <c r="P44" i="9"/>
  <c r="O44" i="9"/>
  <c r="Z43" i="9"/>
  <c r="Y43" i="9"/>
  <c r="P43" i="9"/>
  <c r="O43" i="9"/>
  <c r="Z42" i="9"/>
  <c r="Y42" i="9"/>
  <c r="P42" i="9"/>
  <c r="O42" i="9"/>
  <c r="Y41" i="9"/>
  <c r="O41" i="9"/>
  <c r="Z40" i="9"/>
  <c r="Y40" i="9"/>
  <c r="P40" i="9"/>
  <c r="O40" i="9"/>
  <c r="BH34" i="9"/>
  <c r="P33" i="9"/>
  <c r="O33" i="9"/>
  <c r="M33" i="9"/>
  <c r="AY32" i="9"/>
  <c r="Z32" i="9"/>
  <c r="Y32" i="9"/>
  <c r="W32" i="9"/>
  <c r="P32" i="9"/>
  <c r="O32" i="9"/>
  <c r="Z31" i="9"/>
  <c r="Y31" i="9"/>
  <c r="P31" i="9"/>
  <c r="O31" i="9"/>
  <c r="Z30" i="9"/>
  <c r="Y30" i="9"/>
  <c r="P30" i="9"/>
  <c r="O30" i="9"/>
  <c r="Z29" i="9"/>
  <c r="Y29" i="9"/>
  <c r="P29" i="9"/>
  <c r="O29" i="9"/>
  <c r="Z28" i="9"/>
  <c r="Y28" i="9"/>
  <c r="P28" i="9"/>
  <c r="O28" i="9"/>
  <c r="Z27" i="9"/>
  <c r="Y27" i="9"/>
  <c r="P27" i="9"/>
  <c r="O27" i="9"/>
  <c r="Z26" i="9"/>
  <c r="Y26" i="9"/>
  <c r="O26" i="9"/>
  <c r="Y25" i="9"/>
  <c r="O25" i="9"/>
  <c r="Z24" i="9"/>
  <c r="Y24" i="9"/>
  <c r="P24" i="9"/>
  <c r="O24" i="9"/>
  <c r="AI19" i="9"/>
  <c r="AH19" i="9"/>
  <c r="BH18" i="9"/>
  <c r="AI18" i="9"/>
  <c r="AH18" i="9"/>
  <c r="AF18" i="9"/>
  <c r="Z18" i="9"/>
  <c r="Y18" i="9"/>
  <c r="W18" i="9"/>
  <c r="AI17" i="9"/>
  <c r="AH17" i="9"/>
  <c r="Z17" i="9"/>
  <c r="Y17" i="9"/>
  <c r="P17" i="9"/>
  <c r="O17" i="9"/>
  <c r="M17" i="9"/>
  <c r="AY16" i="9"/>
  <c r="AI16" i="9"/>
  <c r="AH16" i="9"/>
  <c r="Z16" i="9"/>
  <c r="Y16" i="9"/>
  <c r="P16" i="9"/>
  <c r="O16" i="9"/>
  <c r="AI15" i="9"/>
  <c r="AH15" i="9"/>
  <c r="Z15" i="9"/>
  <c r="Y15" i="9"/>
  <c r="P15" i="9"/>
  <c r="O15" i="9"/>
  <c r="AI14" i="9"/>
  <c r="AH14" i="9"/>
  <c r="Z14" i="9"/>
  <c r="Y14" i="9"/>
  <c r="P14" i="9"/>
  <c r="O14" i="9"/>
  <c r="AI13" i="9"/>
  <c r="AH13" i="9"/>
  <c r="Z13" i="9"/>
  <c r="Y13" i="9"/>
  <c r="P13" i="9"/>
  <c r="O13" i="9"/>
  <c r="AI12" i="9"/>
  <c r="AH12" i="9"/>
  <c r="Z12" i="9"/>
  <c r="Y12" i="9"/>
  <c r="P12" i="9"/>
  <c r="O12" i="9"/>
  <c r="AI11" i="9"/>
  <c r="AH11" i="9"/>
  <c r="Z11" i="9"/>
  <c r="Y11" i="9"/>
  <c r="P11" i="9"/>
  <c r="O11" i="9"/>
  <c r="AI10" i="9"/>
  <c r="AH10" i="9"/>
  <c r="Z10" i="9"/>
  <c r="Y10" i="9"/>
  <c r="P10" i="9"/>
  <c r="O10" i="9"/>
  <c r="AH9" i="9"/>
  <c r="Y9" i="9"/>
  <c r="O9" i="9"/>
  <c r="AI8" i="9"/>
  <c r="AH8" i="9"/>
  <c r="Z8" i="9"/>
  <c r="Y8" i="9"/>
  <c r="P8" i="9"/>
  <c r="O8" i="9"/>
  <c r="G174" i="1"/>
  <c r="F174" i="1"/>
  <c r="D174" i="1"/>
  <c r="G173" i="1"/>
  <c r="F173" i="1"/>
  <c r="G172" i="1"/>
  <c r="F172" i="1"/>
  <c r="G171" i="1"/>
  <c r="F171" i="1"/>
  <c r="G170" i="1"/>
  <c r="F170" i="1"/>
  <c r="G169" i="1"/>
  <c r="F169" i="1"/>
  <c r="G168" i="1"/>
  <c r="F168" i="1"/>
  <c r="F167" i="1"/>
  <c r="G166" i="1"/>
  <c r="F166" i="1"/>
  <c r="G149" i="1"/>
  <c r="F149" i="1"/>
  <c r="D149" i="1"/>
  <c r="G148" i="1"/>
  <c r="F148" i="1"/>
  <c r="G147" i="1"/>
  <c r="F147" i="1"/>
  <c r="G146" i="1"/>
  <c r="F146" i="1"/>
  <c r="G145" i="1"/>
  <c r="F145" i="1"/>
  <c r="G144" i="1"/>
  <c r="F144" i="1"/>
  <c r="G143" i="1"/>
  <c r="F143" i="1"/>
  <c r="F142" i="1"/>
  <c r="F141" i="1"/>
  <c r="G140" i="1"/>
  <c r="F140" i="1"/>
  <c r="D122" i="1"/>
  <c r="G45" i="1"/>
  <c r="F45" i="1"/>
  <c r="D45" i="1"/>
  <c r="G44" i="1"/>
  <c r="F44" i="1"/>
  <c r="G43" i="1"/>
  <c r="F43" i="1"/>
  <c r="G42" i="1"/>
  <c r="F42" i="1"/>
  <c r="G41" i="1"/>
  <c r="F41" i="1"/>
  <c r="G40" i="1"/>
  <c r="F40" i="1"/>
  <c r="G39" i="1"/>
  <c r="F39" i="1"/>
  <c r="G38" i="1"/>
  <c r="F38" i="1"/>
  <c r="F37" i="1"/>
  <c r="G36" i="1"/>
  <c r="F36" i="1"/>
  <c r="C5" i="8" l="1"/>
  <c r="C4" i="8"/>
  <c r="C3" i="8"/>
  <c r="C8" i="8"/>
  <c r="C7" i="8"/>
  <c r="C2" i="8"/>
  <c r="C6" i="8"/>
  <c r="C9" i="8"/>
  <c r="C10" i="8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X5" i="2"/>
  <c r="EC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W7" i="2"/>
  <c r="EX7" i="2"/>
  <c r="EA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EA10" i="2"/>
  <c r="HH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FS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FS20" i="2"/>
  <c r="HH20" i="2"/>
  <c r="HG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B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C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HI38" i="2"/>
  <c r="EW38" i="2"/>
  <c r="EA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FS57" i="2"/>
  <c r="EB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HI62" i="2"/>
  <c r="EA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H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EW108" i="2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EX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HI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FS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FS127" i="2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FS130" i="2"/>
  <c r="EW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HH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HI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FS141" i="2"/>
  <c r="EA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B145" i="2"/>
  <c r="EA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FS146" i="2"/>
  <c r="HI146" i="2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EV150" i="2"/>
  <c r="HG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C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DI154" i="2" s="1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EA155" i="2"/>
  <c r="ED155" i="2" s="1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B156" i="2"/>
  <c r="DH156" i="2"/>
  <c r="EX156" i="2"/>
  <c r="FS156" i="2"/>
  <c r="AB156" i="2"/>
  <c r="HH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A157" i="2"/>
  <c r="EC157" i="2"/>
  <c r="ED157" i="2" s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V158" i="2" l="1"/>
  <c r="EW158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EY159" i="2"/>
  <c r="ED159" i="2"/>
  <c r="DG160" i="2"/>
  <c r="EC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EX161" i="2"/>
  <c r="EB161" i="2"/>
  <c r="ED160" i="2"/>
  <c r="EA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W162" i="2"/>
  <c r="EC162" i="2"/>
  <c r="ED161" i="2"/>
  <c r="HH162" i="2"/>
  <c r="HG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EB163" i="2"/>
  <c r="HH163" i="2"/>
  <c r="EA163" i="2"/>
  <c r="EV163" i="2"/>
  <c r="EY163" i="2" s="1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S164" i="2" l="1"/>
  <c r="FR164" i="2"/>
  <c r="EA164" i="2"/>
  <c r="ED163" i="2"/>
  <c r="DH164" i="2"/>
  <c r="EV164" i="2"/>
  <c r="DI163" i="2"/>
  <c r="EX164" i="2"/>
  <c r="HH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X167" i="2"/>
  <c r="EY166" i="2"/>
  <c r="EA167" i="2"/>
  <c r="DG167" i="2"/>
  <c r="HH167" i="2"/>
  <c r="EB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EC168" i="2"/>
  <c r="EB168" i="2"/>
  <c r="DI167" i="2"/>
  <c r="HH168" i="2"/>
  <c r="HI168" i="2"/>
  <c r="DG168" i="2"/>
  <c r="EV168" i="2"/>
  <c r="EY168" i="2" s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FS169" i="2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A172" i="2"/>
  <c r="ED171" i="2"/>
  <c r="HI172" i="2"/>
  <c r="EW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A175" i="2" l="1"/>
  <c r="ED174" i="2"/>
  <c r="EB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D177" i="2"/>
  <c r="EB178" i="2"/>
  <c r="EA178" i="2"/>
  <c r="ED178" i="2" s="1"/>
  <c r="FQ178" i="2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V179" i="2" l="1"/>
  <c r="EB179" i="2"/>
  <c r="EA179" i="2"/>
  <c r="DF179" i="2"/>
  <c r="HG179" i="2"/>
  <c r="HI179" i="2"/>
  <c r="FS179" i="2"/>
  <c r="EX179" i="2"/>
  <c r="AW179" i="2"/>
  <c r="EC179" i="2"/>
  <c r="ED179" i="2" s="1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EB185" i="2"/>
  <c r="HH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W186" i="2"/>
  <c r="EA186" i="2"/>
  <c r="ED185" i="2"/>
  <c r="HH186" i="2"/>
  <c r="FR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Y189" i="2" s="1"/>
  <c r="EB189" i="2"/>
  <c r="HH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H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C192" i="2" l="1"/>
  <c r="EB192" i="2"/>
  <c r="EW192" i="2"/>
  <c r="EY192" i="2" s="1"/>
  <c r="HG192" i="2"/>
  <c r="EA192" i="2"/>
  <c r="ED192" i="2" s="1"/>
  <c r="HI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X193" i="2" l="1"/>
  <c r="DI192" i="2"/>
  <c r="FQ193" i="2"/>
  <c r="EB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ED193" i="2"/>
  <c r="EB194" i="2"/>
  <c r="EA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FQ195" i="2" l="1"/>
  <c r="EY194" i="2"/>
  <c r="ED194" i="2"/>
  <c r="EA195" i="2"/>
  <c r="DH195" i="2"/>
  <c r="HI195" i="2"/>
  <c r="AA195" i="2"/>
  <c r="EB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FS197" i="2" l="1"/>
  <c r="EY196" i="2"/>
  <c r="EW197" i="2"/>
  <c r="HG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Y198" i="2" s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FS199" i="2" l="1"/>
  <c r="EW199" i="2"/>
  <c r="EB199" i="2"/>
  <c r="EA199" i="2"/>
  <c r="HH199" i="2"/>
  <c r="EV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EB201" i="2"/>
  <c r="FS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EX202" i="2"/>
  <c r="FZ6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82" i="2" a="1"/>
  <c r="BC82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53" i="2" a="1"/>
  <c r="EI153" i="2" s="1"/>
  <c r="EI106" i="2" a="1"/>
  <c r="EI106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BC83" i="2" a="1"/>
  <c r="BC83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34" i="2" a="1"/>
  <c r="EI34" i="2" s="1"/>
  <c r="EI20" i="2" a="1"/>
  <c r="EI20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EI139" i="2" l="1" a="1"/>
  <c r="EI139" i="2" s="1"/>
  <c r="EI165" i="2" a="1"/>
  <c r="EI165" i="2" s="1"/>
  <c r="EI142" i="2" a="1"/>
  <c r="EI142" i="2" s="1"/>
  <c r="EI166" i="2" a="1"/>
  <c r="EI166" i="2" s="1"/>
  <c r="EI71" i="2" a="1"/>
  <c r="EI71" i="2" s="1"/>
  <c r="EI178" i="2" a="1"/>
  <c r="EI178" i="2" s="1"/>
  <c r="EI198" i="2" a="1"/>
  <c r="EI198" i="2" s="1"/>
  <c r="EI170" i="2" a="1"/>
  <c r="EI170" i="2" s="1"/>
  <c r="EI57" i="2" a="1"/>
  <c r="EI57" i="2" s="1"/>
  <c r="EI145" i="2" a="1"/>
  <c r="EI145" i="2" s="1"/>
  <c r="EI16" i="2" a="1"/>
  <c r="EI16" i="2" s="1"/>
  <c r="EI36" i="2" a="1"/>
  <c r="EI36" i="2" s="1"/>
  <c r="EI162" i="2" a="1"/>
  <c r="EI162" i="2" s="1"/>
  <c r="EI67" i="2" a="1"/>
  <c r="EI67" i="2" s="1"/>
  <c r="EI113" i="2" a="1"/>
  <c r="EI113" i="2" s="1"/>
  <c r="EI87" i="2" a="1"/>
  <c r="EI87" i="2" s="1"/>
  <c r="EI150" i="2" a="1"/>
  <c r="EI150" i="2" s="1"/>
  <c r="EI128" i="2" a="1"/>
  <c r="EI128" i="2" s="1"/>
  <c r="EI109" i="2" a="1"/>
  <c r="EI109" i="2" s="1"/>
  <c r="EI195" i="2" a="1"/>
  <c r="EI195" i="2" s="1"/>
  <c r="EI29" i="2" a="1"/>
  <c r="EI29" i="2" s="1"/>
  <c r="BC151" i="2" a="1"/>
  <c r="BC151" i="2" s="1"/>
  <c r="BC192" i="2" a="1"/>
  <c r="BC192" i="2" s="1"/>
  <c r="BC47" i="2" a="1"/>
  <c r="BC47" i="2" s="1"/>
  <c r="BC7" i="2" a="1"/>
  <c r="BC7" i="2" s="1"/>
  <c r="BC55" i="2" a="1"/>
  <c r="BC55" i="2" s="1"/>
  <c r="BC68" i="2" a="1"/>
  <c r="BC68" i="2" s="1"/>
  <c r="HG203" i="2"/>
  <c r="BC185" i="2" a="1"/>
  <c r="BC185" i="2" s="1"/>
  <c r="BC130" i="2" a="1"/>
  <c r="BC130" i="2" s="1"/>
  <c r="BC117" i="2" a="1"/>
  <c r="BC117" i="2" s="1"/>
  <c r="BC58" i="2" a="1"/>
  <c r="BC58" i="2" s="1"/>
  <c r="BC143" i="2" a="1"/>
  <c r="BC143" i="2" s="1"/>
  <c r="BC181" i="2" a="1"/>
  <c r="BC181" i="2" s="1"/>
  <c r="BC34" i="2" a="1"/>
  <c r="BC34" i="2" s="1"/>
  <c r="BC31" i="2" a="1"/>
  <c r="BC31" i="2" s="1"/>
  <c r="BC65" i="2" a="1"/>
  <c r="BC65" i="2" s="1"/>
  <c r="BC18" i="2" a="1"/>
  <c r="BC18" i="2" s="1"/>
  <c r="BC84" i="2" a="1"/>
  <c r="BC84" i="2" s="1"/>
  <c r="BC114" i="2" a="1"/>
  <c r="BC114" i="2" s="1"/>
  <c r="BC38" i="2" a="1"/>
  <c r="BC38" i="2" s="1"/>
  <c r="BC32" i="2" a="1"/>
  <c r="BC32" i="2" s="1"/>
  <c r="BC126" i="2" a="1"/>
  <c r="BC126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<sst xmlns="http://schemas.openxmlformats.org/spreadsheetml/2006/main" count="1603" uniqueCount="365">
  <si>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</si>
  <si>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</si>
  <si>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</si>
  <si>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</si>
  <si>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</si>
  <si>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</si>
  <si>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</si>
  <si>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</si>
  <si>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</si>
  <si>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</si>
  <si>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</si>
  <si>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</si>
  <si>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</si>
  <si>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</si>
  <si>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</si>
  <si>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</si>
  <si>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</si>
  <si>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</si>
  <si>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</si>
  <si>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</si>
  <si>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</si>
  <si>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</si>
  <si>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</si>
  <si>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</si>
  <si>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</si>
  <si>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</si>
  <si>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</si>
  <si>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</si>
  <si>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</si>
  <si>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</si>
  <si>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</si>
  <si>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</si>
  <si>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</si>
  <si>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</si>
  <si>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</si>
  <si>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</si>
  <si>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</si>
  <si>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</si>
  <si>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</si>
  <si>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</si>
  <si>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</si>
  <si>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</si>
  <si>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</si>
  <si>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</si>
  <si>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</si>
  <si>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</si>
  <si>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</si>
  <si>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</si>
  <si>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</si>
  <si>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</si>
  <si>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</si>
  <si>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</si>
  <si>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</si>
  <si>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</si>
  <si>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</si>
  <si>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</si>
  <si>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</si>
  <si>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</si>
  <si>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</si>
  <si>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</si>
  <si>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</si>
  <si>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</si>
  <si>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</si>
  <si>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</si>
  <si>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</si>
  <si>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</si>
  <si>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</si>
  <si>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</si>
  <si>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</si>
  <si>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</si>
  <si>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</si>
  <si>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</si>
  <si>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</si>
  <si>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</si>
  <si>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</si>
  <si>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</si>
  <si>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</si>
  <si>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</si>
  <si>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</si>
  <si>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</si>
  <si>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</si>
  <si>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</si>
  <si>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</si>
  <si>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</si>
  <si>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</si>
  <si>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</si>
  <si>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</si>
  <si>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</si>
  <si>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</si>
  <si>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</si>
  <si>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</si>
  <si>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</si>
  <si>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</si>
  <si>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</si>
  <si>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</si>
  <si>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</si>
  <si>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</si>
  <si>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</si>
  <si>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</si>
  <si>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</si>
  <si>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</si>
  <si>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</si>
  <si>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</si>
  <si>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</si>
  <si>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</si>
  <si>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</si>
  <si>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</si>
  <si>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</si>
  <si>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</si>
  <si>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</si>
  <si>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</si>
  <si>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</si>
  <si>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</si>
  <si>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</si>
  <si>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</si>
  <si>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</si>
  <si>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</si>
  <si>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</si>
  <si>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</si>
  <si>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</si>
  <si>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</si>
  <si>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</si>
  <si>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</si>
  <si>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</si>
  <si>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</si>
  <si>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</si>
  <si>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</si>
  <si>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</si>
  <si>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</si>
  <si>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</si>
  <si>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</si>
  <si>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</si>
  <si>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</si>
  <si>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</si>
  <si>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</si>
  <si>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</si>
  <si>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</si>
  <si>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</si>
  <si>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</si>
  <si>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</si>
  <si>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</si>
  <si>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</si>
  <si>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</si>
  <si>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</si>
  <si>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</si>
  <si>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</si>
  <si>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</si>
  <si>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</si>
  <si>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</si>
  <si>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</si>
  <si>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</si>
  <si>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</si>
  <si>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</si>
  <si>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</si>
  <si>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</si>
  <si>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</si>
  <si>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</si>
  <si>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</si>
  <si>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</si>
  <si>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</si>
  <si>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</si>
  <si>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</si>
  <si>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</si>
  <si>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</si>
  <si>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</si>
  <si>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</si>
  <si>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</si>
  <si>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</si>
  <si>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</si>
  <si>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</si>
  <si>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</si>
  <si>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</si>
  <si>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</si>
  <si>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</si>
  <si>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</si>
  <si>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</si>
  <si>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</si>
  <si>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</si>
  <si>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</si>
  <si>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</si>
  <si>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</si>
  <si>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</si>
  <si>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</si>
  <si>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</si>
  <si>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</si>
  <si>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</si>
  <si>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</si>
  <si>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</si>
  <si>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</si>
  <si>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</si>
  <si>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</si>
  <si>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</si>
  <si>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</si>
  <si>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</si>
  <si>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</si>
  <si>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</si>
  <si>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</si>
  <si>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</si>
  <si>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</si>
  <si>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</si>
  <si>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</si>
  <si>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</si>
  <si>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</si>
  <si>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</si>
  <si>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</si>
  <si>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</si>
  <si>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</si>
  <si>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</si>
  <si>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</si>
  <si>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</si>
  <si>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</si>
  <si>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</si>
  <si>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</si>
  <si>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</si>
  <si>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</si>
  <si>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</si>
  <si>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</si>
  <si>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</si>
  <si>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</si>
  <si>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</si>
  <si>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</si>
  <si>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</si>
  <si>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</si>
  <si>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</si>
  <si>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</si>
  <si>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</si>
  <si>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</si>
  <si>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</si>
  <si>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</si>
  <si>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</si>
  <si>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</si>
  <si>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</si>
  <si>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</si>
  <si>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</si>
  <si>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</si>
  <si>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</si>
  <si>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</si>
  <si>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</si>
  <si>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</si>
  <si>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</si>
  <si>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</si>
  <si>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</si>
  <si>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</si>
  <si>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</si>
  <si>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</si>
  <si>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</si>
  <si>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</si>
  <si>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</si>
  <si>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</si>
  <si>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</si>
  <si>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</si>
  <si>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</si>
  <si>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</si>
  <si>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</si>
  <si>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</si>
  <si>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</si>
  <si>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</si>
  <si>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</si>
  <si>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</si>
  <si>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</si>
  <si>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</si>
  <si>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</si>
  <si>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</si>
  <si>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</si>
  <si>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</si>
  <si>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</si>
  <si>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</si>
  <si>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</si>
  <si>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</si>
  <si>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</si>
  <si>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</si>
  <si>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</si>
  <si>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</si>
  <si>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</si>
  <si>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</si>
  <si>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</si>
  <si>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</si>
  <si>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</si>
  <si>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</si>
  <si>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</si>
  <si>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</si>
  <si>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</si>
  <si>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</si>
  <si>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</si>
  <si>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</si>
  <si>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</si>
  <si>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</si>
  <si>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</si>
  <si>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</si>
  <si>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</si>
  <si>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</si>
  <si>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</si>
  <si>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</si>
  <si>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</si>
  <si>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</si>
  <si>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</si>
  <si>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</si>
  <si>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</si>
  <si>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</si>
  <si>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</si>
  <si>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</si>
  <si>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</si>
  <si>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</si>
  <si>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</si>
  <si>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</si>
  <si>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</si>
  <si>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</si>
  <si>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</si>
  <si>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</si>
  <si>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</si>
  <si>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</si>
  <si>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</si>
  <si>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</si>
  <si>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</si>
  <si>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</si>
  <si>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</si>
  <si>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</si>
  <si>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</si>
  <si>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</si>
  <si>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</si>
  <si>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</si>
  <si>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</si>
  <si>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</si>
  <si>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</si>
  <si>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Nombre de plants total</t>
  </si>
  <si>
    <t>Alisier</t>
  </si>
  <si>
    <t>Pin Taeda</t>
  </si>
  <si>
    <t>Séquoia sempervirens</t>
  </si>
  <si>
    <t>Total</t>
  </si>
  <si>
    <t>% pourcentage</t>
  </si>
  <si>
    <t>CF</t>
  </si>
  <si>
    <t>Elevé</t>
  </si>
  <si>
    <t>Moyenne</t>
  </si>
  <si>
    <t>CR</t>
  </si>
  <si>
    <t>CHENE</t>
  </si>
  <si>
    <t>PIN MARITIME</t>
  </si>
  <si>
    <t>DOUGLAS</t>
  </si>
  <si>
    <t>MELEZE</t>
  </si>
  <si>
    <t>CHATAIGNIER</t>
  </si>
  <si>
    <t>CEDRE</t>
  </si>
  <si>
    <t>PIN LARICIO</t>
  </si>
  <si>
    <t xml:space="preserve">FEUILLUS CROISSANCE RAPIDE (TILLEUL, MERISIER, ERABLE) </t>
  </si>
  <si>
    <t xml:space="preserve">FEUILLUS CROISSANCE LENTE  (ALISIER) </t>
  </si>
  <si>
    <t>Rabais de 20% sur les productivités du Chataignier</t>
  </si>
  <si>
    <t>Rabais de 20% sur les productivités du Chêne</t>
  </si>
  <si>
    <t>Guide des sylvicultures Chênaies continentales - Sylviculture dynamique - ONF</t>
  </si>
  <si>
    <t>(DECOURT - LEMOINE - 1969) SUD OUEST LANDES</t>
  </si>
  <si>
    <t>(DECOURT 1966) NORD-EST DU MASSIF CENTRAL</t>
  </si>
  <si>
    <t>Choisir un scénario sylvicole pour les mélèzes - Foret Wallonne n°61 - Scénario "production"</t>
  </si>
  <si>
    <t>technique et forêt "Première approche de la production potentielle du cèdre de l'atlas" J.TOTH</t>
  </si>
  <si>
    <t xml:space="preserve"> (DECOURT - 1965) SOLOGNE</t>
  </si>
  <si>
    <t>CRPF Bretagne - Bilan des essais forestiers consacrés au Châtaignier</t>
  </si>
  <si>
    <t>CF.1</t>
  </si>
  <si>
    <t>APRES ECLAIRCIE</t>
  </si>
  <si>
    <r>
      <t>Volume bois fort 
avant éclaircie (m</t>
    </r>
    <r>
      <rPr>
        <b/>
        <sz val="11"/>
        <color theme="0"/>
        <rFont val="Calibri"/>
        <family val="2"/>
      </rPr>
      <t>³</t>
    </r>
    <r>
      <rPr>
        <b/>
        <sz val="11"/>
        <color theme="0"/>
        <rFont val="Calibri"/>
        <family val="2"/>
        <scheme val="minor"/>
      </rPr>
      <t>/ha)</t>
    </r>
  </si>
  <si>
    <r>
      <t>Volume bois fort 
après éclaircie (m</t>
    </r>
    <r>
      <rPr>
        <b/>
        <sz val="11"/>
        <color theme="0"/>
        <rFont val="Calibri"/>
        <family val="2"/>
      </rPr>
      <t>³</t>
    </r>
    <r>
      <rPr>
        <b/>
        <sz val="11"/>
        <color theme="0"/>
        <rFont val="Calibri"/>
        <family val="2"/>
        <scheme val="minor"/>
      </rPr>
      <t>/ha)</t>
    </r>
  </si>
  <si>
    <t/>
  </si>
  <si>
    <t>CF.2</t>
  </si>
  <si>
    <t>CF.3</t>
  </si>
  <si>
    <t>CF.4</t>
  </si>
  <si>
    <t>CF.5</t>
  </si>
  <si>
    <t>feuillus croissance lente assimilé à Chêne avec 20% rabais</t>
  </si>
  <si>
    <t>assimilé au Douglas</t>
  </si>
  <si>
    <t>Surface</t>
  </si>
  <si>
    <t xml:space="preserve">Densité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</si>
</sst>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8"/>
      <color theme="0"/>
      <name val="Arial Narrow"/>
      <family val="2"/>
    </font>
    <font>
      <i/>
      <sz val="11"/>
      <color theme="3" tint="-0.499984740745262"/>
      <name val="Arial Narrow"/>
      <family val="2"/>
    </font>
    <font>
      <sz val="11"/>
      <color theme="1"/>
      <name val="Arial Narrow"/>
      <family val="2"/>
    </font>
    <font>
      <b/>
      <sz val="11"/>
      <color theme="0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347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0" fillId="0" borderId="1" xfId="0" applyBorder="1"/>
    <xf numFmtId="165" fontId="0" fillId="0" borderId="1" xfId="1" applyNumberFormat="1" applyFont="1" applyBorder="1"/>
    <xf numFmtId="9" fontId="0" fillId="0" borderId="1" xfId="1" applyFont="1" applyBorder="1"/>
    <xf numFmtId="0" fontId="0" fillId="0" borderId="1" xfId="0" applyFill="1" applyBorder="1"/>
    <xf numFmtId="0" fontId="34" fillId="22" borderId="0" xfId="3" applyFont="1" applyFill="1" applyAlignment="1">
      <alignment horizontal="center"/>
    </xf>
    <xf numFmtId="0" fontId="4" fillId="0" borderId="0" xfId="3"/>
    <xf numFmtId="0" fontId="27" fillId="0" borderId="0" xfId="3" applyFont="1"/>
    <xf numFmtId="0" fontId="35" fillId="0" borderId="0" xfId="3" applyFont="1" applyAlignment="1">
      <alignment horizontal="left" vertical="center"/>
    </xf>
    <xf numFmtId="0" fontId="35" fillId="0" borderId="0" xfId="3" applyFont="1" applyAlignment="1">
      <alignment horizontal="left" vertical="center"/>
    </xf>
    <xf numFmtId="1" fontId="4" fillId="0" borderId="0" xfId="3" applyNumberFormat="1"/>
    <xf numFmtId="0" fontId="36" fillId="0" borderId="0" xfId="3" applyFont="1" applyAlignment="1">
      <alignment horizontal="center" vertical="center"/>
    </xf>
    <xf numFmtId="0" fontId="36" fillId="0" borderId="0" xfId="3" applyFont="1" applyAlignment="1">
      <alignment vertical="center"/>
    </xf>
    <xf numFmtId="0" fontId="4" fillId="0" borderId="0" xfId="3" applyProtection="1">
      <protection hidden="1"/>
    </xf>
    <xf numFmtId="0" fontId="32" fillId="22" borderId="7" xfId="3" applyFont="1" applyFill="1" applyBorder="1" applyAlignment="1" applyProtection="1">
      <alignment horizontal="center" vertical="center"/>
      <protection hidden="1"/>
    </xf>
    <xf numFmtId="0" fontId="32" fillId="22" borderId="4" xfId="3" applyFont="1" applyFill="1" applyBorder="1" applyAlignment="1" applyProtection="1">
      <alignment horizontal="center" vertical="center" wrapText="1"/>
      <protection hidden="1"/>
    </xf>
    <xf numFmtId="0" fontId="32" fillId="22" borderId="5" xfId="3" applyFont="1" applyFill="1" applyBorder="1" applyAlignment="1" applyProtection="1">
      <alignment horizontal="center" vertical="center" wrapText="1"/>
      <protection hidden="1"/>
    </xf>
    <xf numFmtId="0" fontId="32" fillId="22" borderId="4" xfId="3" applyFont="1" applyFill="1" applyBorder="1" applyAlignment="1" applyProtection="1">
      <alignment horizontal="center" vertical="center"/>
      <protection hidden="1"/>
    </xf>
    <xf numFmtId="0" fontId="32" fillId="22" borderId="5" xfId="3" applyFont="1" applyFill="1" applyBorder="1" applyAlignment="1" applyProtection="1">
      <alignment horizontal="center" vertical="center"/>
      <protection hidden="1"/>
    </xf>
    <xf numFmtId="0" fontId="32" fillId="22" borderId="6" xfId="3" applyFont="1" applyFill="1" applyBorder="1" applyAlignment="1" applyProtection="1">
      <alignment horizontal="center" vertical="center"/>
      <protection hidden="1"/>
    </xf>
    <xf numFmtId="0" fontId="32" fillId="22" borderId="0" xfId="3" applyFont="1" applyFill="1" applyAlignment="1" applyProtection="1">
      <alignment horizontal="center" vertical="center"/>
      <protection hidden="1"/>
    </xf>
    <xf numFmtId="0" fontId="32" fillId="22" borderId="5" xfId="3" applyFont="1" applyFill="1" applyBorder="1" applyAlignment="1" applyProtection="1">
      <alignment horizontal="center" vertical="center" wrapText="1"/>
      <protection hidden="1"/>
    </xf>
    <xf numFmtId="0" fontId="32" fillId="22" borderId="4" xfId="3" applyFont="1" applyFill="1" applyBorder="1" applyAlignment="1" applyProtection="1">
      <alignment horizontal="center" vertical="center" wrapText="1"/>
      <protection hidden="1"/>
    </xf>
    <xf numFmtId="0" fontId="32" fillId="22" borderId="4" xfId="3" applyFont="1" applyFill="1" applyBorder="1" applyAlignment="1" applyProtection="1">
      <alignment horizontal="center" vertical="center"/>
      <protection hidden="1"/>
    </xf>
    <xf numFmtId="0" fontId="32" fillId="22" borderId="5" xfId="3" applyFont="1" applyFill="1" applyBorder="1" applyAlignment="1" applyProtection="1">
      <alignment horizontal="center" vertical="center"/>
      <protection hidden="1"/>
    </xf>
    <xf numFmtId="0" fontId="32" fillId="22" borderId="6" xfId="3" applyFont="1" applyFill="1" applyBorder="1" applyAlignment="1" applyProtection="1">
      <alignment horizontal="center" vertical="center"/>
      <protection hidden="1"/>
    </xf>
    <xf numFmtId="0" fontId="32" fillId="22" borderId="1" xfId="3" applyFont="1" applyFill="1" applyBorder="1" applyAlignment="1" applyProtection="1">
      <alignment horizontal="center" vertical="center"/>
      <protection hidden="1"/>
    </xf>
    <xf numFmtId="0" fontId="32" fillId="22" borderId="1" xfId="3" applyFont="1" applyFill="1" applyBorder="1" applyAlignment="1" applyProtection="1">
      <alignment horizontal="center" vertical="center" wrapText="1"/>
      <protection hidden="1"/>
    </xf>
    <xf numFmtId="0" fontId="33" fillId="21" borderId="1" xfId="3" applyFont="1" applyFill="1" applyBorder="1" applyAlignment="1" applyProtection="1">
      <alignment horizontal="center"/>
      <protection locked="0" hidden="1"/>
    </xf>
    <xf numFmtId="0" fontId="33" fillId="21" borderId="1" xfId="3" applyFont="1" applyFill="1" applyBorder="1" applyAlignment="1" applyProtection="1">
      <alignment horizontal="center"/>
      <protection locked="0"/>
    </xf>
    <xf numFmtId="9" fontId="33" fillId="21" borderId="1" xfId="4" applyFont="1" applyFill="1" applyBorder="1" applyAlignment="1" applyProtection="1">
      <alignment horizontal="center"/>
      <protection locked="0" hidden="1"/>
    </xf>
    <xf numFmtId="0" fontId="4" fillId="0" borderId="1" xfId="3" applyBorder="1"/>
    <xf numFmtId="0" fontId="4" fillId="0" borderId="39" xfId="3" applyBorder="1"/>
    <xf numFmtId="0" fontId="4" fillId="0" borderId="1" xfId="3" applyBorder="1" applyAlignment="1">
      <alignment horizontal="center"/>
    </xf>
    <xf numFmtId="0" fontId="4" fillId="0" borderId="39" xfId="3" applyBorder="1" applyAlignment="1">
      <alignment horizontal="center" vertical="center"/>
    </xf>
    <xf numFmtId="1" fontId="4" fillId="0" borderId="1" xfId="3" applyNumberFormat="1" applyBorder="1"/>
    <xf numFmtId="0" fontId="33" fillId="21" borderId="1" xfId="3" applyFont="1" applyFill="1" applyBorder="1" applyAlignment="1" applyProtection="1">
      <alignment horizontal="center" vertical="center"/>
      <protection locked="0"/>
    </xf>
    <xf numFmtId="0" fontId="33" fillId="21" borderId="47" xfId="3" applyFont="1" applyFill="1" applyBorder="1" applyAlignment="1" applyProtection="1">
      <alignment horizontal="center"/>
      <protection locked="0"/>
    </xf>
    <xf numFmtId="0" fontId="33" fillId="21" borderId="0" xfId="3" applyFont="1" applyFill="1" applyAlignment="1" applyProtection="1">
      <alignment horizontal="center"/>
      <protection locked="0"/>
    </xf>
    <xf numFmtId="9" fontId="33" fillId="21" borderId="0" xfId="4" applyFont="1" applyFill="1" applyBorder="1" applyAlignment="1" applyProtection="1">
      <alignment horizontal="center"/>
      <protection locked="0" hidden="1"/>
    </xf>
    <xf numFmtId="0" fontId="32" fillId="0" borderId="0" xfId="3" applyFont="1" applyAlignment="1" applyProtection="1">
      <alignment horizontal="center" vertical="center"/>
      <protection hidden="1"/>
    </xf>
    <xf numFmtId="0" fontId="32" fillId="0" borderId="0" xfId="3" applyFont="1" applyAlignment="1" applyProtection="1">
      <alignment horizontal="center" vertical="center" wrapText="1"/>
      <protection hidden="1"/>
    </xf>
    <xf numFmtId="0" fontId="33" fillId="0" borderId="0" xfId="3" applyFont="1" applyAlignment="1" applyProtection="1">
      <alignment horizontal="center"/>
      <protection locked="0"/>
    </xf>
    <xf numFmtId="9" fontId="33" fillId="0" borderId="0" xfId="4" applyFont="1" applyFill="1" applyBorder="1" applyAlignment="1" applyProtection="1">
      <alignment horizontal="center"/>
      <protection locked="0" hidden="1"/>
    </xf>
  </cellXfs>
  <cellStyles count="5">
    <cellStyle name="Lien hypertexte" xfId="2" builtinId="8"/>
    <cellStyle name="Normal" xfId="0" builtinId="0"/>
    <cellStyle name="Normal 2" xfId="3" xr:uid="{B5EC1B8B-796A-4DFD-A6D7-AEB317820651}"/>
    <cellStyle name="Pourcentage" xfId="1" builtinId="5"/>
    <cellStyle name="Pourcentage 2" xfId="4" xr:uid="{6FBB1638-6A2A-45BC-91A3-327B93A7D2E9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2.108474572518316</c:v>
                </c:pt>
                <c:pt idx="2">
                  <c:v>2.8670085021075149</c:v>
                </c:pt>
                <c:pt idx="3">
                  <c:v>3.8995836938128075</c:v>
                </c:pt>
                <c:pt idx="4">
                  <c:v>5.3055980481022571</c:v>
                </c:pt>
                <c:pt idx="5">
                  <c:v>7.2206353449995211</c:v>
                </c:pt>
                <c:pt idx="6">
                  <c:v>9.8296836619511652</c:v>
                </c:pt>
                <c:pt idx="7">
                  <c:v>13.38519747861622</c:v>
                </c:pt>
                <c:pt idx="8">
                  <c:v>18.23178342374937</c:v>
                </c:pt>
                <c:pt idx="9">
                  <c:v>24.839945406389592</c:v>
                </c:pt>
                <c:pt idx="10">
                  <c:v>33.852222834482681</c:v>
                </c:pt>
                <c:pt idx="11">
                  <c:v>46.146285377623315</c:v>
                </c:pt>
                <c:pt idx="12">
                  <c:v>62.921232121831004</c:v>
                </c:pt>
                <c:pt idx="13">
                  <c:v>83.125805197857886</c:v>
                </c:pt>
                <c:pt idx="14">
                  <c:v>103.20556924537884</c:v>
                </c:pt>
                <c:pt idx="15">
                  <c:v>123.18839787166746</c:v>
                </c:pt>
                <c:pt idx="16">
                  <c:v>143.09228790376088</c:v>
                </c:pt>
                <c:pt idx="17">
                  <c:v>132.98618500597115</c:v>
                </c:pt>
                <c:pt idx="18">
                  <c:v>155.45722875617952</c:v>
                </c:pt>
                <c:pt idx="19">
                  <c:v>177.85099744783145</c:v>
                </c:pt>
                <c:pt idx="20">
                  <c:v>200.17860042757502</c:v>
                </c:pt>
                <c:pt idx="21">
                  <c:v>182.06242044637693</c:v>
                </c:pt>
                <c:pt idx="22">
                  <c:v>207.9308195045044</c:v>
                </c:pt>
                <c:pt idx="23">
                  <c:v>233.72485302763633</c:v>
                </c:pt>
                <c:pt idx="24">
                  <c:v>259.45388286365005</c:v>
                </c:pt>
                <c:pt idx="25">
                  <c:v>229.5379645972439</c:v>
                </c:pt>
                <c:pt idx="26">
                  <c:v>254.95565122562834</c:v>
                </c:pt>
                <c:pt idx="27">
                  <c:v>280.31597953415428</c:v>
                </c:pt>
                <c:pt idx="28">
                  <c:v>305.62486594574432</c:v>
                </c:pt>
                <c:pt idx="29">
                  <c:v>277.00184490652941</c:v>
                </c:pt>
                <c:pt idx="30">
                  <c:v>300.92982424386526</c:v>
                </c:pt>
                <c:pt idx="31">
                  <c:v>324.81544955459077</c:v>
                </c:pt>
                <c:pt idx="32">
                  <c:v>348.66227126658896</c:v>
                </c:pt>
                <c:pt idx="33">
                  <c:v>372.47331459708585</c:v>
                </c:pt>
                <c:pt idx="34">
                  <c:v>396.25118655434932</c:v>
                </c:pt>
                <c:pt idx="35">
                  <c:v>338.65964342796582</c:v>
                </c:pt>
                <c:pt idx="36">
                  <c:v>357.59545707493356</c:v>
                </c:pt>
                <c:pt idx="37">
                  <c:v>376.50933088459868</c:v>
                </c:pt>
                <c:pt idx="38">
                  <c:v>395.40252158012913</c:v>
                </c:pt>
                <c:pt idx="39">
                  <c:v>414.27615603045524</c:v>
                </c:pt>
                <c:pt idx="40">
                  <c:v>433.13125009429888</c:v>
                </c:pt>
                <c:pt idx="41">
                  <c:v>403.88741034371873</c:v>
                </c:pt>
                <c:pt idx="42">
                  <c:v>417.87909386741245</c:v>
                </c:pt>
                <c:pt idx="43">
                  <c:v>431.86068387305653</c:v>
                </c:pt>
                <c:pt idx="44">
                  <c:v>445.8325531308746</c:v>
                </c:pt>
                <c:pt idx="45">
                  <c:v>459.79504914411177</c:v>
                </c:pt>
                <c:pt idx="46">
                  <c:v>473.74849659300207</c:v>
                </c:pt>
                <c:pt idx="47">
                  <c:v>456.3052857575903</c:v>
                </c:pt>
                <c:pt idx="48">
                  <c:v>465.50435362197749</c:v>
                </c:pt>
                <c:pt idx="49">
                  <c:v>474.69954624952516</c:v>
                </c:pt>
                <c:pt idx="50">
                  <c:v>483.89094931012482</c:v>
                </c:pt>
                <c:pt idx="51">
                  <c:v>493.07864495283161</c:v>
                </c:pt>
                <c:pt idx="52">
                  <c:v>502.2627120148843</c:v>
                </c:pt>
                <c:pt idx="53">
                  <c:v>511.44322621464318</c:v>
                </c:pt>
                <c:pt idx="54">
                  <c:v>520.62026032995084</c:v>
                </c:pt>
                <c:pt idx="55">
                  <c:v>502.89596414017211</c:v>
                </c:pt>
                <c:pt idx="56">
                  <c:v>506.69512340906493</c:v>
                </c:pt>
                <c:pt idx="57">
                  <c:v>510.49368045075312</c:v>
                </c:pt>
                <c:pt idx="58">
                  <c:v>514.29164038230499</c:v>
                </c:pt>
                <c:pt idx="59">
                  <c:v>518.08900823898546</c:v>
                </c:pt>
                <c:pt idx="60">
                  <c:v>521.88578897616731</c:v>
                </c:pt>
                <c:pt idx="61">
                  <c:v>525.68198747118402</c:v>
                </c:pt>
                <c:pt idx="62">
                  <c:v>529.4776085251259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7.9754594360445097</c:v>
                </c:pt>
                <c:pt idx="2">
                  <c:v>15.5967056958581</c:v>
                </c:pt>
                <c:pt idx="3">
                  <c:v>23.10355888013828</c:v>
                </c:pt>
                <c:pt idx="4">
                  <c:v>30.539897511026407</c:v>
                </c:pt>
                <c:pt idx="5">
                  <c:v>37.925608773190028</c:v>
                </c:pt>
                <c:pt idx="6">
                  <c:v>45.272037147076617</c:v>
                </c:pt>
                <c:pt idx="7">
                  <c:v>52.586495980589994</c:v>
                </c:pt>
                <c:pt idx="8">
                  <c:v>59.874079309275885</c:v>
                </c:pt>
                <c:pt idx="9">
                  <c:v>67.138531314061879</c:v>
                </c:pt>
                <c:pt idx="10">
                  <c:v>74.382715323922113</c:v>
                </c:pt>
                <c:pt idx="11">
                  <c:v>81.608888863397013</c:v>
                </c:pt>
                <c:pt idx="12">
                  <c:v>88.818875455441173</c:v>
                </c:pt>
                <c:pt idx="13">
                  <c:v>96.014177371687992</c:v>
                </c:pt>
                <c:pt idx="14">
                  <c:v>103.196052636028</c:v>
                </c:pt>
                <c:pt idx="15">
                  <c:v>110.36556937100062</c:v>
                </c:pt>
                <c:pt idx="16">
                  <c:v>117.52364522565699</c:v>
                </c:pt>
                <c:pt idx="17">
                  <c:v>124.67107665970541</c:v>
                </c:pt>
                <c:pt idx="18">
                  <c:v>131.80856113846616</c:v>
                </c:pt>
                <c:pt idx="19">
                  <c:v>138.93671425421209</c:v>
                </c:pt>
                <c:pt idx="20">
                  <c:v>146.05608314018855</c:v>
                </c:pt>
                <c:pt idx="21">
                  <c:v>153.16715712558823</c:v>
                </c:pt>
                <c:pt idx="22">
                  <c:v>160.27037630350409</c:v>
                </c:pt>
                <c:pt idx="23">
                  <c:v>167.36613849703664</c:v>
                </c:pt>
                <c:pt idx="24">
                  <c:v>174.45480497972017</c:v>
                </c:pt>
                <c:pt idx="25">
                  <c:v>181.53670521567878</c:v>
                </c:pt>
                <c:pt idx="26">
                  <c:v>188.61214082000879</c:v>
                </c:pt>
                <c:pt idx="27">
                  <c:v>195.68138889273436</c:v>
                </c:pt>
                <c:pt idx="28">
                  <c:v>202.74470484495825</c:v>
                </c:pt>
                <c:pt idx="29">
                  <c:v>209.80232480993155</c:v>
                </c:pt>
                <c:pt idx="30">
                  <c:v>216.85446771221939</c:v>
                </c:pt>
                <c:pt idx="31">
                  <c:v>223.90133705322685</c:v>
                </c:pt>
                <c:pt idx="32">
                  <c:v>230.94312245986308</c:v>
                </c:pt>
                <c:pt idx="33">
                  <c:v>237.98000103418462</c:v>
                </c:pt>
                <c:pt idx="34">
                  <c:v>245.01213853484862</c:v>
                </c:pt>
                <c:pt idx="35">
                  <c:v>252.03969041566543</c:v>
                </c:pt>
                <c:pt idx="36">
                  <c:v>259.0628027421248</c:v>
                </c:pt>
                <c:pt idx="37">
                  <c:v>206.43707921846092</c:v>
                </c:pt>
                <c:pt idx="38">
                  <c:v>224.00971024958235</c:v>
                </c:pt>
                <c:pt idx="39">
                  <c:v>241.55074565033283</c:v>
                </c:pt>
                <c:pt idx="40">
                  <c:v>259.0628027421248</c:v>
                </c:pt>
                <c:pt idx="41">
                  <c:v>276.54811592924443</c:v>
                </c:pt>
                <c:pt idx="42">
                  <c:v>294.0086139070097</c:v>
                </c:pt>
                <c:pt idx="43">
                  <c:v>230.50992525899269</c:v>
                </c:pt>
                <c:pt idx="44">
                  <c:v>246.74241713656832</c:v>
                </c:pt>
                <c:pt idx="45">
                  <c:v>262.95066686184344</c:v>
                </c:pt>
                <c:pt idx="46">
                  <c:v>279.13637908968957</c:v>
                </c:pt>
                <c:pt idx="47">
                  <c:v>295.30104458450205</c:v>
                </c:pt>
                <c:pt idx="48">
                  <c:v>311.44597754536511</c:v>
                </c:pt>
                <c:pt idx="49">
                  <c:v>247.06681362820675</c:v>
                </c:pt>
                <c:pt idx="50">
                  <c:v>262.30278018519846</c:v>
                </c:pt>
                <c:pt idx="51">
                  <c:v>277.51877807553331</c:v>
                </c:pt>
                <c:pt idx="52">
                  <c:v>292.71605638412387</c:v>
                </c:pt>
                <c:pt idx="53">
                  <c:v>307.89572387305208</c:v>
                </c:pt>
                <c:pt idx="54">
                  <c:v>323.05877103273184</c:v>
                </c:pt>
                <c:pt idx="55">
                  <c:v>278.00408054679281</c:v>
                </c:pt>
                <c:pt idx="56">
                  <c:v>293.03920769154797</c:v>
                </c:pt>
                <c:pt idx="57">
                  <c:v>308.05711869016056</c:v>
                </c:pt>
                <c:pt idx="58">
                  <c:v>323.05877103273184</c:v>
                </c:pt>
                <c:pt idx="59">
                  <c:v>338.04502601481693</c:v>
                </c:pt>
                <c:pt idx="60">
                  <c:v>353.01666232745441</c:v>
                </c:pt>
                <c:pt idx="61">
                  <c:v>367.9743872204312</c:v>
                </c:pt>
                <c:pt idx="62">
                  <c:v>382.9188457551445</c:v>
                </c:pt>
                <c:pt idx="63">
                  <c:v>323.30060479601497</c:v>
                </c:pt>
                <c:pt idx="64">
                  <c:v>339.01137125935287</c:v>
                </c:pt>
                <c:pt idx="65">
                  <c:v>354.70612187779744</c:v>
                </c:pt>
                <c:pt idx="66">
                  <c:v>370.38566498431533</c:v>
                </c:pt>
                <c:pt idx="67">
                  <c:v>386.05073489457141</c:v>
                </c:pt>
                <c:pt idx="68">
                  <c:v>401.70200147564918</c:v>
                </c:pt>
                <c:pt idx="69">
                  <c:v>417.34007814551131</c:v>
                </c:pt>
                <c:pt idx="70">
                  <c:v>432.96552861089259</c:v>
                </c:pt>
                <c:pt idx="71">
                  <c:v>345.29114635937094</c:v>
                </c:pt>
                <c:pt idx="72">
                  <c:v>359.77344653568503</c:v>
                </c:pt>
                <c:pt idx="73">
                  <c:v>374.24299819156437</c:v>
                </c:pt>
                <c:pt idx="74">
                  <c:v>388.70036362009432</c:v>
                </c:pt>
                <c:pt idx="75">
                  <c:v>403.14605987522009</c:v>
                </c:pt>
                <c:pt idx="76">
                  <c:v>417.5805639360197</c:v>
                </c:pt>
                <c:pt idx="77">
                  <c:v>432.00431711964933</c:v>
                </c:pt>
                <c:pt idx="78">
                  <c:v>446.4177288742078</c:v>
                </c:pt>
                <c:pt idx="79">
                  <c:v>377.9923525989995</c:v>
                </c:pt>
                <c:pt idx="80">
                  <c:v>390.41304605128562</c:v>
                </c:pt>
                <c:pt idx="81">
                  <c:v>402.82516769451564</c:v>
                </c:pt>
                <c:pt idx="82">
                  <c:v>415.2290188902025</c:v>
                </c:pt>
                <c:pt idx="83">
                  <c:v>427.6248815247975</c:v>
                </c:pt>
                <c:pt idx="84">
                  <c:v>440.01301980824064</c:v>
                </c:pt>
                <c:pt idx="85">
                  <c:v>452.39368185940071</c:v>
                </c:pt>
                <c:pt idx="86">
                  <c:v>464.76710110891599</c:v>
                </c:pt>
                <c:pt idx="87">
                  <c:v>477.13349754486836</c:v>
                </c:pt>
                <c:pt idx="88">
                  <c:v>413.92485656153303</c:v>
                </c:pt>
                <c:pt idx="89">
                  <c:v>425.65916330199144</c:v>
                </c:pt>
                <c:pt idx="90">
                  <c:v>437.38651290584818</c:v>
                </c:pt>
                <c:pt idx="91">
                  <c:v>449.10711821530134</c:v>
                </c:pt>
                <c:pt idx="92">
                  <c:v>460.82118005626171</c:v>
                </c:pt>
                <c:pt idx="93">
                  <c:v>472.52888821143938</c:v>
                </c:pt>
                <c:pt idx="94">
                  <c:v>484.23042229196705</c:v>
                </c:pt>
                <c:pt idx="95">
                  <c:v>495.92595252039115</c:v>
                </c:pt>
                <c:pt idx="96">
                  <c:v>507.61564043595712</c:v>
                </c:pt>
                <c:pt idx="97">
                  <c:v>519.29963953155652</c:v>
                </c:pt>
                <c:pt idx="98">
                  <c:v>451.21996795767382</c:v>
                </c:pt>
                <c:pt idx="99">
                  <c:v>463.70070669781461</c:v>
                </c:pt>
                <c:pt idx="100">
                  <c:v>476.17428221780096</c:v>
                </c:pt>
                <c:pt idx="101">
                  <c:v>488.64090858857759</c:v>
                </c:pt>
                <c:pt idx="102">
                  <c:v>501.10078806812936</c:v>
                </c:pt>
                <c:pt idx="103">
                  <c:v>513.55411203705989</c:v>
                </c:pt>
                <c:pt idx="104">
                  <c:v>526.0010618387148</c:v>
                </c:pt>
                <c:pt idx="105">
                  <c:v>538.4418095356591</c:v>
                </c:pt>
                <c:pt idx="106">
                  <c:v>550.87651859261939</c:v>
                </c:pt>
                <c:pt idx="107">
                  <c:v>563.30534449457082</c:v>
                </c:pt>
                <c:pt idx="108">
                  <c:v>488.06567585482873</c:v>
                </c:pt>
                <c:pt idx="109">
                  <c:v>500.90914774323136</c:v>
                </c:pt>
                <c:pt idx="110">
                  <c:v>513.74565139766867</c:v>
                </c:pt>
                <c:pt idx="111">
                  <c:v>526.5753854276752</c:v>
                </c:pt>
                <c:pt idx="112">
                  <c:v>539.39853797754756</c:v>
                </c:pt>
                <c:pt idx="113">
                  <c:v>552.21528751868789</c:v>
                </c:pt>
                <c:pt idx="114">
                  <c:v>565.02580356458077</c:v>
                </c:pt>
                <c:pt idx="115">
                  <c:v>577.83024731757405</c:v>
                </c:pt>
                <c:pt idx="116">
                  <c:v>590.62877225537125</c:v>
                </c:pt>
                <c:pt idx="117">
                  <c:v>603.42152466405844</c:v>
                </c:pt>
                <c:pt idx="118">
                  <c:v>529.03206537897029</c:v>
                </c:pt>
                <c:pt idx="119">
                  <c:v>540.67412044872333</c:v>
                </c:pt>
                <c:pt idx="120">
                  <c:v>552.31091126495016</c:v>
                </c:pt>
                <c:pt idx="121">
                  <c:v>563.94256435591444</c:v>
                </c:pt>
                <c:pt idx="122">
                  <c:v>575.56920060576647</c:v>
                </c:pt>
                <c:pt idx="123">
                  <c:v>587.19093561764714</c:v>
                </c:pt>
                <c:pt idx="124">
                  <c:v>598.80788004655824</c:v>
                </c:pt>
                <c:pt idx="125">
                  <c:v>610.4201399050653</c:v>
                </c:pt>
                <c:pt idx="126">
                  <c:v>622.02781684453828</c:v>
                </c:pt>
                <c:pt idx="127">
                  <c:v>633.63100841431367</c:v>
                </c:pt>
                <c:pt idx="128">
                  <c:v>645.22980830089637</c:v>
                </c:pt>
                <c:pt idx="129">
                  <c:v>656.82430654907159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6.6997860972548038</c:v>
                </c:pt>
                <c:pt idx="2">
                  <c:v>13.097538383622366</c:v>
                </c:pt>
                <c:pt idx="3">
                  <c:v>19.397748910222237</c:v>
                </c:pt>
                <c:pt idx="4">
                  <c:v>25.637832426554898</c:v>
                </c:pt>
                <c:pt idx="5">
                  <c:v>31.834746523630582</c:v>
                </c:pt>
                <c:pt idx="6">
                  <c:v>37.998164519360706</c:v>
                </c:pt>
                <c:pt idx="7">
                  <c:v>44.134322427778478</c:v>
                </c:pt>
                <c:pt idx="8">
                  <c:v>50.247563878855722</c:v>
                </c:pt>
                <c:pt idx="9">
                  <c:v>56.341081495877127</c:v>
                </c:pt>
                <c:pt idx="10">
                  <c:v>62.417316809028286</c:v>
                </c:pt>
                <c:pt idx="11">
                  <c:v>68.478194785492434</c:v>
                </c:pt>
                <c:pt idx="12">
                  <c:v>74.525270323913048</c:v>
                </c:pt>
                <c:pt idx="13">
                  <c:v>80.559824395346126</c:v>
                </c:pt>
                <c:pt idx="14">
                  <c:v>86.582929703393233</c:v>
                </c:pt>
                <c:pt idx="15">
                  <c:v>92.595497024791982</c:v>
                </c:pt>
                <c:pt idx="16">
                  <c:v>98.598308829135718</c:v>
                </c:pt>
                <c:pt idx="17">
                  <c:v>104.59204424915316</c:v>
                </c:pt>
                <c:pt idx="18">
                  <c:v>110.57729800611047</c:v>
                </c:pt>
                <c:pt idx="19">
                  <c:v>116.55459500899632</c:v>
                </c:pt>
                <c:pt idx="20">
                  <c:v>122.52440179251424</c:v>
                </c:pt>
                <c:pt idx="21">
                  <c:v>128.48713560246634</c:v>
                </c:pt>
                <c:pt idx="22">
                  <c:v>134.44317170155583</c:v>
                </c:pt>
                <c:pt idx="23">
                  <c:v>140.39284930931262</c:v>
                </c:pt>
                <c:pt idx="24">
                  <c:v>146.33647647983977</c:v>
                </c:pt>
                <c:pt idx="25">
                  <c:v>152.27433414369443</c:v>
                </c:pt>
                <c:pt idx="26">
                  <c:v>158.20667948486386</c:v>
                </c:pt>
                <c:pt idx="27">
                  <c:v>164.1337487835936</c:v>
                </c:pt>
                <c:pt idx="28">
                  <c:v>170.05575982621656</c:v>
                </c:pt>
                <c:pt idx="29">
                  <c:v>175.97291396104652</c:v>
                </c:pt>
                <c:pt idx="30">
                  <c:v>181.88539786273327</c:v>
                </c:pt>
                <c:pt idx="31">
                  <c:v>187.79338505476224</c:v>
                </c:pt>
                <c:pt idx="32">
                  <c:v>193.69703722998369</c:v>
                </c:pt>
                <c:pt idx="33">
                  <c:v>199.59650540143889</c:v>
                </c:pt>
                <c:pt idx="34">
                  <c:v>205.49193090977312</c:v>
                </c:pt>
                <c:pt idx="35">
                  <c:v>211.38344630879848</c:v>
                </c:pt>
                <c:pt idx="36">
                  <c:v>217.27117614700566</c:v>
                </c:pt>
                <c:pt idx="37">
                  <c:v>223.15523765979904</c:v>
                </c:pt>
                <c:pt idx="38">
                  <c:v>229.03574138479192</c:v>
                </c:pt>
                <c:pt idx="39">
                  <c:v>234.9127917105111</c:v>
                </c:pt>
                <c:pt idx="40">
                  <c:v>240.78648736724048</c:v>
                </c:pt>
                <c:pt idx="41">
                  <c:v>246.65692186739997</c:v>
                </c:pt>
                <c:pt idx="42">
                  <c:v>252.52418390174861</c:v>
                </c:pt>
                <c:pt idx="43">
                  <c:v>200.43149844135633</c:v>
                </c:pt>
                <c:pt idx="44">
                  <c:v>213.93699051541526</c:v>
                </c:pt>
                <c:pt idx="45">
                  <c:v>227.42285390051089</c:v>
                </c:pt>
                <c:pt idx="46">
                  <c:v>240.89041694345076</c:v>
                </c:pt>
                <c:pt idx="47">
                  <c:v>254.34084723275001</c:v>
                </c:pt>
                <c:pt idx="48">
                  <c:v>267.77517870928637</c:v>
                </c:pt>
                <c:pt idx="49">
                  <c:v>219.22425254131755</c:v>
                </c:pt>
                <c:pt idx="50">
                  <c:v>231.79265788705015</c:v>
                </c:pt>
                <c:pt idx="51">
                  <c:v>244.34549707590796</c:v>
                </c:pt>
                <c:pt idx="52">
                  <c:v>256.88368281077419</c:v>
                </c:pt>
                <c:pt idx="53">
                  <c:v>269.40803136843112</c:v>
                </c:pt>
                <c:pt idx="54">
                  <c:v>281.91927689223098</c:v>
                </c:pt>
                <c:pt idx="55">
                  <c:v>294.41808301264047</c:v>
                </c:pt>
                <c:pt idx="56">
                  <c:v>306.90505238979614</c:v>
                </c:pt>
                <c:pt idx="57">
                  <c:v>242.98178331978389</c:v>
                </c:pt>
                <c:pt idx="58">
                  <c:v>257.42850185227354</c:v>
                </c:pt>
                <c:pt idx="59">
                  <c:v>271.85689303687468</c:v>
                </c:pt>
                <c:pt idx="60">
                  <c:v>286.26806670430182</c:v>
                </c:pt>
                <c:pt idx="61">
                  <c:v>300.66301178371663</c:v>
                </c:pt>
                <c:pt idx="62">
                  <c:v>315.04261475405968</c:v>
                </c:pt>
                <c:pt idx="63">
                  <c:v>329.40767454828807</c:v>
                </c:pt>
                <c:pt idx="64">
                  <c:v>343.75891472050535</c:v>
                </c:pt>
                <c:pt idx="65">
                  <c:v>267.23084470420918</c:v>
                </c:pt>
                <c:pt idx="66">
                  <c:v>279.74431949620583</c:v>
                </c:pt>
                <c:pt idx="67">
                  <c:v>292.24524409564179</c:v>
                </c:pt>
                <c:pt idx="68">
                  <c:v>304.73423115701871</c:v>
                </c:pt>
                <c:pt idx="69">
                  <c:v>317.21183899833085</c:v>
                </c:pt>
                <c:pt idx="70">
                  <c:v>329.6785784135397</c:v>
                </c:pt>
                <c:pt idx="71">
                  <c:v>342.13491840023556</c:v>
                </c:pt>
                <c:pt idx="72">
                  <c:v>354.58129100924572</c:v>
                </c:pt>
                <c:pt idx="73">
                  <c:v>295.80609810085514</c:v>
                </c:pt>
                <c:pt idx="74">
                  <c:v>306.42267726158605</c:v>
                </c:pt>
                <c:pt idx="75">
                  <c:v>317.03108289829305</c:v>
                </c:pt>
                <c:pt idx="76">
                  <c:v>327.63162720437492</c:v>
                </c:pt>
                <c:pt idx="77">
                  <c:v>338.22460051170231</c:v>
                </c:pt>
                <c:pt idx="78">
                  <c:v>348.81027347297396</c:v>
                </c:pt>
                <c:pt idx="79">
                  <c:v>359.3888989652005</c:v>
                </c:pt>
                <c:pt idx="80">
                  <c:v>369.96071375727814</c:v>
                </c:pt>
                <c:pt idx="81">
                  <c:v>380.5259399769393</c:v>
                </c:pt>
                <c:pt idx="82">
                  <c:v>323.77777462857313</c:v>
                </c:pt>
                <c:pt idx="83">
                  <c:v>334.13274064753944</c:v>
                </c:pt>
                <c:pt idx="84">
                  <c:v>344.48063668506535</c:v>
                </c:pt>
                <c:pt idx="85">
                  <c:v>354.82170515705769</c:v>
                </c:pt>
                <c:pt idx="86">
                  <c:v>365.15617318952371</c:v>
                </c:pt>
                <c:pt idx="87">
                  <c:v>375.48425399770628</c:v>
                </c:pt>
                <c:pt idx="88">
                  <c:v>385.8061481055085</c:v>
                </c:pt>
                <c:pt idx="89">
                  <c:v>396.1220444275678</c:v>
                </c:pt>
                <c:pt idx="90">
                  <c:v>406.43212123270069</c:v>
                </c:pt>
                <c:pt idx="91">
                  <c:v>351.87638506710238</c:v>
                </c:pt>
                <c:pt idx="92">
                  <c:v>362.15263507179503</c:v>
                </c:pt>
                <c:pt idx="93">
                  <c:v>372.42251200019501</c:v>
                </c:pt>
                <c:pt idx="94">
                  <c:v>382.68621644309718</c:v>
                </c:pt>
                <c:pt idx="95">
                  <c:v>392.94393734930151</c:v>
                </c:pt>
                <c:pt idx="96">
                  <c:v>403.19585299411045</c:v>
                </c:pt>
                <c:pt idx="97">
                  <c:v>413.44213184415986</c:v>
                </c:pt>
                <c:pt idx="98">
                  <c:v>423.68293333202678</c:v>
                </c:pt>
                <c:pt idx="99">
                  <c:v>433.91840855202554</c:v>
                </c:pt>
                <c:pt idx="100">
                  <c:v>444.14870088691924</c:v>
                </c:pt>
                <c:pt idx="101">
                  <c:v>454.37394657387154</c:v>
                </c:pt>
                <c:pt idx="102">
                  <c:v>464.59427521679351</c:v>
                </c:pt>
                <c:pt idx="103">
                  <c:v>386.10611256795556</c:v>
                </c:pt>
                <c:pt idx="104">
                  <c:v>396.00212592142566</c:v>
                </c:pt>
                <c:pt idx="105">
                  <c:v>405.89278200614257</c:v>
                </c:pt>
                <c:pt idx="106">
                  <c:v>415.77822981932314</c:v>
                </c:pt>
                <c:pt idx="107">
                  <c:v>425.65861069261609</c:v>
                </c:pt>
                <c:pt idx="108">
                  <c:v>435.53405885908927</c:v>
                </c:pt>
                <c:pt idx="109">
                  <c:v>445.40470196610204</c:v>
                </c:pt>
                <c:pt idx="110">
                  <c:v>455.2706615403377</c:v>
                </c:pt>
                <c:pt idx="111">
                  <c:v>465.13205341042038</c:v>
                </c:pt>
                <c:pt idx="112">
                  <c:v>474.98898809181838</c:v>
                </c:pt>
                <c:pt idx="113">
                  <c:v>484.84157113813313</c:v>
                </c:pt>
                <c:pt idx="114">
                  <c:v>494.68990346234324</c:v>
                </c:pt>
                <c:pt idx="115">
                  <c:v>424.94020544320409</c:v>
                </c:pt>
                <c:pt idx="116">
                  <c:v>434.81600797125435</c:v>
                </c:pt>
                <c:pt idx="117">
                  <c:v>444.68699636813153</c:v>
                </c:pt>
                <c:pt idx="118">
                  <c:v>454.55329259092628</c:v>
                </c:pt>
                <c:pt idx="119">
                  <c:v>464.41501286925859</c:v>
                </c:pt>
                <c:pt idx="120">
                  <c:v>474.27226809277977</c:v>
                </c:pt>
                <c:pt idx="121">
                  <c:v>484.12516416477951</c:v>
                </c:pt>
                <c:pt idx="122">
                  <c:v>493.9738023255033</c:v>
                </c:pt>
                <c:pt idx="123">
                  <c:v>503.8182794483439</c:v>
                </c:pt>
                <c:pt idx="124">
                  <c:v>513.65868831167484</c:v>
                </c:pt>
                <c:pt idx="125">
                  <c:v>523.49511784877052</c:v>
                </c:pt>
                <c:pt idx="126">
                  <c:v>533.32765337796343</c:v>
                </c:pt>
                <c:pt idx="127">
                  <c:v>461.90518473571797</c:v>
                </c:pt>
                <c:pt idx="128">
                  <c:v>472.12196960826742</c:v>
                </c:pt>
                <c:pt idx="129">
                  <c:v>482.33404812612531</c:v>
                </c:pt>
                <c:pt idx="130">
                  <c:v>492.54153399431021</c:v>
                </c:pt>
                <c:pt idx="131">
                  <c:v>502.74453582001661</c:v>
                </c:pt>
                <c:pt idx="132">
                  <c:v>512.94315744220251</c:v>
                </c:pt>
                <c:pt idx="133">
                  <c:v>523.13749823360024</c:v>
                </c:pt>
                <c:pt idx="134">
                  <c:v>533.32765337796343</c:v>
                </c:pt>
                <c:pt idx="135">
                  <c:v>543.51371412502385</c:v>
                </c:pt>
                <c:pt idx="136">
                  <c:v>553.69576802534039</c:v>
                </c:pt>
                <c:pt idx="137">
                  <c:v>563.8738991469794</c:v>
                </c:pt>
                <c:pt idx="138">
                  <c:v>574.04818827573672</c:v>
                </c:pt>
                <c:pt idx="139">
                  <c:v>500.84747006717697</c:v>
                </c:pt>
                <c:pt idx="140">
                  <c:v>511.29735638985227</c:v>
                </c:pt>
                <c:pt idx="141">
                  <c:v>521.74273246270229</c:v>
                </c:pt>
                <c:pt idx="142">
                  <c:v>532.18370131230733</c:v>
                </c:pt>
                <c:pt idx="143">
                  <c:v>542.62036159297793</c:v>
                </c:pt>
                <c:pt idx="144">
                  <c:v>553.05280785462708</c:v>
                </c:pt>
                <c:pt idx="145">
                  <c:v>563.48113078937706</c:v>
                </c:pt>
                <c:pt idx="146">
                  <c:v>573.90541745896724</c:v>
                </c:pt>
                <c:pt idx="147">
                  <c:v>584.32575150478203</c:v>
                </c:pt>
                <c:pt idx="148">
                  <c:v>594.74221334211961</c:v>
                </c:pt>
                <c:pt idx="149">
                  <c:v>605.15488034014845</c:v>
                </c:pt>
                <c:pt idx="150">
                  <c:v>615.56382698883408</c:v>
                </c:pt>
                <c:pt idx="151">
                  <c:v>625.96912505399484</c:v>
                </c:pt>
                <c:pt idx="152">
                  <c:v>636.37084372151094</c:v>
                </c:pt>
                <c:pt idx="153">
                  <c:v>646.76904973162095</c:v>
                </c:pt>
                <c:pt idx="154">
                  <c:v>5.8750878686422984E-12</c:v>
                </c:pt>
                <c:pt idx="155">
                  <c:v>5.8750878686422984E-12</c:v>
                </c:pt>
                <c:pt idx="156">
                  <c:v>5.8750878686422984E-12</c:v>
                </c:pt>
                <c:pt idx="157">
                  <c:v>5.8750878686422984E-12</c:v>
                </c:pt>
                <c:pt idx="158">
                  <c:v>5.8750878686422984E-12</c:v>
                </c:pt>
                <c:pt idx="159">
                  <c:v>5.8750878686422984E-12</c:v>
                </c:pt>
                <c:pt idx="160">
                  <c:v>5.8750878686422984E-12</c:v>
                </c:pt>
                <c:pt idx="161">
                  <c:v>5.8750878686422984E-12</c:v>
                </c:pt>
                <c:pt idx="162">
                  <c:v>5.8750878686422984E-12</c:v>
                </c:pt>
                <c:pt idx="163">
                  <c:v>5.8750878686422984E-12</c:v>
                </c:pt>
                <c:pt idx="164">
                  <c:v>5.8750878686422984E-12</c:v>
                </c:pt>
                <c:pt idx="165">
                  <c:v>5.8750878686422984E-12</c:v>
                </c:pt>
                <c:pt idx="166">
                  <c:v>5.8750878686422984E-12</c:v>
                </c:pt>
                <c:pt idx="167">
                  <c:v>5.8750878686422984E-12</c:v>
                </c:pt>
                <c:pt idx="168">
                  <c:v>5.8750878686422984E-12</c:v>
                </c:pt>
                <c:pt idx="169">
                  <c:v>5.8750878686422984E-12</c:v>
                </c:pt>
                <c:pt idx="170">
                  <c:v>5.8750878686422984E-12</c:v>
                </c:pt>
                <c:pt idx="171">
                  <c:v>5.8750878686422984E-12</c:v>
                </c:pt>
                <c:pt idx="172">
                  <c:v>5.8750878686422984E-12</c:v>
                </c:pt>
                <c:pt idx="173">
                  <c:v>5.8750878686422984E-12</c:v>
                </c:pt>
                <c:pt idx="174">
                  <c:v>5.8750878686422984E-12</c:v>
                </c:pt>
                <c:pt idx="175">
                  <c:v>5.8750878686422984E-12</c:v>
                </c:pt>
                <c:pt idx="176">
                  <c:v>5.8750878686422984E-12</c:v>
                </c:pt>
                <c:pt idx="177">
                  <c:v>5.8750878686422984E-12</c:v>
                </c:pt>
                <c:pt idx="178">
                  <c:v>5.8750878686422984E-12</c:v>
                </c:pt>
                <c:pt idx="179">
                  <c:v>5.8750878686422984E-12</c:v>
                </c:pt>
                <c:pt idx="180">
                  <c:v>5.8750878686422984E-12</c:v>
                </c:pt>
                <c:pt idx="181">
                  <c:v>5.8750878686422984E-12</c:v>
                </c:pt>
                <c:pt idx="182">
                  <c:v>5.8750878686422984E-12</c:v>
                </c:pt>
                <c:pt idx="183">
                  <c:v>5.8750878686422984E-12</c:v>
                </c:pt>
                <c:pt idx="184">
                  <c:v>5.8750878686422984E-12</c:v>
                </c:pt>
                <c:pt idx="185">
                  <c:v>5.8750878686422984E-12</c:v>
                </c:pt>
                <c:pt idx="186">
                  <c:v>5.8750878686422984E-12</c:v>
                </c:pt>
                <c:pt idx="187">
                  <c:v>5.8750878686422984E-12</c:v>
                </c:pt>
                <c:pt idx="188">
                  <c:v>5.8750878686422984E-12</c:v>
                </c:pt>
                <c:pt idx="189">
                  <c:v>5.8750878686422984E-12</c:v>
                </c:pt>
                <c:pt idx="190">
                  <c:v>5.8750878686422984E-12</c:v>
                </c:pt>
                <c:pt idx="191">
                  <c:v>5.8750878686422984E-12</c:v>
                </c:pt>
                <c:pt idx="192">
                  <c:v>5.8750878686422984E-12</c:v>
                </c:pt>
                <c:pt idx="193">
                  <c:v>5.8750878686422984E-12</c:v>
                </c:pt>
                <c:pt idx="194">
                  <c:v>5.8750878686422984E-12</c:v>
                </c:pt>
                <c:pt idx="195">
                  <c:v>5.8750878686422984E-12</c:v>
                </c:pt>
                <c:pt idx="196">
                  <c:v>5.8750878686422984E-12</c:v>
                </c:pt>
                <c:pt idx="197">
                  <c:v>5.8750878686422984E-12</c:v>
                </c:pt>
                <c:pt idx="198">
                  <c:v>5.8750878686422984E-12</c:v>
                </c:pt>
                <c:pt idx="199">
                  <c:v>5.8750878686422984E-12</c:v>
                </c:pt>
                <c:pt idx="200">
                  <c:v>5.8750878686422984E-12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142.48500130325036</c:v>
                </c:pt>
                <c:pt idx="22">
                  <c:v>152.39570073619885</c:v>
                </c:pt>
                <c:pt idx="23">
                  <c:v>162.29105867284608</c:v>
                </c:pt>
                <c:pt idx="24">
                  <c:v>172.17214343530728</c:v>
                </c:pt>
                <c:pt idx="25">
                  <c:v>182.03989052321063</c:v>
                </c:pt>
                <c:pt idx="26">
                  <c:v>191.89512559183012</c:v>
                </c:pt>
                <c:pt idx="27">
                  <c:v>201.73858245345363</c:v>
                </c:pt>
                <c:pt idx="28">
                  <c:v>211.57091737527421</c:v>
                </c:pt>
                <c:pt idx="29">
                  <c:v>221.39272057606874</c:v>
                </c:pt>
                <c:pt idx="30">
                  <c:v>231.20452557301368</c:v>
                </c:pt>
                <c:pt idx="31">
                  <c:v>207.12333216969819</c:v>
                </c:pt>
                <c:pt idx="32">
                  <c:v>219.79571700267221</c:v>
                </c:pt>
                <c:pt idx="33">
                  <c:v>232.45132559275874</c:v>
                </c:pt>
                <c:pt idx="34">
                  <c:v>245.09120040691963</c:v>
                </c:pt>
                <c:pt idx="35">
                  <c:v>257.71626753353524</c:v>
                </c:pt>
                <c:pt idx="36">
                  <c:v>270.32735486205451</c:v>
                </c:pt>
                <c:pt idx="37">
                  <c:v>282.92520668929029</c:v>
                </c:pt>
                <c:pt idx="38">
                  <c:v>295.51049558584316</c:v>
                </c:pt>
                <c:pt idx="39">
                  <c:v>308.08383213379756</c:v>
                </c:pt>
                <c:pt idx="40">
                  <c:v>320.64577299063768</c:v>
                </c:pt>
                <c:pt idx="41">
                  <c:v>283.53984014040685</c:v>
                </c:pt>
                <c:pt idx="42">
                  <c:v>298.82821980238208</c:v>
                </c:pt>
                <c:pt idx="43">
                  <c:v>314.09917713162235</c:v>
                </c:pt>
                <c:pt idx="44">
                  <c:v>329.35367842100987</c:v>
                </c:pt>
                <c:pt idx="45">
                  <c:v>344.59259313899992</c:v>
                </c:pt>
                <c:pt idx="46">
                  <c:v>359.8167075743786</c:v>
                </c:pt>
                <c:pt idx="47">
                  <c:v>375.0267360503222</c:v>
                </c:pt>
                <c:pt idx="48">
                  <c:v>390.22333022377279</c:v>
                </c:pt>
                <c:pt idx="49">
                  <c:v>405.4070868603726</c:v>
                </c:pt>
                <c:pt idx="50">
                  <c:v>420.57855438374185</c:v>
                </c:pt>
                <c:pt idx="51">
                  <c:v>370.68531079096653</c:v>
                </c:pt>
                <c:pt idx="52">
                  <c:v>389.34146982009651</c:v>
                </c:pt>
                <c:pt idx="53">
                  <c:v>407.97823354231809</c:v>
                </c:pt>
                <c:pt idx="54">
                  <c:v>426.5966121990632</c:v>
                </c:pt>
                <c:pt idx="55">
                  <c:v>445.19752069441347</c:v>
                </c:pt>
                <c:pt idx="56">
                  <c:v>463.78179128139027</c:v>
                </c:pt>
                <c:pt idx="57">
                  <c:v>482.35018410916967</c:v>
                </c:pt>
                <c:pt idx="58">
                  <c:v>500.90339606198364</c:v>
                </c:pt>
                <c:pt idx="59">
                  <c:v>519.44206822067224</c:v>
                </c:pt>
                <c:pt idx="60">
                  <c:v>537.96679220397789</c:v>
                </c:pt>
                <c:pt idx="61">
                  <c:v>472.40311815894864</c:v>
                </c:pt>
                <c:pt idx="62">
                  <c:v>494.60563520918475</c:v>
                </c:pt>
                <c:pt idx="63">
                  <c:v>516.78703913192601</c:v>
                </c:pt>
                <c:pt idx="64">
                  <c:v>538.94836279512663</c:v>
                </c:pt>
                <c:pt idx="65">
                  <c:v>561.09054727375462</c:v>
                </c:pt>
                <c:pt idx="66">
                  <c:v>583.21445338102853</c:v>
                </c:pt>
                <c:pt idx="67">
                  <c:v>605.32087135995846</c:v>
                </c:pt>
                <c:pt idx="68">
                  <c:v>627.41052908646373</c:v>
                </c:pt>
                <c:pt idx="69">
                  <c:v>649.48409905802498</c:v>
                </c:pt>
                <c:pt idx="70">
                  <c:v>671.54220438363518</c:v>
                </c:pt>
                <c:pt idx="71">
                  <c:v>587.46537254716259</c:v>
                </c:pt>
                <c:pt idx="72">
                  <c:v>612.99510969331948</c:v>
                </c:pt>
                <c:pt idx="73">
                  <c:v>638.50280215693681</c:v>
                </c:pt>
                <c:pt idx="74">
                  <c:v>663.98945335132873</c:v>
                </c:pt>
                <c:pt idx="75">
                  <c:v>689.45598347836778</c:v>
                </c:pt>
                <c:pt idx="76">
                  <c:v>714.90323930865009</c:v>
                </c:pt>
                <c:pt idx="77">
                  <c:v>740.33200249818549</c:v>
                </c:pt>
                <c:pt idx="78">
                  <c:v>765.74299670430491</c:v>
                </c:pt>
                <c:pt idx="79">
                  <c:v>791.13689370900568</c:v>
                </c:pt>
                <c:pt idx="80">
                  <c:v>816.51431871620923</c:v>
                </c:pt>
                <c:pt idx="81">
                  <c:v>711.32765723118052</c:v>
                </c:pt>
                <c:pt idx="82">
                  <c:v>739.46775319689175</c:v>
                </c:pt>
                <c:pt idx="83">
                  <c:v>767.58606143251779</c:v>
                </c:pt>
                <c:pt idx="84">
                  <c:v>795.6834910802587</c:v>
                </c:pt>
                <c:pt idx="85">
                  <c:v>823.76088194266651</c:v>
                </c:pt>
                <c:pt idx="86">
                  <c:v>851.81901200050379</c:v>
                </c:pt>
                <c:pt idx="87">
                  <c:v>879.85860388996878</c:v>
                </c:pt>
                <c:pt idx="88">
                  <c:v>907.88033051253763</c:v>
                </c:pt>
                <c:pt idx="89">
                  <c:v>935.88481991726587</c:v>
                </c:pt>
                <c:pt idx="90">
                  <c:v>963.87265956925739</c:v>
                </c:pt>
                <c:pt idx="91">
                  <c:v>786.41454271018949</c:v>
                </c:pt>
                <c:pt idx="92">
                  <c:v>766.41292640780773</c:v>
                </c:pt>
                <c:pt idx="93">
                  <c:v>746.40071561737705</c:v>
                </c:pt>
                <c:pt idx="94">
                  <c:v>726.37758539510207</c:v>
                </c:pt>
                <c:pt idx="95">
                  <c:v>706.34319136743488</c:v>
                </c:pt>
                <c:pt idx="96">
                  <c:v>686.29716797037406</c:v>
                </c:pt>
                <c:pt idx="97">
                  <c:v>666.23912647166696</c:v>
                </c:pt>
                <c:pt idx="98">
                  <c:v>646.16865274162058</c:v>
                </c:pt>
                <c:pt idx="99">
                  <c:v>626.08530473152371</c:v>
                </c:pt>
                <c:pt idx="100">
                  <c:v>605.98860961044454</c:v>
                </c:pt>
                <c:pt idx="101">
                  <c:v>507.08051163078744</c:v>
                </c:pt>
                <c:pt idx="102">
                  <c:v>507.08051163078744</c:v>
                </c:pt>
                <c:pt idx="103">
                  <c:v>507.08051163078744</c:v>
                </c:pt>
                <c:pt idx="104">
                  <c:v>507.08051163078744</c:v>
                </c:pt>
                <c:pt idx="105">
                  <c:v>507.08051163078744</c:v>
                </c:pt>
                <c:pt idx="106">
                  <c:v>507.08051163078744</c:v>
                </c:pt>
                <c:pt idx="107">
                  <c:v>507.08051163078744</c:v>
                </c:pt>
                <c:pt idx="108">
                  <c:v>507.08051163078744</c:v>
                </c:pt>
                <c:pt idx="109">
                  <c:v>507.08051163078744</c:v>
                </c:pt>
                <c:pt idx="110">
                  <c:v>507.08051163078744</c:v>
                </c:pt>
                <c:pt idx="111">
                  <c:v>507.08051163078744</c:v>
                </c:pt>
                <c:pt idx="112">
                  <c:v>507.08051163078744</c:v>
                </c:pt>
                <c:pt idx="113">
                  <c:v>507.08051163078744</c:v>
                </c:pt>
                <c:pt idx="114">
                  <c:v>507.08051163078744</c:v>
                </c:pt>
                <c:pt idx="115">
                  <c:v>507.08051163078744</c:v>
                </c:pt>
                <c:pt idx="116">
                  <c:v>507.08051163078744</c:v>
                </c:pt>
                <c:pt idx="117">
                  <c:v>507.08051163078744</c:v>
                </c:pt>
                <c:pt idx="118">
                  <c:v>507.08051163078744</c:v>
                </c:pt>
                <c:pt idx="119">
                  <c:v>507.08051163078744</c:v>
                </c:pt>
                <c:pt idx="120">
                  <c:v>507.08051163078744</c:v>
                </c:pt>
                <c:pt idx="121">
                  <c:v>507.08051163078744</c:v>
                </c:pt>
                <c:pt idx="122">
                  <c:v>507.08051163078744</c:v>
                </c:pt>
                <c:pt idx="123">
                  <c:v>507.08051163078744</c:v>
                </c:pt>
                <c:pt idx="124">
                  <c:v>507.08051163078744</c:v>
                </c:pt>
                <c:pt idx="125">
                  <c:v>507.08051163078744</c:v>
                </c:pt>
                <c:pt idx="126">
                  <c:v>507.08051163078744</c:v>
                </c:pt>
                <c:pt idx="127">
                  <c:v>507.08051163078744</c:v>
                </c:pt>
                <c:pt idx="128">
                  <c:v>507.08051163078744</c:v>
                </c:pt>
                <c:pt idx="129">
                  <c:v>507.08051163078744</c:v>
                </c:pt>
                <c:pt idx="130">
                  <c:v>507.08051163078744</c:v>
                </c:pt>
                <c:pt idx="131">
                  <c:v>507.08051163078744</c:v>
                </c:pt>
                <c:pt idx="132">
                  <c:v>507.08051163078744</c:v>
                </c:pt>
                <c:pt idx="133">
                  <c:v>507.08051163078744</c:v>
                </c:pt>
                <c:pt idx="134">
                  <c:v>507.08051163078744</c:v>
                </c:pt>
                <c:pt idx="135">
                  <c:v>507.08051163078744</c:v>
                </c:pt>
                <c:pt idx="136">
                  <c:v>507.08051163078744</c:v>
                </c:pt>
                <c:pt idx="137">
                  <c:v>507.08051163078744</c:v>
                </c:pt>
                <c:pt idx="138">
                  <c:v>507.08051163078744</c:v>
                </c:pt>
                <c:pt idx="139">
                  <c:v>507.08051163078744</c:v>
                </c:pt>
                <c:pt idx="140">
                  <c:v>507.08051163078744</c:v>
                </c:pt>
                <c:pt idx="141">
                  <c:v>507.08051163078744</c:v>
                </c:pt>
                <c:pt idx="142">
                  <c:v>507.08051163078744</c:v>
                </c:pt>
                <c:pt idx="143">
                  <c:v>507.08051163078744</c:v>
                </c:pt>
                <c:pt idx="144">
                  <c:v>507.08051163078744</c:v>
                </c:pt>
                <c:pt idx="145">
                  <c:v>507.08051163078744</c:v>
                </c:pt>
                <c:pt idx="146">
                  <c:v>507.08051163078744</c:v>
                </c:pt>
                <c:pt idx="147">
                  <c:v>507.08051163078744</c:v>
                </c:pt>
                <c:pt idx="148">
                  <c:v>507.08051163078744</c:v>
                </c:pt>
                <c:pt idx="149">
                  <c:v>507.08051163078744</c:v>
                </c:pt>
                <c:pt idx="150">
                  <c:v>507.08051163078744</c:v>
                </c:pt>
                <c:pt idx="151">
                  <c:v>507.08051163078744</c:v>
                </c:pt>
                <c:pt idx="152">
                  <c:v>507.08051163078744</c:v>
                </c:pt>
                <c:pt idx="153">
                  <c:v>507.08051163078744</c:v>
                </c:pt>
                <c:pt idx="154">
                  <c:v>507.08051163078744</c:v>
                </c:pt>
                <c:pt idx="155">
                  <c:v>507.08051163078744</c:v>
                </c:pt>
                <c:pt idx="156">
                  <c:v>507.08051163078744</c:v>
                </c:pt>
                <c:pt idx="157">
                  <c:v>507.08051163078744</c:v>
                </c:pt>
                <c:pt idx="158">
                  <c:v>507.08051163078744</c:v>
                </c:pt>
                <c:pt idx="159">
                  <c:v>507.08051163078744</c:v>
                </c:pt>
                <c:pt idx="160">
                  <c:v>507.08051163078744</c:v>
                </c:pt>
                <c:pt idx="161">
                  <c:v>507.08051163078744</c:v>
                </c:pt>
                <c:pt idx="162">
                  <c:v>507.08051163078744</c:v>
                </c:pt>
                <c:pt idx="163">
                  <c:v>507.08051163078744</c:v>
                </c:pt>
                <c:pt idx="164">
                  <c:v>507.08051163078744</c:v>
                </c:pt>
                <c:pt idx="165">
                  <c:v>507.08051163078744</c:v>
                </c:pt>
                <c:pt idx="166">
                  <c:v>507.08051163078744</c:v>
                </c:pt>
                <c:pt idx="167">
                  <c:v>507.08051163078744</c:v>
                </c:pt>
                <c:pt idx="168">
                  <c:v>507.08051163078744</c:v>
                </c:pt>
                <c:pt idx="169">
                  <c:v>507.08051163078744</c:v>
                </c:pt>
                <c:pt idx="170">
                  <c:v>507.08051163078744</c:v>
                </c:pt>
                <c:pt idx="171">
                  <c:v>507.08051163078744</c:v>
                </c:pt>
                <c:pt idx="172">
                  <c:v>507.08051163078744</c:v>
                </c:pt>
                <c:pt idx="173">
                  <c:v>507.08051163078744</c:v>
                </c:pt>
                <c:pt idx="174">
                  <c:v>507.08051163078744</c:v>
                </c:pt>
                <c:pt idx="175">
                  <c:v>507.08051163078744</c:v>
                </c:pt>
                <c:pt idx="176">
                  <c:v>507.08051163078744</c:v>
                </c:pt>
                <c:pt idx="177">
                  <c:v>507.08051163078744</c:v>
                </c:pt>
                <c:pt idx="178">
                  <c:v>507.08051163078744</c:v>
                </c:pt>
                <c:pt idx="179">
                  <c:v>507.08051163078744</c:v>
                </c:pt>
                <c:pt idx="180">
                  <c:v>507.08051163078744</c:v>
                </c:pt>
                <c:pt idx="181">
                  <c:v>507.08051163078744</c:v>
                </c:pt>
                <c:pt idx="182">
                  <c:v>507.08051163078744</c:v>
                </c:pt>
                <c:pt idx="183">
                  <c:v>507.08051163078744</c:v>
                </c:pt>
                <c:pt idx="184">
                  <c:v>507.08051163078744</c:v>
                </c:pt>
                <c:pt idx="185">
                  <c:v>507.08051163078744</c:v>
                </c:pt>
                <c:pt idx="186">
                  <c:v>507.08051163078744</c:v>
                </c:pt>
                <c:pt idx="187">
                  <c:v>507.08051163078744</c:v>
                </c:pt>
                <c:pt idx="188">
                  <c:v>507.08051163078744</c:v>
                </c:pt>
                <c:pt idx="189">
                  <c:v>507.08051163078744</c:v>
                </c:pt>
                <c:pt idx="190">
                  <c:v>507.08051163078744</c:v>
                </c:pt>
                <c:pt idx="191">
                  <c:v>507.08051163078744</c:v>
                </c:pt>
                <c:pt idx="192">
                  <c:v>507.08051163078744</c:v>
                </c:pt>
                <c:pt idx="193">
                  <c:v>507.08051163078744</c:v>
                </c:pt>
                <c:pt idx="194">
                  <c:v>507.08051163078744</c:v>
                </c:pt>
                <c:pt idx="195">
                  <c:v>507.08051163078744</c:v>
                </c:pt>
                <c:pt idx="196">
                  <c:v>507.08051163078744</c:v>
                </c:pt>
                <c:pt idx="197">
                  <c:v>507.08051163078744</c:v>
                </c:pt>
                <c:pt idx="198">
                  <c:v>507.08051163078744</c:v>
                </c:pt>
                <c:pt idx="199">
                  <c:v>507.08051163078744</c:v>
                </c:pt>
                <c:pt idx="200">
                  <c:v>507.08051163078744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2.0674175365629677</c:v>
                </c:pt>
                <c:pt idx="2">
                  <c:v>2.7563386153172069</c:v>
                </c:pt>
                <c:pt idx="3">
                  <c:v>3.6757828754088084</c:v>
                </c:pt>
                <c:pt idx="4">
                  <c:v>4.9031880948975504</c:v>
                </c:pt>
                <c:pt idx="5">
                  <c:v>6.5420997187463925</c:v>
                </c:pt>
                <c:pt idx="6">
                  <c:v>8.7310024967746021</c:v>
                </c:pt>
                <c:pt idx="7">
                  <c:v>11.65514889235574</c:v>
                </c:pt>
                <c:pt idx="8">
                  <c:v>15.562403998555673</c:v>
                </c:pt>
                <c:pt idx="9">
                  <c:v>20.784474580403991</c:v>
                </c:pt>
                <c:pt idx="10">
                  <c:v>27.76535669760619</c:v>
                </c:pt>
                <c:pt idx="11">
                  <c:v>37.09946291026079</c:v>
                </c:pt>
                <c:pt idx="12">
                  <c:v>49.582731081946882</c:v>
                </c:pt>
                <c:pt idx="13">
                  <c:v>64.583001936057926</c:v>
                </c:pt>
                <c:pt idx="14">
                  <c:v>79.492623892016056</c:v>
                </c:pt>
                <c:pt idx="15">
                  <c:v>94.331112571633255</c:v>
                </c:pt>
                <c:pt idx="16">
                  <c:v>109.11127889310849</c:v>
                </c:pt>
                <c:pt idx="17">
                  <c:v>106.81557526911295</c:v>
                </c:pt>
                <c:pt idx="18">
                  <c:v>124.16900365793684</c:v>
                </c:pt>
                <c:pt idx="19">
                  <c:v>141.46346401618726</c:v>
                </c:pt>
                <c:pt idx="20">
                  <c:v>158.70719102606964</c:v>
                </c:pt>
                <c:pt idx="21">
                  <c:v>149.60319730872013</c:v>
                </c:pt>
                <c:pt idx="22">
                  <c:v>169.09664015835338</c:v>
                </c:pt>
                <c:pt idx="23">
                  <c:v>188.53710283199996</c:v>
                </c:pt>
                <c:pt idx="24">
                  <c:v>207.9308195045044</c:v>
                </c:pt>
                <c:pt idx="25">
                  <c:v>188.53710283199996</c:v>
                </c:pt>
                <c:pt idx="26">
                  <c:v>209.22219955438308</c:v>
                </c:pt>
                <c:pt idx="27">
                  <c:v>229.86009453547467</c:v>
                </c:pt>
                <c:pt idx="28">
                  <c:v>250.45562182479364</c:v>
                </c:pt>
                <c:pt idx="29">
                  <c:v>224.48990116103005</c:v>
                </c:pt>
                <c:pt idx="30">
                  <c:v>243.5948932063433</c:v>
                </c:pt>
                <c:pt idx="31">
                  <c:v>262.66582457768635</c:v>
                </c:pt>
                <c:pt idx="32">
                  <c:v>281.70551574875822</c:v>
                </c:pt>
                <c:pt idx="33">
                  <c:v>300.7163746975063</c:v>
                </c:pt>
                <c:pt idx="34">
                  <c:v>319.7004800513119</c:v>
                </c:pt>
                <c:pt idx="35">
                  <c:v>277.21568679177352</c:v>
                </c:pt>
                <c:pt idx="36">
                  <c:v>293.67062981705698</c:v>
                </c:pt>
                <c:pt idx="37">
                  <c:v>310.10500044645323</c:v>
                </c:pt>
                <c:pt idx="38">
                  <c:v>326.52004227766406</c:v>
                </c:pt>
                <c:pt idx="39">
                  <c:v>342.9168636601741</c:v>
                </c:pt>
                <c:pt idx="40">
                  <c:v>359.29645830338887</c:v>
                </c:pt>
                <c:pt idx="41">
                  <c:v>319.4873172181201</c:v>
                </c:pt>
                <c:pt idx="42">
                  <c:v>332.05861703935699</c:v>
                </c:pt>
                <c:pt idx="43">
                  <c:v>344.61942555879472</c:v>
                </c:pt>
                <c:pt idx="44">
                  <c:v>357.17017912307307</c:v>
                </c:pt>
                <c:pt idx="45">
                  <c:v>369.7112809035753</c:v>
                </c:pt>
                <c:pt idx="46">
                  <c:v>382.24310448239459</c:v>
                </c:pt>
                <c:pt idx="47">
                  <c:v>352.75726329182407</c:v>
                </c:pt>
                <c:pt idx="48">
                  <c:v>360.25319399788003</c:v>
                </c:pt>
                <c:pt idx="49">
                  <c:v>367.74571370177881</c:v>
                </c:pt>
                <c:pt idx="50">
                  <c:v>375.23490175863367</c:v>
                </c:pt>
                <c:pt idx="51">
                  <c:v>382.72083409495696</c:v>
                </c:pt>
                <c:pt idx="52">
                  <c:v>390.20358342243782</c:v>
                </c:pt>
                <c:pt idx="53">
                  <c:v>397.68321943446034</c:v>
                </c:pt>
                <c:pt idx="54">
                  <c:v>405.15980898705612</c:v>
                </c:pt>
                <c:pt idx="55">
                  <c:v>388.13420118594587</c:v>
                </c:pt>
                <c:pt idx="56">
                  <c:v>391.47693094284676</c:v>
                </c:pt>
                <c:pt idx="57">
                  <c:v>394.81904151240332</c:v>
                </c:pt>
                <c:pt idx="58">
                  <c:v>398.16053888286166</c:v>
                </c:pt>
                <c:pt idx="59">
                  <c:v>401.50142893362187</c:v>
                </c:pt>
                <c:pt idx="60">
                  <c:v>404.84171743812561</c:v>
                </c:pt>
                <c:pt idx="61">
                  <c:v>408.18141006664501</c:v>
                </c:pt>
                <c:pt idx="62">
                  <c:v>411.52051238897451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5.7214392341821183</c:v>
                </c:pt>
                <c:pt idx="2">
                  <c:v>11.181456133305355</c:v>
                </c:pt>
                <c:pt idx="3">
                  <c:v>16.557046740784898</c:v>
                </c:pt>
                <c:pt idx="4">
                  <c:v>21.880595017712157</c:v>
                </c:pt>
                <c:pt idx="5">
                  <c:v>27.166778436870192</c:v>
                </c:pt>
                <c:pt idx="6">
                  <c:v>32.423969641536083</c:v>
                </c:pt>
                <c:pt idx="7">
                  <c:v>37.657566151097562</c:v>
                </c:pt>
                <c:pt idx="8">
                  <c:v>42.871327550902173</c:v>
                </c:pt>
                <c:pt idx="9">
                  <c:v>48.068017184006067</c:v>
                </c:pt>
                <c:pt idx="10">
                  <c:v>53.249748292368373</c:v>
                </c:pt>
                <c:pt idx="11">
                  <c:v>58.418187012023544</c:v>
                </c:pt>
                <c:pt idx="12">
                  <c:v>63.574679169893976</c:v>
                </c:pt>
                <c:pt idx="13">
                  <c:v>68.720333497626726</c:v>
                </c:pt>
                <c:pt idx="14">
                  <c:v>73.856078463062843</c:v>
                </c:pt>
                <c:pt idx="15">
                  <c:v>78.982702379870901</c:v>
                </c:pt>
                <c:pt idx="16">
                  <c:v>84.10088250675777</c:v>
                </c:pt>
                <c:pt idx="17">
                  <c:v>89.21120666024386</c:v>
                </c:pt>
                <c:pt idx="18">
                  <c:v>94.314189595354847</c:v>
                </c:pt>
                <c:pt idx="19">
                  <c:v>99.410285641800229</c:v>
                </c:pt>
                <c:pt idx="20">
                  <c:v>104.49989860401234</c:v>
                </c:pt>
                <c:pt idx="21">
                  <c:v>109.58338962490956</c:v>
                </c:pt>
                <c:pt idx="22">
                  <c:v>114.66108350935991</c:v>
                </c:pt>
                <c:pt idx="23">
                  <c:v>119.73327386542462</c:v>
                </c:pt>
                <c:pt idx="24">
                  <c:v>124.80022732624228</c:v>
                </c:pt>
                <c:pt idx="25">
                  <c:v>129.86218704843824</c:v>
                </c:pt>
                <c:pt idx="26">
                  <c:v>134.91937563503282</c:v>
                </c:pt>
                <c:pt idx="27">
                  <c:v>139.97199759602213</c:v>
                </c:pt>
                <c:pt idx="28">
                  <c:v>145.02024143418177</c:v>
                </c:pt>
                <c:pt idx="29">
                  <c:v>150.06428142452492</c:v>
                </c:pt>
                <c:pt idx="30">
                  <c:v>155.10427914142204</c:v>
                </c:pt>
                <c:pt idx="31">
                  <c:v>160.1403847763851</c:v>
                </c:pt>
                <c:pt idx="32">
                  <c:v>165.17273828103859</c:v>
                </c:pt>
                <c:pt idx="33">
                  <c:v>170.20147036320552</c:v>
                </c:pt>
                <c:pt idx="34">
                  <c:v>175.22670335886338</c:v>
                </c:pt>
                <c:pt idx="35">
                  <c:v>180.2485519986345</c:v>
                </c:pt>
                <c:pt idx="36">
                  <c:v>185.26712408421562</c:v>
                </c:pt>
                <c:pt idx="37">
                  <c:v>190.28252108753495</c:v>
                </c:pt>
                <c:pt idx="38">
                  <c:v>195.29483868331462</c:v>
                </c:pt>
                <c:pt idx="39">
                  <c:v>200.30416722399681</c:v>
                </c:pt>
                <c:pt idx="40">
                  <c:v>205.31059216458854</c:v>
                </c:pt>
                <c:pt idx="41">
                  <c:v>210.31419444382638</c:v>
                </c:pt>
                <c:pt idx="42">
                  <c:v>215.3150508271076</c:v>
                </c:pt>
                <c:pt idx="43">
                  <c:v>170.91321769400142</c:v>
                </c:pt>
                <c:pt idx="44">
                  <c:v>182.42514323236142</c:v>
                </c:pt>
                <c:pt idx="45">
                  <c:v>193.92007935590107</c:v>
                </c:pt>
                <c:pt idx="46">
                  <c:v>205.39917580187389</c:v>
                </c:pt>
                <c:pt idx="47">
                  <c:v>216.8634431648062</c:v>
                </c:pt>
                <c:pt idx="48">
                  <c:v>228.31377636185218</c:v>
                </c:pt>
                <c:pt idx="49">
                  <c:v>186.93187292439049</c:v>
                </c:pt>
                <c:pt idx="50">
                  <c:v>197.64471363773865</c:v>
                </c:pt>
                <c:pt idx="51">
                  <c:v>208.34408122016092</c:v>
                </c:pt>
                <c:pt idx="52">
                  <c:v>219.03076565248196</c:v>
                </c:pt>
                <c:pt idx="53">
                  <c:v>229.70547345488183</c:v>
                </c:pt>
                <c:pt idx="54">
                  <c:v>240.36884005777424</c:v>
                </c:pt>
                <c:pt idx="55">
                  <c:v>251.02143985985217</c:v>
                </c:pt>
                <c:pt idx="56">
                  <c:v>261.66379448755106</c:v>
                </c:pt>
                <c:pt idx="57">
                  <c:v>207.1817342470863</c:v>
                </c:pt>
                <c:pt idx="58">
                  <c:v>219.49512759312208</c:v>
                </c:pt>
                <c:pt idx="59">
                  <c:v>231.79265788705004</c:v>
                </c:pt>
                <c:pt idx="60">
                  <c:v>244.07528573171135</c:v>
                </c:pt>
                <c:pt idx="61">
                  <c:v>256.34386708482117</c:v>
                </c:pt>
                <c:pt idx="62">
                  <c:v>268.59916922933354</c:v>
                </c:pt>
                <c:pt idx="63">
                  <c:v>280.84188367365465</c:v>
                </c:pt>
                <c:pt idx="64">
                  <c:v>293.07263668278023</c:v>
                </c:pt>
                <c:pt idx="65">
                  <c:v>227.84983423962123</c:v>
                </c:pt>
                <c:pt idx="66">
                  <c:v>238.51513036323766</c:v>
                </c:pt>
                <c:pt idx="67">
                  <c:v>249.16956379358484</c:v>
                </c:pt>
                <c:pt idx="68">
                  <c:v>259.81366480762034</c:v>
                </c:pt>
                <c:pt idx="69">
                  <c:v>270.44791665188325</c:v>
                </c:pt>
                <c:pt idx="70">
                  <c:v>281.07276143896286</c:v>
                </c:pt>
                <c:pt idx="71">
                  <c:v>291.68860510501838</c:v>
                </c:pt>
                <c:pt idx="72">
                  <c:v>302.29582160730911</c:v>
                </c:pt>
                <c:pt idx="73">
                  <c:v>252.2044205673977</c:v>
                </c:pt>
                <c:pt idx="74">
                  <c:v>261.25268017016509</c:v>
                </c:pt>
                <c:pt idx="75">
                  <c:v>270.29386526120908</c:v>
                </c:pt>
                <c:pt idx="76">
                  <c:v>279.32824605639422</c:v>
                </c:pt>
                <c:pt idx="77">
                  <c:v>288.35607384955841</c:v>
                </c:pt>
                <c:pt idx="78">
                  <c:v>297.37758290143</c:v>
                </c:pt>
                <c:pt idx="79">
                  <c:v>306.39299208716847</c:v>
                </c:pt>
                <c:pt idx="80">
                  <c:v>315.40250633971704</c:v>
                </c:pt>
                <c:pt idx="81">
                  <c:v>324.40631791950597</c:v>
                </c:pt>
                <c:pt idx="82">
                  <c:v>276.04378770645229</c:v>
                </c:pt>
                <c:pt idx="83">
                  <c:v>284.86881099668966</c:v>
                </c:pt>
                <c:pt idx="84">
                  <c:v>293.68771493541635</c:v>
                </c:pt>
                <c:pt idx="85">
                  <c:v>302.50070934328841</c:v>
                </c:pt>
                <c:pt idx="86">
                  <c:v>311.30799080694305</c:v>
                </c:pt>
                <c:pt idx="87">
                  <c:v>320.10974387269471</c:v>
                </c:pt>
                <c:pt idx="88">
                  <c:v>328.90614210199624</c:v>
                </c:pt>
                <c:pt idx="89">
                  <c:v>337.69734900801672</c:v>
                </c:pt>
                <c:pt idx="90">
                  <c:v>346.48351888954198</c:v>
                </c:pt>
                <c:pt idx="91">
                  <c:v>299.99062098023154</c:v>
                </c:pt>
                <c:pt idx="92">
                  <c:v>308.74831249344663</c:v>
                </c:pt>
                <c:pt idx="93">
                  <c:v>317.50048785441044</c:v>
                </c:pt>
                <c:pt idx="94">
                  <c:v>326.24732068247283</c:v>
                </c:pt>
                <c:pt idx="95">
                  <c:v>334.98897452037232</c:v>
                </c:pt>
                <c:pt idx="96">
                  <c:v>343.72560367250838</c:v>
                </c:pt>
                <c:pt idx="97">
                  <c:v>352.45735395348794</c:v>
                </c:pt>
                <c:pt idx="98">
                  <c:v>361.18436335857842</c:v>
                </c:pt>
                <c:pt idx="99">
                  <c:v>369.90676266594784</c:v>
                </c:pt>
                <c:pt idx="100">
                  <c:v>378.62467597910853</c:v>
                </c:pt>
                <c:pt idx="101">
                  <c:v>387.33822121677053</c:v>
                </c:pt>
                <c:pt idx="102">
                  <c:v>396.04751055629913</c:v>
                </c:pt>
                <c:pt idx="103">
                  <c:v>329.16177293594313</c:v>
                </c:pt>
                <c:pt idx="104">
                  <c:v>337.59515490696043</c:v>
                </c:pt>
                <c:pt idx="105">
                  <c:v>346.02389994775172</c:v>
                </c:pt>
                <c:pt idx="106">
                  <c:v>354.44813702136338</c:v>
                </c:pt>
                <c:pt idx="107">
                  <c:v>362.86798845598605</c:v>
                </c:pt>
                <c:pt idx="108">
                  <c:v>371.2835704357048</c:v>
                </c:pt>
                <c:pt idx="109">
                  <c:v>379.69499344441118</c:v>
                </c:pt>
                <c:pt idx="110">
                  <c:v>388.10236266830702</c:v>
                </c:pt>
                <c:pt idx="111">
                  <c:v>396.50577836169549</c:v>
                </c:pt>
                <c:pt idx="112">
                  <c:v>404.90533618013188</c:v>
                </c:pt>
                <c:pt idx="113">
                  <c:v>413.30112748447686</c:v>
                </c:pt>
                <c:pt idx="114">
                  <c:v>421.69323961894639</c:v>
                </c:pt>
                <c:pt idx="115">
                  <c:v>362.25578095287307</c:v>
                </c:pt>
                <c:pt idx="116">
                  <c:v>370.6716696467002</c:v>
                </c:pt>
                <c:pt idx="117">
                  <c:v>379.08339151758491</c:v>
                </c:pt>
                <c:pt idx="118">
                  <c:v>387.49105212426372</c:v>
                </c:pt>
                <c:pt idx="119">
                  <c:v>395.89475206811812</c:v>
                </c:pt>
                <c:pt idx="120">
                  <c:v>404.2945873285737</c:v>
                </c:pt>
                <c:pt idx="121">
                  <c:v>412.69064956915986</c:v>
                </c:pt>
                <c:pt idx="122">
                  <c:v>421.083026417356</c:v>
                </c:pt>
                <c:pt idx="123">
                  <c:v>429.47180172095523</c:v>
                </c:pt>
                <c:pt idx="124">
                  <c:v>437.85705578334802</c:v>
                </c:pt>
                <c:pt idx="125">
                  <c:v>446.23886557983752</c:v>
                </c:pt>
                <c:pt idx="126">
                  <c:v>454.61730495685134</c:v>
                </c:pt>
                <c:pt idx="127">
                  <c:v>393.75599884288954</c:v>
                </c:pt>
                <c:pt idx="128">
                  <c:v>402.46222090752264</c:v>
                </c:pt>
                <c:pt idx="129">
                  <c:v>411.16436943406603</c:v>
                </c:pt>
                <c:pt idx="130">
                  <c:v>419.86254283875763</c:v>
                </c:pt>
                <c:pt idx="131">
                  <c:v>428.55683512546528</c:v>
                </c:pt>
                <c:pt idx="132">
                  <c:v>437.247336170957</c:v>
                </c:pt>
                <c:pt idx="133">
                  <c:v>445.93413198630452</c:v>
                </c:pt>
                <c:pt idx="134">
                  <c:v>454.61730495685151</c:v>
                </c:pt>
                <c:pt idx="135">
                  <c:v>463.29693406288715</c:v>
                </c:pt>
                <c:pt idx="136">
                  <c:v>471.97309508291983</c:v>
                </c:pt>
                <c:pt idx="137">
                  <c:v>480.64586078122056</c:v>
                </c:pt>
                <c:pt idx="138">
                  <c:v>489.31530108112497</c:v>
                </c:pt>
                <c:pt idx="139">
                  <c:v>426.94029142116739</c:v>
                </c:pt>
                <c:pt idx="140">
                  <c:v>435.84491177376418</c:v>
                </c:pt>
                <c:pt idx="141">
                  <c:v>444.74562832487101</c:v>
                </c:pt>
                <c:pt idx="142">
                  <c:v>453.6425302481104</c:v>
                </c:pt>
                <c:pt idx="143">
                  <c:v>462.53570293273168</c:v>
                </c:pt>
                <c:pt idx="144">
                  <c:v>471.42522821546316</c:v>
                </c:pt>
                <c:pt idx="145">
                  <c:v>480.31118459396157</c:v>
                </c:pt>
                <c:pt idx="146">
                  <c:v>489.1936474236424</c:v>
                </c:pt>
                <c:pt idx="147">
                  <c:v>498.07268909946623</c:v>
                </c:pt>
                <c:pt idx="148">
                  <c:v>506.94837922408811</c:v>
                </c:pt>
                <c:pt idx="149">
                  <c:v>515.82078476361528</c:v>
                </c:pt>
                <c:pt idx="150">
                  <c:v>524.68997019209064</c:v>
                </c:pt>
                <c:pt idx="151">
                  <c:v>533.55599762569796</c:v>
                </c:pt>
                <c:pt idx="152">
                  <c:v>542.41892694758201</c:v>
                </c:pt>
                <c:pt idx="153">
                  <c:v>551.27881592408664</c:v>
                </c:pt>
                <c:pt idx="154">
                  <c:v>3.3406123864501612E-12</c:v>
                </c:pt>
                <c:pt idx="155">
                  <c:v>3.3406123864501612E-12</c:v>
                </c:pt>
                <c:pt idx="156">
                  <c:v>3.3406123864501612E-12</c:v>
                </c:pt>
                <c:pt idx="157">
                  <c:v>3.3406123864501612E-12</c:v>
                </c:pt>
                <c:pt idx="158">
                  <c:v>3.3406123864501612E-12</c:v>
                </c:pt>
                <c:pt idx="159">
                  <c:v>3.3406123864501612E-12</c:v>
                </c:pt>
                <c:pt idx="160">
                  <c:v>3.3406123864501612E-12</c:v>
                </c:pt>
                <c:pt idx="161">
                  <c:v>3.3406123864501612E-12</c:v>
                </c:pt>
                <c:pt idx="162">
                  <c:v>3.3406123864501612E-12</c:v>
                </c:pt>
                <c:pt idx="163">
                  <c:v>3.3406123864501612E-12</c:v>
                </c:pt>
                <c:pt idx="164">
                  <c:v>3.3406123864501612E-12</c:v>
                </c:pt>
                <c:pt idx="165">
                  <c:v>3.3406123864501612E-12</c:v>
                </c:pt>
                <c:pt idx="166">
                  <c:v>3.3406123864501612E-12</c:v>
                </c:pt>
                <c:pt idx="167">
                  <c:v>3.3406123864501612E-12</c:v>
                </c:pt>
                <c:pt idx="168">
                  <c:v>3.3406123864501612E-12</c:v>
                </c:pt>
                <c:pt idx="169">
                  <c:v>3.3406123864501612E-12</c:v>
                </c:pt>
                <c:pt idx="170">
                  <c:v>3.3406123864501612E-12</c:v>
                </c:pt>
                <c:pt idx="171">
                  <c:v>3.3406123864501612E-12</c:v>
                </c:pt>
                <c:pt idx="172">
                  <c:v>3.3406123864501612E-12</c:v>
                </c:pt>
                <c:pt idx="173">
                  <c:v>3.3406123864501612E-12</c:v>
                </c:pt>
                <c:pt idx="174">
                  <c:v>3.3406123864501612E-12</c:v>
                </c:pt>
                <c:pt idx="175">
                  <c:v>3.3406123864501612E-12</c:v>
                </c:pt>
                <c:pt idx="176">
                  <c:v>3.3406123864501612E-12</c:v>
                </c:pt>
                <c:pt idx="177">
                  <c:v>3.3406123864501612E-12</c:v>
                </c:pt>
                <c:pt idx="178">
                  <c:v>3.3406123864501612E-12</c:v>
                </c:pt>
                <c:pt idx="179">
                  <c:v>3.3406123864501612E-12</c:v>
                </c:pt>
                <c:pt idx="180">
                  <c:v>3.3406123864501612E-12</c:v>
                </c:pt>
                <c:pt idx="181">
                  <c:v>3.3406123864501612E-12</c:v>
                </c:pt>
                <c:pt idx="182">
                  <c:v>3.3406123864501612E-12</c:v>
                </c:pt>
                <c:pt idx="183">
                  <c:v>3.3406123864501612E-12</c:v>
                </c:pt>
                <c:pt idx="184">
                  <c:v>3.3406123864501612E-12</c:v>
                </c:pt>
                <c:pt idx="185">
                  <c:v>3.3406123864501612E-12</c:v>
                </c:pt>
                <c:pt idx="186">
                  <c:v>3.3406123864501612E-12</c:v>
                </c:pt>
                <c:pt idx="187">
                  <c:v>3.3406123864501612E-12</c:v>
                </c:pt>
                <c:pt idx="188">
                  <c:v>3.3406123864501612E-12</c:v>
                </c:pt>
                <c:pt idx="189">
                  <c:v>3.3406123864501612E-12</c:v>
                </c:pt>
                <c:pt idx="190">
                  <c:v>3.3406123864501612E-12</c:v>
                </c:pt>
                <c:pt idx="191">
                  <c:v>3.3406123864501612E-12</c:v>
                </c:pt>
                <c:pt idx="192">
                  <c:v>3.3406123864501612E-12</c:v>
                </c:pt>
                <c:pt idx="193">
                  <c:v>3.3406123864501612E-12</c:v>
                </c:pt>
                <c:pt idx="194">
                  <c:v>3.3406123864501612E-12</c:v>
                </c:pt>
                <c:pt idx="195">
                  <c:v>3.3406123864501612E-12</c:v>
                </c:pt>
                <c:pt idx="196">
                  <c:v>3.3406123864501612E-12</c:v>
                </c:pt>
                <c:pt idx="197">
                  <c:v>3.3406123864501612E-12</c:v>
                </c:pt>
                <c:pt idx="198">
                  <c:v>3.3406123864501612E-12</c:v>
                </c:pt>
                <c:pt idx="199">
                  <c:v>3.3406123864501612E-12</c:v>
                </c:pt>
                <c:pt idx="200">
                  <c:v>3.3406123864501612E-12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1.5428738888395992</c:v>
                </c:pt>
                <c:pt idx="2">
                  <c:v>1.9962647469406918</c:v>
                </c:pt>
                <c:pt idx="3">
                  <c:v>2.5834372956221014</c:v>
                </c:pt>
                <c:pt idx="4">
                  <c:v>3.3440191491109812</c:v>
                </c:pt>
                <c:pt idx="5">
                  <c:v>4.3294184887019593</c:v>
                </c:pt>
                <c:pt idx="6">
                  <c:v>5.6063379507814544</c:v>
                </c:pt>
                <c:pt idx="7">
                  <c:v>7.2613398683409009</c:v>
                </c:pt>
                <c:pt idx="8">
                  <c:v>9.4067783198038999</c:v>
                </c:pt>
                <c:pt idx="9">
                  <c:v>12.188508333112182</c:v>
                </c:pt>
                <c:pt idx="10">
                  <c:v>15.795906099525475</c:v>
                </c:pt>
                <c:pt idx="11">
                  <c:v>20.474894815806383</c:v>
                </c:pt>
                <c:pt idx="12">
                  <c:v>26.544880057833737</c:v>
                </c:pt>
                <c:pt idx="13">
                  <c:v>34.420771066407006</c:v>
                </c:pt>
                <c:pt idx="14">
                  <c:v>44.641619115613373</c:v>
                </c:pt>
                <c:pt idx="15">
                  <c:v>57.907866148438337</c:v>
                </c:pt>
                <c:pt idx="16">
                  <c:v>75.129798569202521</c:v>
                </c:pt>
                <c:pt idx="17">
                  <c:v>97.490584790314983</c:v>
                </c:pt>
                <c:pt idx="18">
                  <c:v>126.52829599144765</c:v>
                </c:pt>
                <c:pt idx="19">
                  <c:v>164.24263944991469</c:v>
                </c:pt>
                <c:pt idx="20">
                  <c:v>192.67722889885468</c:v>
                </c:pt>
                <c:pt idx="21">
                  <c:v>221.01405435740966</c:v>
                </c:pt>
                <c:pt idx="22">
                  <c:v>249.26742131917453</c:v>
                </c:pt>
                <c:pt idx="23">
                  <c:v>277.44811942253614</c:v>
                </c:pt>
                <c:pt idx="24">
                  <c:v>305.56456437234704</c:v>
                </c:pt>
                <c:pt idx="25">
                  <c:v>333.62349558619394</c:v>
                </c:pt>
                <c:pt idx="26">
                  <c:v>308.32425081102485</c:v>
                </c:pt>
                <c:pt idx="27">
                  <c:v>335.56779387887519</c:v>
                </c:pt>
                <c:pt idx="28">
                  <c:v>362.76262826726526</c:v>
                </c:pt>
                <c:pt idx="29">
                  <c:v>389.91291537880488</c:v>
                </c:pt>
                <c:pt idx="30">
                  <c:v>417.02219004440212</c:v>
                </c:pt>
                <c:pt idx="31">
                  <c:v>391.46309069258609</c:v>
                </c:pt>
                <c:pt idx="32">
                  <c:v>418.18314740525597</c:v>
                </c:pt>
                <c:pt idx="33">
                  <c:v>444.8664250922991</c:v>
                </c:pt>
                <c:pt idx="34">
                  <c:v>471.51543750054742</c:v>
                </c:pt>
                <c:pt idx="35">
                  <c:v>498.13239130371261</c:v>
                </c:pt>
                <c:pt idx="36">
                  <c:v>456.26390175213351</c:v>
                </c:pt>
                <c:pt idx="37">
                  <c:v>480.96994960119645</c:v>
                </c:pt>
                <c:pt idx="38">
                  <c:v>505.64903840575681</c:v>
                </c:pt>
                <c:pt idx="39">
                  <c:v>530.30266759057167</c:v>
                </c:pt>
                <c:pt idx="40">
                  <c:v>554.9321859329973</c:v>
                </c:pt>
                <c:pt idx="41">
                  <c:v>507.57600167435953</c:v>
                </c:pt>
                <c:pt idx="42">
                  <c:v>529.53261330433122</c:v>
                </c:pt>
                <c:pt idx="43">
                  <c:v>551.47006987348379</c:v>
                </c:pt>
                <c:pt idx="44">
                  <c:v>573.38923985506779</c:v>
                </c:pt>
                <c:pt idx="45">
                  <c:v>595.29091997226158</c:v>
                </c:pt>
                <c:pt idx="46">
                  <c:v>548.96936946886547</c:v>
                </c:pt>
                <c:pt idx="47">
                  <c:v>566.08483114555816</c:v>
                </c:pt>
                <c:pt idx="48">
                  <c:v>583.18947679873168</c:v>
                </c:pt>
                <c:pt idx="49">
                  <c:v>600.28366811633032</c:v>
                </c:pt>
                <c:pt idx="50">
                  <c:v>617.36774452151656</c:v>
                </c:pt>
                <c:pt idx="51">
                  <c:v>584.53433799037418</c:v>
                </c:pt>
                <c:pt idx="52">
                  <c:v>597.78740244565722</c:v>
                </c:pt>
                <c:pt idx="53">
                  <c:v>611.03435862536833</c:v>
                </c:pt>
                <c:pt idx="54">
                  <c:v>624.27535755822885</c:v>
                </c:pt>
                <c:pt idx="55">
                  <c:v>637.51054334672972</c:v>
                </c:pt>
                <c:pt idx="56">
                  <c:v>613.72141508367611</c:v>
                </c:pt>
                <c:pt idx="57">
                  <c:v>623.50792350272582</c:v>
                </c:pt>
                <c:pt idx="58">
                  <c:v>633.29125178984225</c:v>
                </c:pt>
                <c:pt idx="59">
                  <c:v>643.07145599026524</c:v>
                </c:pt>
                <c:pt idx="60">
                  <c:v>652.84859030581367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H22" sqref="H22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2" width="11.42578125" style="23"/>
    <col min="13" max="13" width="13" style="23" bestFit="1" customWidth="1"/>
    <col min="14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18.837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36</v>
      </c>
      <c r="C9" s="32">
        <v>0.32</v>
      </c>
      <c r="D9" s="33">
        <f t="shared" ref="D9:D18" si="0">C9*$C$5</f>
        <v>6.0278400000000003</v>
      </c>
      <c r="E9" s="34">
        <v>62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14</v>
      </c>
      <c r="C10" s="32">
        <v>0.25</v>
      </c>
      <c r="D10" s="33">
        <f t="shared" si="0"/>
        <v>4.7092499999999999</v>
      </c>
      <c r="E10" s="34">
        <v>129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12</v>
      </c>
      <c r="C11" s="32">
        <v>0.13</v>
      </c>
      <c r="D11" s="33">
        <f t="shared" si="0"/>
        <v>2.4488099999999999</v>
      </c>
      <c r="E11" s="34">
        <v>153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164</v>
      </c>
      <c r="C12" s="32">
        <v>0.12</v>
      </c>
      <c r="D12" s="33">
        <f t="shared" si="0"/>
        <v>2.26044</v>
      </c>
      <c r="E12" s="34">
        <v>100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138</v>
      </c>
      <c r="C13" s="32">
        <v>7.0000000000000007E-2</v>
      </c>
      <c r="D13" s="33">
        <f t="shared" si="0"/>
        <v>1.3185900000000002</v>
      </c>
      <c r="E13" s="34">
        <v>62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18</v>
      </c>
      <c r="C14" s="32">
        <v>0.05</v>
      </c>
      <c r="D14" s="33">
        <f t="shared" si="0"/>
        <v>0.94185000000000008</v>
      </c>
      <c r="E14" s="34">
        <v>60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52</v>
      </c>
      <c r="C15" s="32">
        <v>0.04</v>
      </c>
      <c r="D15" s="33">
        <f t="shared" si="0"/>
        <v>0.75348000000000004</v>
      </c>
      <c r="E15" s="34">
        <v>153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 t="s">
        <v>158</v>
      </c>
      <c r="C16" s="32">
        <v>0.02</v>
      </c>
      <c r="D16" s="33">
        <f t="shared" si="0"/>
        <v>0.37674000000000002</v>
      </c>
      <c r="E16" s="34">
        <v>60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1.0000000000000002</v>
      </c>
      <c r="D19" s="38">
        <f>SUM(D9:D18)</f>
        <v>18.837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12</v>
      </c>
      <c r="B36" s="60">
        <v>46</v>
      </c>
      <c r="C36" s="60">
        <v>0</v>
      </c>
      <c r="D36" s="60">
        <v>0</v>
      </c>
      <c r="E36" s="51">
        <v>0</v>
      </c>
      <c r="F36" s="51">
        <f>0.56</f>
        <v>0.56000000000000005</v>
      </c>
      <c r="G36" s="51">
        <f>0.44</f>
        <v>0.44</v>
      </c>
      <c r="H36" s="51">
        <v>0</v>
      </c>
      <c r="I36" s="49">
        <f>IFERROR(B36/A36,"")</f>
        <v>3.8333333333333335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16</v>
      </c>
      <c r="B37" s="60">
        <v>107</v>
      </c>
      <c r="C37" s="60">
        <v>1</v>
      </c>
      <c r="D37" s="60">
        <v>25</v>
      </c>
      <c r="E37" s="51">
        <v>0</v>
      </c>
      <c r="F37" s="51">
        <f>0.56</f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15.25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20</v>
      </c>
      <c r="B38" s="60">
        <v>151</v>
      </c>
      <c r="C38" s="60">
        <v>2</v>
      </c>
      <c r="D38" s="60">
        <v>34</v>
      </c>
      <c r="E38" s="51">
        <v>0.7</v>
      </c>
      <c r="F38" s="51">
        <f>0.3*0.56</f>
        <v>0.16800000000000001</v>
      </c>
      <c r="G38" s="51">
        <f>0.3*0.44</f>
        <v>0.13200000000000001</v>
      </c>
      <c r="H38" s="51">
        <v>0</v>
      </c>
      <c r="I38" s="53">
        <f t="shared" si="1"/>
        <v>17.25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24</v>
      </c>
      <c r="B39" s="60">
        <v>197</v>
      </c>
      <c r="C39" s="60">
        <v>3</v>
      </c>
      <c r="D39" s="60">
        <v>43</v>
      </c>
      <c r="E39" s="51">
        <v>0.7</v>
      </c>
      <c r="F39" s="51">
        <f t="shared" ref="F39:F45" si="2">0.3*0.56</f>
        <v>0.16800000000000001</v>
      </c>
      <c r="G39" s="51">
        <f t="shared" ref="G39:G45" si="3">0.3*0.44</f>
        <v>0.13200000000000001</v>
      </c>
      <c r="H39" s="51">
        <v>0</v>
      </c>
      <c r="I39" s="49">
        <f t="shared" si="1"/>
        <v>20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28</v>
      </c>
      <c r="B40" s="60">
        <v>233</v>
      </c>
      <c r="C40" s="60">
        <v>4</v>
      </c>
      <c r="D40" s="60">
        <v>41</v>
      </c>
      <c r="E40" s="51">
        <v>0.7</v>
      </c>
      <c r="F40" s="51">
        <f t="shared" si="2"/>
        <v>0.16800000000000001</v>
      </c>
      <c r="G40" s="51">
        <f t="shared" si="3"/>
        <v>0.13200000000000001</v>
      </c>
      <c r="H40" s="51">
        <v>0</v>
      </c>
      <c r="I40" s="49">
        <f t="shared" si="1"/>
        <v>19.75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34</v>
      </c>
      <c r="B41" s="60">
        <v>304</v>
      </c>
      <c r="C41" s="60">
        <v>5</v>
      </c>
      <c r="D41" s="60">
        <v>60</v>
      </c>
      <c r="E41" s="51">
        <v>0.7</v>
      </c>
      <c r="F41" s="51">
        <f t="shared" si="2"/>
        <v>0.16800000000000001</v>
      </c>
      <c r="G41" s="51">
        <f t="shared" si="3"/>
        <v>0.13200000000000001</v>
      </c>
      <c r="H41" s="51">
        <v>0</v>
      </c>
      <c r="I41" s="53">
        <f t="shared" si="1"/>
        <v>18.666666666666668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40</v>
      </c>
      <c r="B42" s="60">
        <v>333</v>
      </c>
      <c r="C42" s="60">
        <v>6</v>
      </c>
      <c r="D42" s="60">
        <v>34</v>
      </c>
      <c r="E42" s="51">
        <v>0.7</v>
      </c>
      <c r="F42" s="51">
        <f t="shared" si="2"/>
        <v>0.16800000000000001</v>
      </c>
      <c r="G42" s="51">
        <f t="shared" si="3"/>
        <v>0.13200000000000001</v>
      </c>
      <c r="H42" s="51">
        <v>0</v>
      </c>
      <c r="I42" s="53">
        <f t="shared" si="1"/>
        <v>14.833333333333334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46</v>
      </c>
      <c r="B43" s="60">
        <v>365</v>
      </c>
      <c r="C43" s="60">
        <v>7</v>
      </c>
      <c r="D43" s="60">
        <v>21</v>
      </c>
      <c r="E43" s="51">
        <v>0.7</v>
      </c>
      <c r="F43" s="51">
        <f t="shared" si="2"/>
        <v>0.16800000000000001</v>
      </c>
      <c r="G43" s="51">
        <f t="shared" si="3"/>
        <v>0.13200000000000001</v>
      </c>
      <c r="H43" s="51">
        <v>0</v>
      </c>
      <c r="I43" s="49">
        <f t="shared" si="1"/>
        <v>11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54</v>
      </c>
      <c r="B44" s="60">
        <v>402</v>
      </c>
      <c r="C44" s="60">
        <v>8</v>
      </c>
      <c r="D44" s="60">
        <v>17</v>
      </c>
      <c r="E44" s="51">
        <v>0.7</v>
      </c>
      <c r="F44" s="51">
        <f t="shared" si="2"/>
        <v>0.16800000000000001</v>
      </c>
      <c r="G44" s="51">
        <f t="shared" si="3"/>
        <v>0.13200000000000001</v>
      </c>
      <c r="H44" s="51">
        <v>0</v>
      </c>
      <c r="I44" s="49">
        <f t="shared" si="1"/>
        <v>7.25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62</v>
      </c>
      <c r="B45" s="60">
        <v>409</v>
      </c>
      <c r="C45" s="60" t="s">
        <v>333</v>
      </c>
      <c r="D45" s="60">
        <f>402+7</f>
        <v>409</v>
      </c>
      <c r="E45" s="51">
        <v>0.7</v>
      </c>
      <c r="F45" s="51">
        <f t="shared" si="2"/>
        <v>0.16800000000000001</v>
      </c>
      <c r="G45" s="51">
        <f t="shared" si="3"/>
        <v>0.13200000000000001</v>
      </c>
      <c r="H45" s="51">
        <v>0</v>
      </c>
      <c r="I45" s="49">
        <f t="shared" si="1"/>
        <v>3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sessile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36</v>
      </c>
      <c r="B62" s="60">
        <v>130</v>
      </c>
      <c r="C62" s="60">
        <v>1</v>
      </c>
      <c r="D62" s="60">
        <v>36</v>
      </c>
      <c r="E62" s="51">
        <v>0</v>
      </c>
      <c r="F62" s="51">
        <v>0</v>
      </c>
      <c r="G62" s="51">
        <v>0</v>
      </c>
      <c r="H62" s="51">
        <v>1</v>
      </c>
      <c r="I62" s="53">
        <f>IFERROR(B62/A62,"")</f>
        <v>3.6111111111111112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42</v>
      </c>
      <c r="B63" s="60">
        <v>148</v>
      </c>
      <c r="C63" s="60">
        <v>2</v>
      </c>
      <c r="D63" s="60">
        <v>41</v>
      </c>
      <c r="E63" s="51">
        <v>0</v>
      </c>
      <c r="F63" s="51">
        <v>0</v>
      </c>
      <c r="G63" s="51">
        <v>0</v>
      </c>
      <c r="H63" s="51">
        <v>1</v>
      </c>
      <c r="I63" s="49">
        <f>IF(A63&lt;&gt;0,(B63-(B62-D62))/(A63-A62),"")</f>
        <v>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48</v>
      </c>
      <c r="B64" s="60">
        <v>157</v>
      </c>
      <c r="C64" s="60">
        <v>3</v>
      </c>
      <c r="D64" s="60">
        <v>41</v>
      </c>
      <c r="E64" s="51">
        <v>0</v>
      </c>
      <c r="F64" s="51">
        <v>0</v>
      </c>
      <c r="G64" s="51">
        <v>0</v>
      </c>
      <c r="H64" s="51">
        <v>1</v>
      </c>
      <c r="I64" s="49">
        <f>IF(A64&lt;&gt;0,(B64-(B63-D63))/(A64-A63),"")</f>
        <v>8.3333333333333339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54</v>
      </c>
      <c r="B65" s="60">
        <v>163</v>
      </c>
      <c r="C65" s="60">
        <v>4</v>
      </c>
      <c r="D65" s="60">
        <v>31</v>
      </c>
      <c r="E65" s="51">
        <v>0.7</v>
      </c>
      <c r="F65" s="51">
        <v>0</v>
      </c>
      <c r="G65" s="51">
        <v>0</v>
      </c>
      <c r="H65" s="51">
        <v>0.3</v>
      </c>
      <c r="I65" s="49">
        <f>IF(A65&lt;&gt;0,(B65-(B64-D64))/(A65-A64),"")</f>
        <v>7.833333333333333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62</v>
      </c>
      <c r="B66" s="60">
        <v>194</v>
      </c>
      <c r="C66" s="60">
        <v>5</v>
      </c>
      <c r="D66" s="60">
        <v>39</v>
      </c>
      <c r="E66" s="51">
        <v>0.7</v>
      </c>
      <c r="F66" s="51">
        <v>0</v>
      </c>
      <c r="G66" s="51">
        <v>0</v>
      </c>
      <c r="H66" s="51">
        <v>0.3</v>
      </c>
      <c r="I66" s="49">
        <f t="shared" ref="I66:I81" si="4">IF(A66&lt;&gt;0,(B66-(B65-D65))/(A66-A65),"")</f>
        <v>7.75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v>220</v>
      </c>
      <c r="C67" s="60">
        <v>6</v>
      </c>
      <c r="D67" s="60">
        <v>53</v>
      </c>
      <c r="E67" s="51">
        <v>0.7</v>
      </c>
      <c r="F67" s="51">
        <v>0</v>
      </c>
      <c r="G67" s="51">
        <v>0</v>
      </c>
      <c r="H67" s="51">
        <v>0.3</v>
      </c>
      <c r="I67" s="49">
        <f t="shared" si="4"/>
        <v>8.125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78</v>
      </c>
      <c r="B68" s="60">
        <v>227</v>
      </c>
      <c r="C68" s="60">
        <v>7</v>
      </c>
      <c r="D68" s="60">
        <v>42</v>
      </c>
      <c r="E68" s="51">
        <v>0.7</v>
      </c>
      <c r="F68" s="51">
        <v>0</v>
      </c>
      <c r="G68" s="51">
        <v>0</v>
      </c>
      <c r="H68" s="51">
        <v>0.3</v>
      </c>
      <c r="I68" s="49">
        <f t="shared" si="4"/>
        <v>7.5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87</v>
      </c>
      <c r="B69" s="50">
        <v>243</v>
      </c>
      <c r="C69" s="50">
        <v>8</v>
      </c>
      <c r="D69" s="50">
        <v>39</v>
      </c>
      <c r="E69" s="51">
        <v>0.9</v>
      </c>
      <c r="F69" s="51">
        <v>0</v>
      </c>
      <c r="G69" s="51">
        <v>0</v>
      </c>
      <c r="H69" s="51">
        <v>0.1</v>
      </c>
      <c r="I69" s="49">
        <f t="shared" si="4"/>
        <v>6.4444444444444446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97</v>
      </c>
      <c r="B70" s="50">
        <v>265</v>
      </c>
      <c r="C70" s="50">
        <v>9</v>
      </c>
      <c r="D70" s="50">
        <v>42</v>
      </c>
      <c r="E70" s="51">
        <v>0.9</v>
      </c>
      <c r="F70" s="51">
        <v>0</v>
      </c>
      <c r="G70" s="51">
        <v>0</v>
      </c>
      <c r="H70" s="51">
        <v>0.1</v>
      </c>
      <c r="I70" s="49">
        <f t="shared" si="4"/>
        <v>6.1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107</v>
      </c>
      <c r="B71" s="50">
        <v>288</v>
      </c>
      <c r="C71" s="50">
        <v>10</v>
      </c>
      <c r="D71" s="50">
        <v>46</v>
      </c>
      <c r="E71" s="51">
        <v>0.9</v>
      </c>
      <c r="F71" s="51">
        <v>0</v>
      </c>
      <c r="G71" s="51">
        <v>0</v>
      </c>
      <c r="H71" s="51">
        <v>0.1</v>
      </c>
      <c r="I71" s="49">
        <f t="shared" si="4"/>
        <v>6.5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117</v>
      </c>
      <c r="B72" s="50">
        <v>309</v>
      </c>
      <c r="C72" s="50">
        <v>11</v>
      </c>
      <c r="D72" s="50">
        <v>45</v>
      </c>
      <c r="E72" s="51">
        <v>0.9</v>
      </c>
      <c r="F72" s="51">
        <v>0</v>
      </c>
      <c r="G72" s="51">
        <v>0</v>
      </c>
      <c r="H72" s="51">
        <v>0.1</v>
      </c>
      <c r="I72" s="49">
        <f t="shared" si="4"/>
        <v>6.7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>
        <v>129</v>
      </c>
      <c r="B73" s="50">
        <v>337</v>
      </c>
      <c r="C73" s="50" t="s">
        <v>333</v>
      </c>
      <c r="D73" s="50">
        <v>337</v>
      </c>
      <c r="E73" s="51">
        <v>0.9</v>
      </c>
      <c r="F73" s="51">
        <v>0</v>
      </c>
      <c r="G73" s="51">
        <v>0</v>
      </c>
      <c r="H73" s="51">
        <v>0.1</v>
      </c>
      <c r="I73" s="49">
        <f t="shared" si="4"/>
        <v>6.083333333333333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4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4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4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4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4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4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4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4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Chêne pubescent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42</v>
      </c>
      <c r="B88" s="60">
        <v>113</v>
      </c>
      <c r="C88" s="60">
        <v>1</v>
      </c>
      <c r="D88" s="60">
        <v>30</v>
      </c>
      <c r="E88" s="51">
        <v>0</v>
      </c>
      <c r="F88" s="51">
        <v>0</v>
      </c>
      <c r="G88" s="51">
        <v>0</v>
      </c>
      <c r="H88" s="87">
        <v>1</v>
      </c>
      <c r="I88" s="53">
        <f>IFERROR(B88/A88,"")</f>
        <v>2.6904761904761907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48</v>
      </c>
      <c r="B89" s="60">
        <v>120</v>
      </c>
      <c r="C89" s="60">
        <v>2</v>
      </c>
      <c r="D89" s="60">
        <v>28</v>
      </c>
      <c r="E89" s="51">
        <v>0</v>
      </c>
      <c r="F89" s="51">
        <v>0</v>
      </c>
      <c r="G89" s="51">
        <v>0</v>
      </c>
      <c r="H89" s="87">
        <v>1</v>
      </c>
      <c r="I89" s="53">
        <f t="shared" ref="I89:I107" si="5">IF(A89&lt;&gt;0,(B89-(B88-D88))/(A89-A88),"")</f>
        <v>6.166666666666667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56</v>
      </c>
      <c r="B90" s="60">
        <v>138</v>
      </c>
      <c r="C90" s="60">
        <v>3</v>
      </c>
      <c r="D90" s="60">
        <v>36</v>
      </c>
      <c r="E90" s="87">
        <v>0</v>
      </c>
      <c r="F90" s="87">
        <v>0</v>
      </c>
      <c r="G90" s="87">
        <v>0</v>
      </c>
      <c r="H90" s="87">
        <v>1</v>
      </c>
      <c r="I90" s="53">
        <f t="shared" si="5"/>
        <v>5.75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64</v>
      </c>
      <c r="B91" s="60">
        <v>155</v>
      </c>
      <c r="C91" s="60">
        <v>4</v>
      </c>
      <c r="D91" s="60">
        <v>41</v>
      </c>
      <c r="E91" s="87">
        <v>0.7</v>
      </c>
      <c r="F91" s="87">
        <v>0</v>
      </c>
      <c r="G91" s="87">
        <v>0</v>
      </c>
      <c r="H91" s="87">
        <v>0.3</v>
      </c>
      <c r="I91" s="53">
        <f t="shared" si="5"/>
        <v>6.625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72</v>
      </c>
      <c r="B92" s="60">
        <v>160</v>
      </c>
      <c r="C92" s="60">
        <v>5</v>
      </c>
      <c r="D92" s="60">
        <v>32</v>
      </c>
      <c r="E92" s="87">
        <v>0.7</v>
      </c>
      <c r="F92" s="87">
        <v>0</v>
      </c>
      <c r="G92" s="87">
        <v>0</v>
      </c>
      <c r="H92" s="87">
        <v>0.3</v>
      </c>
      <c r="I92" s="53">
        <f t="shared" si="5"/>
        <v>5.75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81</v>
      </c>
      <c r="B93" s="60">
        <v>172</v>
      </c>
      <c r="C93" s="60">
        <v>6</v>
      </c>
      <c r="D93" s="60">
        <v>31</v>
      </c>
      <c r="E93" s="87">
        <v>0.7</v>
      </c>
      <c r="F93" s="87">
        <v>0</v>
      </c>
      <c r="G93" s="87">
        <v>0</v>
      </c>
      <c r="H93" s="87">
        <v>0.3</v>
      </c>
      <c r="I93" s="53">
        <f t="shared" si="5"/>
        <v>4.8888888888888893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90</v>
      </c>
      <c r="B94" s="60">
        <v>184</v>
      </c>
      <c r="C94" s="60">
        <v>7</v>
      </c>
      <c r="D94" s="60">
        <v>30</v>
      </c>
      <c r="E94" s="87">
        <v>0.7</v>
      </c>
      <c r="F94" s="87">
        <v>0</v>
      </c>
      <c r="G94" s="87">
        <v>0</v>
      </c>
      <c r="H94" s="87">
        <v>0.3</v>
      </c>
      <c r="I94" s="53">
        <f t="shared" si="5"/>
        <v>4.7777777777777777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102</v>
      </c>
      <c r="B95" s="60">
        <v>211</v>
      </c>
      <c r="C95" s="60">
        <v>8</v>
      </c>
      <c r="D95" s="60">
        <v>41</v>
      </c>
      <c r="E95" s="87">
        <v>0.9</v>
      </c>
      <c r="F95" s="87">
        <v>0</v>
      </c>
      <c r="G95" s="87">
        <v>0</v>
      </c>
      <c r="H95" s="87">
        <v>0.1</v>
      </c>
      <c r="I95" s="53">
        <f t="shared" si="5"/>
        <v>4.75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114</v>
      </c>
      <c r="B96" s="60">
        <v>225</v>
      </c>
      <c r="C96" s="60">
        <v>9</v>
      </c>
      <c r="D96" s="60">
        <v>37</v>
      </c>
      <c r="E96" s="87">
        <v>0.9</v>
      </c>
      <c r="F96" s="87">
        <v>0</v>
      </c>
      <c r="G96" s="87">
        <v>0</v>
      </c>
      <c r="H96" s="87">
        <v>0.1</v>
      </c>
      <c r="I96" s="53">
        <f t="shared" si="5"/>
        <v>4.583333333333333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126</v>
      </c>
      <c r="B97" s="60">
        <v>243</v>
      </c>
      <c r="C97" s="60">
        <v>10</v>
      </c>
      <c r="D97" s="60">
        <v>38</v>
      </c>
      <c r="E97" s="87">
        <v>0.9</v>
      </c>
      <c r="F97" s="87">
        <v>0</v>
      </c>
      <c r="G97" s="87">
        <v>0</v>
      </c>
      <c r="H97" s="87">
        <v>0.1</v>
      </c>
      <c r="I97" s="53">
        <f t="shared" si="5"/>
        <v>4.583333333333333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138</v>
      </c>
      <c r="B98" s="60">
        <v>262</v>
      </c>
      <c r="C98" s="60">
        <v>11</v>
      </c>
      <c r="D98" s="60">
        <v>39</v>
      </c>
      <c r="E98" s="87">
        <v>0.9</v>
      </c>
      <c r="F98" s="87">
        <v>0</v>
      </c>
      <c r="G98" s="87">
        <v>0</v>
      </c>
      <c r="H98" s="87">
        <v>0.1</v>
      </c>
      <c r="I98" s="53">
        <f t="shared" si="5"/>
        <v>4.75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>
        <v>153</v>
      </c>
      <c r="B99" s="60">
        <v>296</v>
      </c>
      <c r="C99" s="60" t="s">
        <v>333</v>
      </c>
      <c r="D99" s="60">
        <v>296</v>
      </c>
      <c r="E99" s="87">
        <v>0.9</v>
      </c>
      <c r="F99" s="87">
        <v>0</v>
      </c>
      <c r="G99" s="87">
        <v>0</v>
      </c>
      <c r="H99" s="87">
        <v>0.1</v>
      </c>
      <c r="I99" s="53">
        <f t="shared" si="5"/>
        <v>4.8666666666666663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5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5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5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5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5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5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5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5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Cèdre de l'Atlas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20</v>
      </c>
      <c r="B114" s="60">
        <v>158</v>
      </c>
      <c r="C114" s="50">
        <v>1</v>
      </c>
      <c r="D114" s="60">
        <v>31.6</v>
      </c>
      <c r="E114" s="51">
        <v>0</v>
      </c>
      <c r="F114" s="51">
        <v>0.56000000000000005</v>
      </c>
      <c r="G114" s="51">
        <v>0.44</v>
      </c>
      <c r="H114" s="51">
        <v>0</v>
      </c>
      <c r="I114" s="53">
        <f>IFERROR(B114/A114,"")</f>
        <v>7.9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30</v>
      </c>
      <c r="B115" s="60">
        <v>223.66666666666666</v>
      </c>
      <c r="C115" s="50">
        <v>2</v>
      </c>
      <c r="D115" s="60">
        <v>36.4</v>
      </c>
      <c r="E115" s="51">
        <v>0.7</v>
      </c>
      <c r="F115" s="51">
        <v>0.16800000000000001</v>
      </c>
      <c r="G115" s="51">
        <v>0.13200000000000001</v>
      </c>
      <c r="H115" s="51">
        <v>0</v>
      </c>
      <c r="I115" s="53">
        <f t="shared" ref="I115:I133" si="6">IF(A115&lt;&gt;0,(B115-(B114-D114))/(A115-A114),"")</f>
        <v>9.7266666666666648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40</v>
      </c>
      <c r="B116" s="60">
        <v>312.72222222222223</v>
      </c>
      <c r="C116" s="50">
        <v>3</v>
      </c>
      <c r="D116" s="60">
        <v>52.26666666666668</v>
      </c>
      <c r="E116" s="51">
        <v>0.7</v>
      </c>
      <c r="F116" s="51">
        <v>0.16800000000000001</v>
      </c>
      <c r="G116" s="51">
        <v>0.13200000000000001</v>
      </c>
      <c r="H116" s="51">
        <v>0</v>
      </c>
      <c r="I116" s="53">
        <f t="shared" si="6"/>
        <v>12.545555555555557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50</v>
      </c>
      <c r="B117" s="60">
        <v>412.87962962962962</v>
      </c>
      <c r="C117" s="50">
        <v>4</v>
      </c>
      <c r="D117" s="60">
        <v>68.788888888888891</v>
      </c>
      <c r="E117" s="51">
        <v>0.7</v>
      </c>
      <c r="F117" s="51">
        <v>0.16800000000000001</v>
      </c>
      <c r="G117" s="51">
        <v>0.13200000000000001</v>
      </c>
      <c r="H117" s="51">
        <v>0</v>
      </c>
      <c r="I117" s="53">
        <f t="shared" si="6"/>
        <v>15.242407407407409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60</v>
      </c>
      <c r="B118" s="60">
        <v>531.18672839506189</v>
      </c>
      <c r="C118" s="50">
        <v>5</v>
      </c>
      <c r="D118" s="60">
        <v>88.535185185185185</v>
      </c>
      <c r="E118" s="51">
        <v>0.7</v>
      </c>
      <c r="F118" s="51">
        <v>0.16800000000000001</v>
      </c>
      <c r="G118" s="51">
        <v>0.13200000000000001</v>
      </c>
      <c r="H118" s="51">
        <v>0</v>
      </c>
      <c r="I118" s="53">
        <f t="shared" si="6"/>
        <v>18.709598765432116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70</v>
      </c>
      <c r="B119" s="60">
        <v>666.46887860082302</v>
      </c>
      <c r="C119" s="50">
        <v>6</v>
      </c>
      <c r="D119" s="60">
        <v>111.0774691358025</v>
      </c>
      <c r="E119" s="51">
        <v>0.7</v>
      </c>
      <c r="F119" s="51">
        <v>0.16800000000000001</v>
      </c>
      <c r="G119" s="51">
        <v>0.13200000000000001</v>
      </c>
      <c r="H119" s="51">
        <v>0</v>
      </c>
      <c r="I119" s="53">
        <f t="shared" si="6"/>
        <v>22.381733539094633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80</v>
      </c>
      <c r="B120" s="60">
        <v>813.92185356652965</v>
      </c>
      <c r="C120" s="60">
        <v>7</v>
      </c>
      <c r="D120" s="60">
        <v>135.65375514403294</v>
      </c>
      <c r="E120" s="87">
        <v>0.7</v>
      </c>
      <c r="F120" s="87">
        <v>0.16800000000000001</v>
      </c>
      <c r="G120" s="87">
        <v>0.13200000000000001</v>
      </c>
      <c r="H120" s="87">
        <v>0</v>
      </c>
      <c r="I120" s="53">
        <f t="shared" si="6"/>
        <v>25.853044410150915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90</v>
      </c>
      <c r="B121" s="60">
        <v>964.34635773891171</v>
      </c>
      <c r="C121" s="60">
        <v>8</v>
      </c>
      <c r="D121" s="60">
        <v>160.72437414266119</v>
      </c>
      <c r="E121" s="87">
        <v>0.7</v>
      </c>
      <c r="F121" s="87">
        <v>0.16800000000000001</v>
      </c>
      <c r="G121" s="87">
        <v>0.13200000000000001</v>
      </c>
      <c r="H121" s="87">
        <v>0</v>
      </c>
      <c r="I121" s="53">
        <f t="shared" si="6"/>
        <v>28.607825931641504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100</v>
      </c>
      <c r="B122" s="60">
        <v>600</v>
      </c>
      <c r="C122" s="60" t="s">
        <v>333</v>
      </c>
      <c r="D122" s="60">
        <f>A122</f>
        <v>100</v>
      </c>
      <c r="E122" s="87">
        <v>0.7</v>
      </c>
      <c r="F122" s="87">
        <v>0.16800000000000001</v>
      </c>
      <c r="G122" s="87">
        <v>0.13200000000000001</v>
      </c>
      <c r="H122" s="87">
        <v>0</v>
      </c>
      <c r="I122" s="53">
        <f t="shared" si="6"/>
        <v>-20.362198359625051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6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6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6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6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6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6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6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6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6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6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6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Pin taeda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12</v>
      </c>
      <c r="B140" s="60">
        <v>36</v>
      </c>
      <c r="C140" s="50">
        <v>0</v>
      </c>
      <c r="D140" s="60">
        <v>0</v>
      </c>
      <c r="E140" s="51">
        <v>0</v>
      </c>
      <c r="F140" s="51">
        <f>0.56</f>
        <v>0.56000000000000005</v>
      </c>
      <c r="G140" s="51">
        <f>0.44</f>
        <v>0.44</v>
      </c>
      <c r="H140" s="51">
        <v>0</v>
      </c>
      <c r="I140" s="57">
        <f>IFERROR(B140/A140,"")</f>
        <v>3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16</v>
      </c>
      <c r="B141" s="60">
        <v>81</v>
      </c>
      <c r="C141" s="50">
        <v>1</v>
      </c>
      <c r="D141" s="60">
        <v>15</v>
      </c>
      <c r="E141" s="51">
        <v>0</v>
      </c>
      <c r="F141" s="51">
        <f>0.56</f>
        <v>0.56000000000000005</v>
      </c>
      <c r="G141" s="51">
        <v>0.44</v>
      </c>
      <c r="H141" s="51">
        <v>0</v>
      </c>
      <c r="I141" s="57">
        <f t="shared" ref="I141:I159" si="7">IF(A141&lt;&gt;0,(B141-(B140-D140))/(A141-A140),"")</f>
        <v>11.25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20</v>
      </c>
      <c r="B142" s="60">
        <v>119</v>
      </c>
      <c r="C142" s="50">
        <v>2</v>
      </c>
      <c r="D142" s="60">
        <v>22</v>
      </c>
      <c r="E142" s="51">
        <v>0</v>
      </c>
      <c r="F142" s="51">
        <f>0.56</f>
        <v>0.56000000000000005</v>
      </c>
      <c r="G142" s="51">
        <v>0.44</v>
      </c>
      <c r="H142" s="51">
        <v>0</v>
      </c>
      <c r="I142" s="57">
        <f t="shared" si="7"/>
        <v>13.25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24</v>
      </c>
      <c r="B143" s="60">
        <v>157</v>
      </c>
      <c r="C143" s="50">
        <v>3</v>
      </c>
      <c r="D143" s="60">
        <v>31</v>
      </c>
      <c r="E143" s="51">
        <v>0.7</v>
      </c>
      <c r="F143" s="51">
        <f t="shared" ref="F143:F149" si="8">0.3*0.56</f>
        <v>0.16800000000000001</v>
      </c>
      <c r="G143" s="51">
        <f t="shared" ref="G143:G149" si="9">0.3*0.44</f>
        <v>0.13200000000000001</v>
      </c>
      <c r="H143" s="51">
        <v>0</v>
      </c>
      <c r="I143" s="57">
        <f t="shared" si="7"/>
        <v>15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28</v>
      </c>
      <c r="B144" s="60">
        <v>190</v>
      </c>
      <c r="C144" s="50">
        <v>4</v>
      </c>
      <c r="D144" s="60">
        <v>35</v>
      </c>
      <c r="E144" s="51">
        <v>0.7</v>
      </c>
      <c r="F144" s="51">
        <f t="shared" si="8"/>
        <v>0.16800000000000001</v>
      </c>
      <c r="G144" s="51">
        <f t="shared" si="9"/>
        <v>0.13200000000000001</v>
      </c>
      <c r="H144" s="51">
        <v>0</v>
      </c>
      <c r="I144" s="57">
        <f t="shared" si="7"/>
        <v>16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34</v>
      </c>
      <c r="B145" s="60">
        <v>244</v>
      </c>
      <c r="C145" s="50">
        <v>5</v>
      </c>
      <c r="D145" s="60">
        <v>46</v>
      </c>
      <c r="E145" s="51">
        <v>0.7</v>
      </c>
      <c r="F145" s="51">
        <f t="shared" si="8"/>
        <v>0.16800000000000001</v>
      </c>
      <c r="G145" s="51">
        <f t="shared" si="9"/>
        <v>0.13200000000000001</v>
      </c>
      <c r="H145" s="51">
        <v>0</v>
      </c>
      <c r="I145" s="57">
        <f t="shared" si="7"/>
        <v>14.833333333333334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40</v>
      </c>
      <c r="B146" s="60">
        <v>275</v>
      </c>
      <c r="C146" s="50">
        <v>6</v>
      </c>
      <c r="D146" s="60">
        <v>41</v>
      </c>
      <c r="E146" s="51">
        <v>0.7</v>
      </c>
      <c r="F146" s="51">
        <f t="shared" si="8"/>
        <v>0.16800000000000001</v>
      </c>
      <c r="G146" s="51">
        <f t="shared" si="9"/>
        <v>0.13200000000000001</v>
      </c>
      <c r="H146" s="51">
        <v>0</v>
      </c>
      <c r="I146" s="57">
        <f t="shared" si="7"/>
        <v>12.833333333333334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46</v>
      </c>
      <c r="B147" s="60">
        <v>293</v>
      </c>
      <c r="C147" s="50">
        <v>7</v>
      </c>
      <c r="D147" s="60">
        <v>29</v>
      </c>
      <c r="E147" s="51">
        <v>0.7</v>
      </c>
      <c r="F147" s="51">
        <f t="shared" si="8"/>
        <v>0.16800000000000001</v>
      </c>
      <c r="G147" s="51">
        <f t="shared" si="9"/>
        <v>0.13200000000000001</v>
      </c>
      <c r="H147" s="51">
        <v>0</v>
      </c>
      <c r="I147" s="57">
        <f>IF(A147&lt;&gt;0,(B147-(B146-D146))/(A147-A146),"")</f>
        <v>9.8333333333333339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>
        <v>54</v>
      </c>
      <c r="B148" s="60">
        <v>311</v>
      </c>
      <c r="C148" s="50">
        <v>8</v>
      </c>
      <c r="D148" s="60">
        <v>16</v>
      </c>
      <c r="E148" s="51">
        <v>0.7</v>
      </c>
      <c r="F148" s="51">
        <f t="shared" si="8"/>
        <v>0.16800000000000001</v>
      </c>
      <c r="G148" s="51">
        <f t="shared" si="9"/>
        <v>0.13200000000000001</v>
      </c>
      <c r="H148" s="51">
        <v>0</v>
      </c>
      <c r="I148" s="57">
        <f t="shared" si="7"/>
        <v>5.875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>
        <v>62</v>
      </c>
      <c r="B149" s="60">
        <v>316</v>
      </c>
      <c r="C149" s="50" t="s">
        <v>333</v>
      </c>
      <c r="D149" s="60">
        <f>309+7</f>
        <v>316</v>
      </c>
      <c r="E149" s="51">
        <v>0.7</v>
      </c>
      <c r="F149" s="51">
        <f t="shared" si="8"/>
        <v>0.16800000000000001</v>
      </c>
      <c r="G149" s="51">
        <f t="shared" si="9"/>
        <v>0.13200000000000001</v>
      </c>
      <c r="H149" s="51">
        <v>0</v>
      </c>
      <c r="I149" s="57">
        <f t="shared" si="7"/>
        <v>2.625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7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7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7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7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7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7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7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7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7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7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Douglas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19</v>
      </c>
      <c r="B166" s="60">
        <v>162</v>
      </c>
      <c r="C166" s="60"/>
      <c r="D166" s="60">
        <v>0</v>
      </c>
      <c r="E166" s="51">
        <v>0</v>
      </c>
      <c r="F166" s="51">
        <f>0.56</f>
        <v>0.56000000000000005</v>
      </c>
      <c r="G166" s="51">
        <f>0.44</f>
        <v>0.44</v>
      </c>
      <c r="H166" s="51">
        <v>0</v>
      </c>
      <c r="I166" s="49">
        <f>IFERROR(B166/A166,"")</f>
        <v>8.526315789473685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25</v>
      </c>
      <c r="B167" s="60">
        <v>335</v>
      </c>
      <c r="C167" s="60">
        <v>1</v>
      </c>
      <c r="D167" s="60">
        <v>54</v>
      </c>
      <c r="E167" s="51">
        <v>0</v>
      </c>
      <c r="F167" s="51">
        <f>0.56</f>
        <v>0.56000000000000005</v>
      </c>
      <c r="G167" s="51">
        <v>0.44</v>
      </c>
      <c r="H167" s="51">
        <v>0</v>
      </c>
      <c r="I167" s="49">
        <f t="shared" ref="I167:I185" si="10">IF(A167&lt;&gt;0,(B167-(B166-D166))/(A167-A166),"")</f>
        <v>28.833333333333332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30</v>
      </c>
      <c r="B168" s="60">
        <v>421</v>
      </c>
      <c r="C168" s="60">
        <v>2</v>
      </c>
      <c r="D168" s="60">
        <v>54</v>
      </c>
      <c r="E168" s="51">
        <v>0.7</v>
      </c>
      <c r="F168" s="51">
        <f>0.3*0.56</f>
        <v>0.16800000000000001</v>
      </c>
      <c r="G168" s="51">
        <f>0.3*0.44</f>
        <v>0.13200000000000001</v>
      </c>
      <c r="H168" s="51">
        <v>0</v>
      </c>
      <c r="I168" s="49">
        <f t="shared" si="10"/>
        <v>28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35</v>
      </c>
      <c r="B169" s="60">
        <v>505</v>
      </c>
      <c r="C169" s="60">
        <v>3</v>
      </c>
      <c r="D169" s="60">
        <v>69</v>
      </c>
      <c r="E169" s="51">
        <v>0.7</v>
      </c>
      <c r="F169" s="51">
        <f t="shared" ref="F169:F174" si="11">0.3*0.56</f>
        <v>0.16800000000000001</v>
      </c>
      <c r="G169" s="51">
        <f t="shared" ref="G169:G174" si="12">0.3*0.44</f>
        <v>0.13200000000000001</v>
      </c>
      <c r="H169" s="51">
        <v>0</v>
      </c>
      <c r="I169" s="49">
        <f t="shared" si="10"/>
        <v>27.6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40</v>
      </c>
      <c r="B170" s="60">
        <v>564</v>
      </c>
      <c r="C170" s="60">
        <v>4</v>
      </c>
      <c r="D170" s="60">
        <v>72</v>
      </c>
      <c r="E170" s="51">
        <v>0.7</v>
      </c>
      <c r="F170" s="51">
        <f t="shared" si="11"/>
        <v>0.16800000000000001</v>
      </c>
      <c r="G170" s="51">
        <f t="shared" si="12"/>
        <v>0.13200000000000001</v>
      </c>
      <c r="H170" s="51">
        <v>0</v>
      </c>
      <c r="I170" s="49">
        <f t="shared" si="10"/>
        <v>25.6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45</v>
      </c>
      <c r="B171" s="60">
        <v>606</v>
      </c>
      <c r="C171" s="60">
        <v>5</v>
      </c>
      <c r="D171" s="60">
        <v>66</v>
      </c>
      <c r="E171" s="51">
        <v>0.7</v>
      </c>
      <c r="F171" s="51">
        <f t="shared" si="11"/>
        <v>0.16800000000000001</v>
      </c>
      <c r="G171" s="51">
        <f t="shared" si="12"/>
        <v>0.13200000000000001</v>
      </c>
      <c r="H171" s="51">
        <v>0</v>
      </c>
      <c r="I171" s="49">
        <f t="shared" si="10"/>
        <v>22.8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50</v>
      </c>
      <c r="B172" s="60">
        <v>629</v>
      </c>
      <c r="C172" s="60">
        <v>6</v>
      </c>
      <c r="D172" s="60">
        <v>48</v>
      </c>
      <c r="E172" s="51">
        <v>0.7</v>
      </c>
      <c r="F172" s="51">
        <f t="shared" si="11"/>
        <v>0.16800000000000001</v>
      </c>
      <c r="G172" s="51">
        <f t="shared" si="12"/>
        <v>0.13200000000000001</v>
      </c>
      <c r="H172" s="51">
        <v>0</v>
      </c>
      <c r="I172" s="49">
        <f t="shared" si="10"/>
        <v>17.8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>
        <v>55</v>
      </c>
      <c r="B173" s="50">
        <v>650</v>
      </c>
      <c r="C173" s="50">
        <v>7</v>
      </c>
      <c r="D173" s="50">
        <v>35</v>
      </c>
      <c r="E173" s="51">
        <v>0.7</v>
      </c>
      <c r="F173" s="51">
        <f t="shared" si="11"/>
        <v>0.16800000000000001</v>
      </c>
      <c r="G173" s="51">
        <f t="shared" si="12"/>
        <v>0.13200000000000001</v>
      </c>
      <c r="H173" s="51">
        <v>0</v>
      </c>
      <c r="I173" s="49">
        <f t="shared" si="10"/>
        <v>13.8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>
        <v>60</v>
      </c>
      <c r="B174" s="50">
        <v>666</v>
      </c>
      <c r="C174" s="50" t="s">
        <v>333</v>
      </c>
      <c r="D174" s="50">
        <f>637+29</f>
        <v>666</v>
      </c>
      <c r="E174" s="51">
        <v>0.7</v>
      </c>
      <c r="F174" s="51">
        <f t="shared" si="11"/>
        <v>0.16800000000000001</v>
      </c>
      <c r="G174" s="51">
        <f t="shared" si="12"/>
        <v>0.13200000000000001</v>
      </c>
      <c r="H174" s="51">
        <v>0</v>
      </c>
      <c r="I174" s="49">
        <f t="shared" si="10"/>
        <v>10.199999999999999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10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10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10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10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10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10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10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10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10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10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10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Cormier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42</v>
      </c>
      <c r="B192" s="60">
        <v>90.4</v>
      </c>
      <c r="C192" s="60">
        <v>1</v>
      </c>
      <c r="D192" s="60">
        <v>24</v>
      </c>
      <c r="E192" s="51">
        <v>0</v>
      </c>
      <c r="F192" s="51">
        <v>0</v>
      </c>
      <c r="G192" s="51">
        <v>0</v>
      </c>
      <c r="H192" s="51">
        <v>1</v>
      </c>
      <c r="I192" s="49">
        <f>IFERROR(B192/A192,"")</f>
        <v>2.1523809523809527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48</v>
      </c>
      <c r="B193" s="60">
        <v>96</v>
      </c>
      <c r="C193" s="60">
        <v>2</v>
      </c>
      <c r="D193" s="60">
        <v>22.400000000000002</v>
      </c>
      <c r="E193" s="51">
        <v>0</v>
      </c>
      <c r="F193" s="51">
        <v>0</v>
      </c>
      <c r="G193" s="51">
        <v>0</v>
      </c>
      <c r="H193" s="51">
        <v>1</v>
      </c>
      <c r="I193" s="49">
        <f t="shared" ref="I193:I211" si="13">IF(A193&lt;&gt;0,(B193-(B192-D192))/(A193-A192),"")</f>
        <v>4.9333333333333327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56</v>
      </c>
      <c r="B194" s="60">
        <v>110.4</v>
      </c>
      <c r="C194" s="60">
        <v>3</v>
      </c>
      <c r="D194" s="60">
        <v>28.8</v>
      </c>
      <c r="E194" s="51">
        <v>0</v>
      </c>
      <c r="F194" s="51">
        <v>0</v>
      </c>
      <c r="G194" s="51">
        <v>0</v>
      </c>
      <c r="H194" s="51">
        <v>1</v>
      </c>
      <c r="I194" s="49">
        <f t="shared" si="13"/>
        <v>4.6000000000000014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64</v>
      </c>
      <c r="B195" s="60">
        <v>124</v>
      </c>
      <c r="C195" s="60">
        <v>4</v>
      </c>
      <c r="D195" s="60">
        <v>32.800000000000004</v>
      </c>
      <c r="E195" s="51">
        <v>0.7</v>
      </c>
      <c r="F195" s="51">
        <v>0</v>
      </c>
      <c r="G195" s="51">
        <v>0</v>
      </c>
      <c r="H195" s="51">
        <v>0.3</v>
      </c>
      <c r="I195" s="49">
        <f t="shared" si="13"/>
        <v>5.2999999999999989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72</v>
      </c>
      <c r="B196" s="60">
        <v>128</v>
      </c>
      <c r="C196" s="60">
        <v>5</v>
      </c>
      <c r="D196" s="60">
        <v>25.6</v>
      </c>
      <c r="E196" s="51">
        <v>0.7</v>
      </c>
      <c r="F196" s="51">
        <v>0</v>
      </c>
      <c r="G196" s="51">
        <v>0</v>
      </c>
      <c r="H196" s="51">
        <v>0.3</v>
      </c>
      <c r="I196" s="49">
        <f t="shared" si="13"/>
        <v>4.6000000000000014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81</v>
      </c>
      <c r="B197" s="60">
        <v>137.6</v>
      </c>
      <c r="C197" s="60">
        <v>6</v>
      </c>
      <c r="D197" s="60">
        <v>24.8</v>
      </c>
      <c r="E197" s="51">
        <v>0.7</v>
      </c>
      <c r="F197" s="51">
        <v>0</v>
      </c>
      <c r="G197" s="51">
        <v>0</v>
      </c>
      <c r="H197" s="51">
        <v>0.3</v>
      </c>
      <c r="I197" s="49">
        <f t="shared" si="13"/>
        <v>3.9111111111111097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>
        <v>90</v>
      </c>
      <c r="B198" s="60">
        <v>147.20000000000002</v>
      </c>
      <c r="C198" s="60">
        <v>7</v>
      </c>
      <c r="D198" s="60">
        <v>24</v>
      </c>
      <c r="E198" s="51">
        <v>0.7</v>
      </c>
      <c r="F198" s="51">
        <v>0</v>
      </c>
      <c r="G198" s="51">
        <v>0</v>
      </c>
      <c r="H198" s="51">
        <v>0.3</v>
      </c>
      <c r="I198" s="49">
        <f t="shared" si="13"/>
        <v>3.8222222222222246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>
        <v>102</v>
      </c>
      <c r="B199" s="50">
        <v>168.8</v>
      </c>
      <c r="C199" s="50">
        <v>8</v>
      </c>
      <c r="D199" s="50">
        <v>32.800000000000004</v>
      </c>
      <c r="E199" s="51">
        <v>0.9</v>
      </c>
      <c r="F199" s="51">
        <v>0</v>
      </c>
      <c r="G199" s="51">
        <v>0</v>
      </c>
      <c r="H199" s="51">
        <v>0.1</v>
      </c>
      <c r="I199" s="49">
        <f t="shared" si="13"/>
        <v>3.7999999999999994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>
        <v>114</v>
      </c>
      <c r="B200" s="50">
        <v>180</v>
      </c>
      <c r="C200" s="50">
        <v>9</v>
      </c>
      <c r="D200" s="50">
        <v>29.6</v>
      </c>
      <c r="E200" s="51">
        <v>0.9</v>
      </c>
      <c r="F200" s="51">
        <v>0</v>
      </c>
      <c r="G200" s="51">
        <v>0</v>
      </c>
      <c r="H200" s="51">
        <v>0.1</v>
      </c>
      <c r="I200" s="49">
        <f t="shared" si="13"/>
        <v>3.6666666666666665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>
        <v>126</v>
      </c>
      <c r="B201" s="50">
        <v>194.4</v>
      </c>
      <c r="C201" s="50">
        <v>10</v>
      </c>
      <c r="D201" s="50">
        <v>30.400000000000002</v>
      </c>
      <c r="E201" s="51">
        <v>0.9</v>
      </c>
      <c r="F201" s="51">
        <v>0</v>
      </c>
      <c r="G201" s="51">
        <v>0</v>
      </c>
      <c r="H201" s="51">
        <v>0.1</v>
      </c>
      <c r="I201" s="49">
        <f t="shared" si="13"/>
        <v>3.6666666666666665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>
        <v>138</v>
      </c>
      <c r="B202" s="50">
        <v>209.60000000000002</v>
      </c>
      <c r="C202" s="50">
        <v>11</v>
      </c>
      <c r="D202" s="50">
        <v>31.200000000000003</v>
      </c>
      <c r="E202" s="51">
        <v>0.9</v>
      </c>
      <c r="F202" s="51">
        <v>0</v>
      </c>
      <c r="G202" s="51">
        <v>0</v>
      </c>
      <c r="H202" s="51">
        <v>0.1</v>
      </c>
      <c r="I202" s="49">
        <f t="shared" si="13"/>
        <v>3.800000000000002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>
        <v>153</v>
      </c>
      <c r="B203" s="50">
        <v>236.8</v>
      </c>
      <c r="C203" s="50" t="s">
        <v>333</v>
      </c>
      <c r="D203" s="50">
        <v>236.8</v>
      </c>
      <c r="E203" s="51">
        <v>0.9</v>
      </c>
      <c r="F203" s="51">
        <v>0</v>
      </c>
      <c r="G203" s="51">
        <v>0</v>
      </c>
      <c r="H203" s="51">
        <v>0.1</v>
      </c>
      <c r="I203" s="49">
        <f t="shared" si="13"/>
        <v>3.8933333333333318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13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13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13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13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13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13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13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13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>Séquoia géant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>
        <v>19</v>
      </c>
      <c r="B218" s="60">
        <v>162</v>
      </c>
      <c r="C218" s="50"/>
      <c r="D218" s="60">
        <v>0</v>
      </c>
      <c r="E218" s="63">
        <v>0</v>
      </c>
      <c r="F218" s="63">
        <f>0.56</f>
        <v>0.56000000000000005</v>
      </c>
      <c r="G218" s="63">
        <f>0.44</f>
        <v>0.44</v>
      </c>
      <c r="H218" s="63">
        <v>0</v>
      </c>
      <c r="I218" s="53">
        <f>IFERROR(B218/A218,"")</f>
        <v>8.526315789473685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>
        <v>25</v>
      </c>
      <c r="B219" s="60">
        <v>335</v>
      </c>
      <c r="C219" s="50">
        <v>1</v>
      </c>
      <c r="D219" s="60">
        <v>54</v>
      </c>
      <c r="E219" s="63">
        <v>0</v>
      </c>
      <c r="F219" s="63">
        <f>0.56</f>
        <v>0.56000000000000005</v>
      </c>
      <c r="G219" s="63">
        <v>0.44</v>
      </c>
      <c r="H219" s="63">
        <v>0</v>
      </c>
      <c r="I219" s="53">
        <f t="shared" ref="I219:I237" si="14">IF(A219&lt;&gt;0,(B219-(B218-D218))/(A219-A218),"")</f>
        <v>28.833333333333332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>
        <v>30</v>
      </c>
      <c r="B220" s="60">
        <v>421</v>
      </c>
      <c r="C220" s="50">
        <v>2</v>
      </c>
      <c r="D220" s="60">
        <v>54</v>
      </c>
      <c r="E220" s="63">
        <v>0.7</v>
      </c>
      <c r="F220" s="63">
        <f>0.3*0.56</f>
        <v>0.16800000000000001</v>
      </c>
      <c r="G220" s="63">
        <f>0.3*0.44</f>
        <v>0.13200000000000001</v>
      </c>
      <c r="H220" s="63">
        <v>0</v>
      </c>
      <c r="I220" s="53">
        <f t="shared" si="14"/>
        <v>28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>
        <v>35</v>
      </c>
      <c r="B221" s="55">
        <v>505</v>
      </c>
      <c r="C221" s="55">
        <v>3</v>
      </c>
      <c r="D221" s="55">
        <v>69</v>
      </c>
      <c r="E221" s="63">
        <v>0.7</v>
      </c>
      <c r="F221" s="63">
        <f t="shared" ref="F221:F226" si="15">0.3*0.56</f>
        <v>0.16800000000000001</v>
      </c>
      <c r="G221" s="63">
        <f t="shared" ref="G221:G226" si="16">0.3*0.44</f>
        <v>0.13200000000000001</v>
      </c>
      <c r="H221" s="63">
        <v>0</v>
      </c>
      <c r="I221" s="53">
        <f t="shared" si="14"/>
        <v>27.6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>
        <v>40</v>
      </c>
      <c r="B222" s="55">
        <v>564</v>
      </c>
      <c r="C222" s="55">
        <v>4</v>
      </c>
      <c r="D222" s="55">
        <v>72</v>
      </c>
      <c r="E222" s="63">
        <v>0.7</v>
      </c>
      <c r="F222" s="63">
        <f t="shared" si="15"/>
        <v>0.16800000000000001</v>
      </c>
      <c r="G222" s="63">
        <f t="shared" si="16"/>
        <v>0.13200000000000001</v>
      </c>
      <c r="H222" s="63">
        <v>0</v>
      </c>
      <c r="I222" s="53">
        <f t="shared" si="14"/>
        <v>25.6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>
        <v>45</v>
      </c>
      <c r="B223" s="55">
        <v>606</v>
      </c>
      <c r="C223" s="55">
        <v>5</v>
      </c>
      <c r="D223" s="55">
        <v>66</v>
      </c>
      <c r="E223" s="63">
        <v>0.7</v>
      </c>
      <c r="F223" s="63">
        <f t="shared" si="15"/>
        <v>0.16800000000000001</v>
      </c>
      <c r="G223" s="63">
        <f t="shared" si="16"/>
        <v>0.13200000000000001</v>
      </c>
      <c r="H223" s="63">
        <v>0</v>
      </c>
      <c r="I223" s="53">
        <f t="shared" si="14"/>
        <v>22.8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>
        <v>50</v>
      </c>
      <c r="B224" s="55">
        <v>629</v>
      </c>
      <c r="C224" s="55">
        <v>6</v>
      </c>
      <c r="D224" s="55">
        <v>48</v>
      </c>
      <c r="E224" s="63">
        <v>0.7</v>
      </c>
      <c r="F224" s="63">
        <f t="shared" si="15"/>
        <v>0.16800000000000001</v>
      </c>
      <c r="G224" s="63">
        <f t="shared" si="16"/>
        <v>0.13200000000000001</v>
      </c>
      <c r="H224" s="63">
        <v>0</v>
      </c>
      <c r="I224" s="53">
        <f t="shared" si="14"/>
        <v>17.8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>
        <v>55</v>
      </c>
      <c r="B225" s="55">
        <v>650</v>
      </c>
      <c r="C225" s="55">
        <v>7</v>
      </c>
      <c r="D225" s="55">
        <v>35</v>
      </c>
      <c r="E225" s="63">
        <v>0.7</v>
      </c>
      <c r="F225" s="63">
        <f t="shared" si="15"/>
        <v>0.16800000000000001</v>
      </c>
      <c r="G225" s="63">
        <f t="shared" si="16"/>
        <v>0.13200000000000001</v>
      </c>
      <c r="H225" s="63">
        <v>0</v>
      </c>
      <c r="I225" s="53">
        <f t="shared" si="14"/>
        <v>13.8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>
        <v>60</v>
      </c>
      <c r="B226" s="55">
        <v>666</v>
      </c>
      <c r="C226" s="55" t="s">
        <v>333</v>
      </c>
      <c r="D226" s="55">
        <f>637+29</f>
        <v>666</v>
      </c>
      <c r="E226" s="63">
        <v>0.7</v>
      </c>
      <c r="F226" s="63">
        <f t="shared" si="15"/>
        <v>0.16800000000000001</v>
      </c>
      <c r="G226" s="63">
        <f t="shared" si="16"/>
        <v>0.13200000000000001</v>
      </c>
      <c r="H226" s="63">
        <v>0</v>
      </c>
      <c r="I226" s="53">
        <f t="shared" si="14"/>
        <v>10.199999999999999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14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14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14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14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14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14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14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14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14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14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14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7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7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7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7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7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7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7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7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7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7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7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7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7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7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7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7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7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8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8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8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8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8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8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8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8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8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8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8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8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8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8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8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8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8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8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sessile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pubescent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Cèdre de l'Atlas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Pin taeda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Douglas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Cormier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Séquoia géant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227.89848316900191</v>
      </c>
      <c r="T3" s="59">
        <f>IF('Données projet'!E9&gt;30,$R$33-$H$33,LOOKUP('Données projet'!$E$9,$A$3:$A$203,R3:R203)-LOOKUP('Données projet'!$E$9,$A$3:$A$203,$H$3:$H$203))</f>
        <v>239.85955661394541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215.7418266360167</v>
      </c>
      <c r="AO3" s="59">
        <f>IF('Données projet'!E10&gt;30,$AM$33-$H$33,LOOKUP('Données projet'!$E$10,$A$3:$A$203,AM3:AM203)-LOOKUP('Données projet'!$E$10,$A$3:$A$203,$H$3:$H$203))</f>
        <v>155.78420008229949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179.53921263314447</v>
      </c>
      <c r="BJ3" s="59">
        <f>IF('Données projet'!E11&gt;30,$BH$33-$H$33,LOOKUP('Données projet'!$E$11,$A$3:$A$203,BH3:BH203)-LOOKUP('Données projet'!$E$11,$A$3:$A$203,$H$3:$H$203))</f>
        <v>120.81513023281337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310.06530483941287</v>
      </c>
      <c r="CE3" s="59">
        <f>IF('Données projet'!E12&gt;30,$CC$33-$H$33,LOOKUP('Données projet'!$E$12,$A$3:$A$203,CC3:CC203)-LOOKUP('Données projet'!$E$12,$A$3:$A$203,$H$3:$H$203))</f>
        <v>170.13425794309376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168.08890945052406</v>
      </c>
      <c r="CZ3" s="59">
        <f>IF('Données projet'!E13&gt;30,$CX$33-$H$33,LOOKUP('Données projet'!$E$13,$A$3:$A$203,CX3:CX203)-LOOKUP('Données projet'!$E$13,$A$3:$A$203,$H$3:$H$203))</f>
        <v>182.52462557642343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355.23615781077405</v>
      </c>
      <c r="DU3" s="59">
        <f>IF('Données projet'!E14&gt;30,$DS$33-$H$33,LOOKUP('Données projet'!$E$14,$A$3:$A$203,DS3:DS203)-LOOKUP('Données projet'!$E$14,$A$3:$A$203,$H$3:$H$203))</f>
        <v>448.84541017639367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130.76477588601989</v>
      </c>
      <c r="EP3" s="59">
        <f>IF('Données projet'!E15&gt;30,$EN$33-$H$33,LOOKUP('Données projet'!$E$15,$A$3:$A$203,EN3:EN203)-LOOKUP('Données projet'!$E$15,$A$3:$A$203,$H$3:$H$203))</f>
        <v>94.034011511502172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279.43442619866738</v>
      </c>
      <c r="FK3" s="59">
        <f>IF('Données projet'!E16&gt;30,$FI$33-$H$33,LOOKUP('Données projet'!$E$16,$A$3:$A$203,FI3:FI203)-LOOKUP('Données projet'!$E$16,$A$3:$A$203,$H$3:$H$203))</f>
        <v>355.95192241448217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3.8333333333333335</v>
      </c>
      <c r="N4" s="13">
        <f>IF('Données projet'!$A$36&gt;35,N3+M4-V3,IF(A4&lt;'Données projet'!$A$36,$K$205^A4,IF(A4='Données projet'!$A$36,'Données projet'!$B$36,N3+M4-V3)))</f>
        <v>1.3758248603770518</v>
      </c>
      <c r="O4" s="13">
        <f>N4*VLOOKUP('Données projet'!$B$9,Paramètres!$A$1:$I$89,3,0)*VLOOKUP('Données projet'!$B$9,Paramètres!$A$1:$I$89,5,0)</f>
        <v>0.82274326650547702</v>
      </c>
      <c r="P4" s="13">
        <f>EXP(-1.0587+0.8836*LN(O4)+0.284)</f>
        <v>0.3878641435528864</v>
      </c>
      <c r="Q4" s="20">
        <f t="shared" ref="Q4:Q34" si="2">(O4+P4)*0.475*44/12</f>
        <v>2.108474572518316</v>
      </c>
      <c r="R4" s="59">
        <f t="shared" si="0"/>
        <v>295.44180790585165</v>
      </c>
      <c r="S4" s="59">
        <f ca="1">AVERAGE(OFFSET($R$3,0,0,'Données projet'!$E$9+1,1))-AVERAGE(OFFSET($H$3,0,0,'Données projet'!$E$9+1,1))</f>
        <v>227.89848316900191</v>
      </c>
      <c r="T4" s="59">
        <f>$T$3</f>
        <v>239.85955661394541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3.6111111111111112</v>
      </c>
      <c r="AI4" s="13">
        <f>IF('Données projet'!$A$62&gt;35,AI3+AH4-AQ3,IF(A4&lt;'Données projet'!$A$62,$AF$205^A4,IF(A4='Données projet'!$A$62,'Données projet'!$B$62,AI3+AH4-AQ3)))</f>
        <v>3.6111111111111112</v>
      </c>
      <c r="AJ4" s="13">
        <f>AI4*VLOOKUP('Données projet'!$B$10,Paramètres!$A$1:$I$89,3,0)*VLOOKUP('Données projet'!$B$10,Paramètres!$A$1:$I$89,5,0)</f>
        <v>3.2673333333333328</v>
      </c>
      <c r="AK4" s="13">
        <f>EXP(-1.0587+0.8836*LN(AJ4)+0.284)</f>
        <v>1.311877826118061</v>
      </c>
      <c r="AL4" s="20">
        <f t="shared" ref="AL4:AL67" si="4">(AJ4+AK4)*0.475*44/12</f>
        <v>7.9754594360445097</v>
      </c>
      <c r="AM4" s="59">
        <f t="shared" ref="AM4:AM67" si="5">AL4+(AD4+AE4)*44/12</f>
        <v>301.30879276937782</v>
      </c>
      <c r="AN4" s="59">
        <f ca="1">AVERAGE(OFFSET($AM$3,0,0,'Données projet'!$E$10+1,1))-AVERAGE(OFFSET($H$3,0,0,'Données projet'!$E$10+1,1))</f>
        <v>215.7418266360167</v>
      </c>
      <c r="AO4" s="59">
        <f>$AO$3</f>
        <v>155.78420008229949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2.6904761904761907</v>
      </c>
      <c r="BD4" s="12">
        <f>IF('Données projet'!$A$88&gt;35,BD3+BC4-BL3,IF(A4&lt;'Données projet'!$A$88,$BA$205^A4,IF(A4='Données projet'!$A$88,'Données projet'!$B$88,BD3+BC4-BL3)))</f>
        <v>2.6904761904761907</v>
      </c>
      <c r="BE4" s="13">
        <f>BD4*VLOOKUP('Données projet'!$B$11,Paramètres!$A$1:$I$89,3,0)*VLOOKUP('Données projet'!$B$11,Paramètres!$A$1:$I$89,5,0)</f>
        <v>2.7281428571428576</v>
      </c>
      <c r="BF4" s="13">
        <f>EXP(-1.0587+0.8836*LN(BE4)+0.284)</f>
        <v>1.1186242800369344</v>
      </c>
      <c r="BG4" s="20">
        <f t="shared" ref="BG4:BG67" si="7">(BE4+BF4)*0.475*44/12</f>
        <v>6.6997860972548038</v>
      </c>
      <c r="BH4" s="59">
        <f t="shared" ref="BH4:BH67" si="8">BG4+(AY4+AZ4)*44/12</f>
        <v>300.0331194305881</v>
      </c>
      <c r="BI4" s="59">
        <f ca="1">AVERAGE(OFFSET($BH$3,0,0,'Données projet'!$E$11+1,1))-AVERAGE(OFFSET($H$3,0,0,'Données projet'!$E$11+1,1))</f>
        <v>179.53921263314447</v>
      </c>
      <c r="BJ4" s="59">
        <f>$BJ$3</f>
        <v>120.81513023281337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7.9</v>
      </c>
      <c r="BY4" s="12">
        <f>IF('Données projet'!$A$114&gt;35,BY3+BX4-CG3,IF(A4&lt;'Données projet'!$A$114,$BV$205^A4,IF(A4='Données projet'!$A$114,'Données projet'!$B$114,BY3+BX4-CG3)))</f>
        <v>1.2880503926580862</v>
      </c>
      <c r="BZ4" s="13">
        <f>BY4*VLOOKUP('Données projet'!$B$12,Paramètres!$A$1:$I$89,3,0)*VLOOKUP('Données projet'!$B$12,Paramètres!$A$1:$I$89,5,0)</f>
        <v>0.60280758376398436</v>
      </c>
      <c r="CA4" s="13">
        <f>EXP(-1.0587+0.8836*LN(BZ4)+0.284)</f>
        <v>0.29465781953181042</v>
      </c>
      <c r="CB4" s="20">
        <f t="shared" ref="CB4:CB67" si="10">(BZ4+CA4)*0.475*44/12</f>
        <v>1.5630855774068424</v>
      </c>
      <c r="CC4" s="59">
        <f t="shared" ref="CC4:CC67" si="11">CB4+(BT4+BU4)*44/12</f>
        <v>294.89641891074018</v>
      </c>
      <c r="CD4" s="59">
        <f ca="1">AVERAGE(OFFSET($CC$3,0,0,'Données projet'!$E$12+1,1))-AVERAGE(OFFSET($H$3,0,0,'Données projet'!$E$12+1,1))</f>
        <v>310.06530483941287</v>
      </c>
      <c r="CE4" s="59">
        <f>$CE$3</f>
        <v>170.13425794309376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3</v>
      </c>
      <c r="CT4" s="12">
        <f>IF('Données projet'!$A$140&gt;35,CT3+CS4-DB3,IF(A4&lt;'Données projet'!$A$140,$CQ$205^A4,IF(A4='Données projet'!$A$140,'Données projet'!$B$140,CT3+CS4-DB3)))</f>
        <v>1.3480061545972777</v>
      </c>
      <c r="CU4" s="17">
        <f>CT4*VLOOKUP('Données projet'!$B$13,Paramètres!$A$1:$I$89,3,0)*VLOOKUP('Données projet'!$B$13,Paramètres!$A$1:$I$89,5,0)</f>
        <v>0.80610768044917203</v>
      </c>
      <c r="CV4" s="13">
        <f>EXP(-1.0587+0.8836*LN(CU4)+0.284)</f>
        <v>0.38092631183578585</v>
      </c>
      <c r="CW4" s="20">
        <f t="shared" ref="CW4:CW67" si="13">(CU4+CV4)*0.475*44/12</f>
        <v>2.0674175365629677</v>
      </c>
      <c r="CX4" s="59">
        <f t="shared" ref="CX4:CX67" si="14">CW4+(CO4+CP4)*44/12</f>
        <v>295.40075086989629</v>
      </c>
      <c r="CY4" s="59">
        <f ca="1">AVERAGE(OFFSET($CX$3,0,0,'Données projet'!$E$13+1,1))-AVERAGE(OFFSET($H$3,0,0,'Données projet'!$E$13+1,1))</f>
        <v>168.08890945052406</v>
      </c>
      <c r="CZ4" s="59">
        <f>$CZ$3</f>
        <v>182.52462557642343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8.526315789473685</v>
      </c>
      <c r="DO4" s="12">
        <f>IF('Données projet'!$A$166&gt;35,DO3+DN4-DW3,IF(A4&lt;'Données projet'!$A$166,$DL$205^A4,IF(A4='Données projet'!$A$166,'Données projet'!$B$166,DO3+DN4-DW3)))</f>
        <v>1.3070441688874561</v>
      </c>
      <c r="DP4" s="17">
        <f>DO4*VLOOKUP('Données projet'!$B$14,Paramètres!$A$1:$I$89,3,0)*VLOOKUP('Données projet'!$B$14,Paramètres!$A$1:$I$89,5,0)</f>
        <v>0.73063769040808801</v>
      </c>
      <c r="DQ4" s="13">
        <f>EXP(-1.0587+0.8836*LN(DP4)+0.284)</f>
        <v>0.34923616900555043</v>
      </c>
      <c r="DR4" s="20">
        <f t="shared" ref="DR4:DR67" si="16">(DP4+DQ4)*0.475*44/12</f>
        <v>1.8807803051454206</v>
      </c>
      <c r="DS4" s="59">
        <f t="shared" ref="DS4:DS67" si="17">DR4+(DJ4+DK4)*44/12</f>
        <v>295.21411363847875</v>
      </c>
      <c r="DT4" s="59">
        <f ca="1">AVERAGE(OFFSET($DS$3,0,0,'Données projet'!$E$14+1,1))-AVERAGE(OFFSET($H$3,0,0,'Données projet'!$E$14+1,1))</f>
        <v>355.23615781077405</v>
      </c>
      <c r="DU4" s="59">
        <f>$DU$3</f>
        <v>448.84541017639367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2.1523809523809527</v>
      </c>
      <c r="EJ4" s="12">
        <f>IF('Données projet'!$A$192&gt;35,EJ3+EI4-ER3,IF(A4&lt;'Données projet'!$A$192,$EG$205^A4,IF(A4='Données projet'!$A$192,'Données projet'!$B$192,EJ3+EI4-ER3)))</f>
        <v>2.1523809523809527</v>
      </c>
      <c r="EK4" s="17">
        <f>EJ4*VLOOKUP('Données projet'!$B$15,Paramètres!$A$1:$I$89,3,0)*VLOOKUP('Données projet'!$B$15,Paramètres!$A$1:$I$89,5,0)</f>
        <v>2.3168228571428573</v>
      </c>
      <c r="EL4" s="13">
        <f>EXP(-1.0587+0.8836*LN(EK4)+0.284)</f>
        <v>0.96821402372725884</v>
      </c>
      <c r="EM4" s="20">
        <f t="shared" ref="EM4:EM67" si="19">(EK4+EL4)*0.475*44/12</f>
        <v>5.7214392341821183</v>
      </c>
      <c r="EN4" s="59">
        <f t="shared" ref="EN4:EN67" si="20">EM4+(EE4+EF4)*44/12</f>
        <v>299.05477256751544</v>
      </c>
      <c r="EO4" s="59">
        <f ca="1">AVERAGE(OFFSET($EN$3,0,0,'Données projet'!$E$15+1,1))-AVERAGE(OFFSET($H$3,0,0,'Données projet'!$E$15+1,1))</f>
        <v>130.76477588601989</v>
      </c>
      <c r="EP4" s="59">
        <f>$EP$3</f>
        <v>94.034011511502172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8.526315789473685</v>
      </c>
      <c r="FE4" s="12">
        <f>IF('Données projet'!$A$218&gt;35,FE3+FD4-FM3,IF(A4&lt;'Données projet'!$A$218,$FB$205^A4,IF(A4='Données projet'!$A$218,'Données projet'!$B$218,FE3+FD4-FM3)))</f>
        <v>1.3070441688874561</v>
      </c>
      <c r="FF4" s="17">
        <f>FE4*VLOOKUP('Données projet'!$B$16,Paramètres!$A$1:$I$89,3,0)*VLOOKUP('Données projet'!$B$16,Paramètres!$A$1:$I$89,5,0)</f>
        <v>0.59470509684379247</v>
      </c>
      <c r="FG4" s="13">
        <f>EXP(-1.0587+0.8836*LN(FF4)+0.284)</f>
        <v>0.29115550918851335</v>
      </c>
      <c r="FH4" s="20">
        <f t="shared" ref="FH4:FH67" si="22">(FF4+FG4)*0.475*44/12</f>
        <v>1.5428738888395992</v>
      </c>
      <c r="FI4" s="59">
        <f t="shared" ref="FI4:FI67" si="23">FH4+(EZ4+FA4)*44/12</f>
        <v>294.87620722217292</v>
      </c>
      <c r="FJ4" s="59">
        <f ca="1">AVERAGE(OFFSET($FI$3,0,0,'Données projet'!$E$16+1,1))-AVERAGE(OFFSET($H$3,0,0,'Données projet'!$E$16+1,1))</f>
        <v>279.43442619866738</v>
      </c>
      <c r="FK4" s="59">
        <f>$FK$3</f>
        <v>355.95192241448217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3.8333333333333335</v>
      </c>
      <c r="N5" s="13">
        <f>IF('Données projet'!$A$36&gt;35,N4+M5-V4,IF(A5&lt;'Données projet'!$A$36,$K$205^A5,IF(A5='Données projet'!$A$36,'Données projet'!$B$36,N4+M5-V4)))</f>
        <v>1.892894046431534</v>
      </c>
      <c r="O5" s="13">
        <f>N5*VLOOKUP('Données projet'!$B$9,Paramètres!$A$1:$I$89,3,0)*VLOOKUP('Données projet'!$B$9,Paramètres!$A$1:$I$89,5,0)</f>
        <v>1.1319506397660575</v>
      </c>
      <c r="P5" s="13">
        <f t="shared" ref="P5:P68" si="33">EXP(-1.0587+0.8836*LN(O5)+0.284)</f>
        <v>0.51417864374064992</v>
      </c>
      <c r="Q5" s="20">
        <f t="shared" si="2"/>
        <v>2.8670085021075149</v>
      </c>
      <c r="R5" s="59">
        <f t="shared" si="0"/>
        <v>296.20034183544084</v>
      </c>
      <c r="S5" s="59">
        <f ca="1">AVERAGE(OFFSET($R$3,0,0,'Données projet'!$E$9+1,1))-AVERAGE(OFFSET($H$3,0,0,'Données projet'!$E$9+1,1))</f>
        <v>227.89848316900191</v>
      </c>
      <c r="T5" s="59">
        <f t="shared" ref="T5:T68" si="34">$T$3</f>
        <v>239.85955661394541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3.6111111111111112</v>
      </c>
      <c r="AI5" s="13">
        <f>IF('Données projet'!$A$62&gt;35,AI4+AH5-AQ4,IF(A5&lt;'Données projet'!$A$62,$AF$205^A5,IF(A5='Données projet'!$A$62,'Données projet'!$B$62,AI4+AH5-AQ4)))</f>
        <v>7.2222222222222223</v>
      </c>
      <c r="AJ5" s="13">
        <f>AI5*VLOOKUP('Données projet'!$B$10,Paramètres!$A$1:$I$89,3,0)*VLOOKUP('Données projet'!$B$10,Paramètres!$A$1:$I$89,5,0)</f>
        <v>6.5346666666666655</v>
      </c>
      <c r="AK5" s="13">
        <f t="shared" ref="AK5:AK68" si="35">EXP(-1.0587+0.8836*LN(AJ5)+0.284)</f>
        <v>2.42037966588344</v>
      </c>
      <c r="AL5" s="20">
        <f t="shared" si="4"/>
        <v>15.5967056958581</v>
      </c>
      <c r="AM5" s="59">
        <f t="shared" si="5"/>
        <v>308.93003902919139</v>
      </c>
      <c r="AN5" s="59">
        <f ca="1">AVERAGE(OFFSET($AM$3,0,0,'Données projet'!$E$10+1,1))-AVERAGE(OFFSET($H$3,0,0,'Données projet'!$E$10+1,1))</f>
        <v>215.7418266360167</v>
      </c>
      <c r="AO5" s="59">
        <f t="shared" ref="AO5:AO68" si="36">$AO$3</f>
        <v>155.78420008229949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2.6904761904761907</v>
      </c>
      <c r="BD5" s="12">
        <f>IF('Données projet'!$A$88&gt;35,BD4+BC5-BL4,IF(A5&lt;'Données projet'!$A$88,$BA$205^A5,IF(A5='Données projet'!$A$88,'Données projet'!$B$88,BD4+BC5-BL4)))</f>
        <v>5.3809523809523814</v>
      </c>
      <c r="BE5" s="13">
        <f>BD5*VLOOKUP('Données projet'!$B$11,Paramètres!$A$1:$I$89,3,0)*VLOOKUP('Données projet'!$B$11,Paramètres!$A$1:$I$89,5,0)</f>
        <v>5.4562857142857153</v>
      </c>
      <c r="BF5" s="13">
        <f t="shared" ref="BF5:BF68" si="37">EXP(-1.0587+0.8836*LN(BE5)+0.284)</f>
        <v>2.0638320179376533</v>
      </c>
      <c r="BG5" s="20">
        <f t="shared" si="7"/>
        <v>13.097538383622366</v>
      </c>
      <c r="BH5" s="59">
        <f t="shared" si="8"/>
        <v>306.43087171695566</v>
      </c>
      <c r="BI5" s="59">
        <f ca="1">AVERAGE(OFFSET($BH$3,0,0,'Données projet'!$E$11+1,1))-AVERAGE(OFFSET($H$3,0,0,'Données projet'!$E$11+1,1))</f>
        <v>179.53921263314447</v>
      </c>
      <c r="BJ5" s="59">
        <f t="shared" ref="BJ5:BJ68" si="38">$BJ$3</f>
        <v>120.81513023281337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7.9</v>
      </c>
      <c r="BY5" s="12">
        <f>IF('Données projet'!$A$114&gt;35,BY4+BX5-CG4,IF(A5&lt;'Données projet'!$A$114,$BV$205^A5,IF(A5='Données projet'!$A$114,'Données projet'!$B$114,BY4+BX5-CG4)))</f>
        <v>1.6590738140266501</v>
      </c>
      <c r="BZ5" s="13">
        <f>BY5*VLOOKUP('Données projet'!$B$12,Paramètres!$A$1:$I$89,3,0)*VLOOKUP('Données projet'!$B$12,Paramètres!$A$1:$I$89,5,0)</f>
        <v>0.77644654496447219</v>
      </c>
      <c r="CA5" s="13">
        <f t="shared" ref="CA5:CA68" si="39">EXP(-1.0587+0.8836*LN(BZ5)+0.284)</f>
        <v>0.36851455096495994</v>
      </c>
      <c r="CB5" s="20">
        <f t="shared" si="10"/>
        <v>1.9941405754104276</v>
      </c>
      <c r="CC5" s="59">
        <f t="shared" si="11"/>
        <v>295.32747390874374</v>
      </c>
      <c r="CD5" s="59">
        <f ca="1">AVERAGE(OFFSET($CC$3,0,0,'Données projet'!$E$12+1,1))-AVERAGE(OFFSET($H$3,0,0,'Données projet'!$E$12+1,1))</f>
        <v>310.06530483941287</v>
      </c>
      <c r="CE5" s="59">
        <f t="shared" ref="CE5:CE68" si="40">$CE$3</f>
        <v>170.13425794309376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3</v>
      </c>
      <c r="CT5" s="12">
        <f>IF('Données projet'!$A$140&gt;35,CT4+CS5-DB4,IF(A5&lt;'Données projet'!$A$140,$CQ$205^A5,IF(A5='Données projet'!$A$140,'Données projet'!$B$140,CT4+CS5-DB4)))</f>
        <v>1.8171205928321397</v>
      </c>
      <c r="CU5" s="17">
        <f>CT5*VLOOKUP('Données projet'!$B$13,Paramètres!$A$1:$I$89,3,0)*VLOOKUP('Données projet'!$B$13,Paramètres!$A$1:$I$89,5,0)</f>
        <v>1.0866381145136197</v>
      </c>
      <c r="CV5" s="13">
        <f t="shared" ref="CV5:CV68" si="41">EXP(-1.0587+0.8836*LN(CU5)+0.284)</f>
        <v>0.49594865026181029</v>
      </c>
      <c r="CW5" s="20">
        <f t="shared" si="13"/>
        <v>2.7563386153172069</v>
      </c>
      <c r="CX5" s="59">
        <f t="shared" si="14"/>
        <v>296.0896719486505</v>
      </c>
      <c r="CY5" s="59">
        <f ca="1">AVERAGE(OFFSET($CX$3,0,0,'Données projet'!$E$13+1,1))-AVERAGE(OFFSET($H$3,0,0,'Données projet'!$E$13+1,1))</f>
        <v>168.08890945052406</v>
      </c>
      <c r="CZ5" s="59">
        <f t="shared" ref="CZ5:CZ68" si="42">$CZ$3</f>
        <v>182.52462557642343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8.526315789473685</v>
      </c>
      <c r="DO5" s="12">
        <f>IF('Données projet'!$A$166&gt;35,DO4+DN5-DW4,IF(A5&lt;'Données projet'!$A$166,$DL$205^A5,IF(A5='Données projet'!$A$166,'Données projet'!$B$166,DO4+DN5-DW4)))</f>
        <v>1.708364459422701</v>
      </c>
      <c r="DP5" s="17">
        <f>DO5*VLOOKUP('Données projet'!$B$14,Paramètres!$A$1:$I$89,3,0)*VLOOKUP('Données projet'!$B$14,Paramètres!$A$1:$I$89,5,0)</f>
        <v>0.95497573281728976</v>
      </c>
      <c r="DQ5" s="13">
        <f t="shared" ref="DQ5:DQ68" si="43">EXP(-1.0587+0.8836*LN(DP5)+0.284)</f>
        <v>0.44245926414263009</v>
      </c>
      <c r="DR5" s="20">
        <f t="shared" si="16"/>
        <v>2.4338659530385267</v>
      </c>
      <c r="DS5" s="59">
        <f t="shared" si="17"/>
        <v>295.76719928637186</v>
      </c>
      <c r="DT5" s="59">
        <f ca="1">AVERAGE(OFFSET($DS$3,0,0,'Données projet'!$E$14+1,1))-AVERAGE(OFFSET($H$3,0,0,'Données projet'!$E$14+1,1))</f>
        <v>355.23615781077405</v>
      </c>
      <c r="DU5" s="59">
        <f t="shared" ref="DU5:DU68" si="44">$DU$3</f>
        <v>448.84541017639367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2.1523809523809527</v>
      </c>
      <c r="EJ5" s="12">
        <f>IF('Données projet'!$A$192&gt;35,EJ4+EI5-ER4,IF(A5&lt;'Données projet'!$A$192,$EG$205^A5,IF(A5='Données projet'!$A$192,'Données projet'!$B$192,EJ4+EI5-ER4)))</f>
        <v>4.3047619047619055</v>
      </c>
      <c r="EK5" s="17">
        <f>EJ5*VLOOKUP('Données projet'!$B$15,Paramètres!$A$1:$I$89,3,0)*VLOOKUP('Données projet'!$B$15,Paramètres!$A$1:$I$89,5,0)</f>
        <v>4.6336457142857146</v>
      </c>
      <c r="EL5" s="13">
        <f t="shared" ref="EL5:EL68" si="45">EXP(-1.0587+0.8836*LN(EK5)+0.284)</f>
        <v>1.7863290990953513</v>
      </c>
      <c r="EM5" s="20">
        <f t="shared" si="19"/>
        <v>11.181456133305355</v>
      </c>
      <c r="EN5" s="59">
        <f t="shared" si="20"/>
        <v>304.51478946663866</v>
      </c>
      <c r="EO5" s="59">
        <f ca="1">AVERAGE(OFFSET($EN$3,0,0,'Données projet'!$E$15+1,1))-AVERAGE(OFFSET($H$3,0,0,'Données projet'!$E$15+1,1))</f>
        <v>130.76477588601989</v>
      </c>
      <c r="EP5" s="59">
        <f t="shared" ref="EP5:EP68" si="46">$EP$3</f>
        <v>94.034011511502172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8.526315789473685</v>
      </c>
      <c r="FE5" s="12">
        <f>IF('Données projet'!$A$218&gt;35,FE4+FD5-FM4,IF(A5&lt;'Données projet'!$A$218,$FB$205^A5,IF(A5='Données projet'!$A$218,'Données projet'!$B$218,FE4+FD5-FM4)))</f>
        <v>1.708364459422701</v>
      </c>
      <c r="FF5" s="17">
        <f>FE5*VLOOKUP('Données projet'!$B$16,Paramètres!$A$1:$I$89,3,0)*VLOOKUP('Données projet'!$B$16,Paramètres!$A$1:$I$89,5,0)</f>
        <v>0.77730582903732892</v>
      </c>
      <c r="FG5" s="13">
        <f t="shared" ref="FG5:FG68" si="47">EXP(-1.0587+0.8836*LN(FF5)+0.284)</f>
        <v>0.36887488690947989</v>
      </c>
      <c r="FH5" s="20">
        <f t="shared" si="22"/>
        <v>1.9962647469406918</v>
      </c>
      <c r="FI5" s="59">
        <f t="shared" si="23"/>
        <v>295.32959808027402</v>
      </c>
      <c r="FJ5" s="59">
        <f ca="1">AVERAGE(OFFSET($FI$3,0,0,'Données projet'!$E$16+1,1))-AVERAGE(OFFSET($H$3,0,0,'Données projet'!$E$16+1,1))</f>
        <v>279.43442619866738</v>
      </c>
      <c r="FK5" s="59">
        <f t="shared" ref="FK5:FK68" si="48">$FK$3</f>
        <v>355.95192241448217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3.8333333333333335</v>
      </c>
      <c r="N6" s="13">
        <f>IF('Données projet'!$A$36&gt;35,N5+M6-V5,IF(A6&lt;'Données projet'!$A$36,$K$205^A6,IF(A6='Données projet'!$A$36,'Données projet'!$B$36,N5+M6-V5)))</f>
        <v>2.6042906871402178</v>
      </c>
      <c r="O6" s="13">
        <f>N6*VLOOKUP('Données projet'!$B$9,Paramètres!$A$1:$I$89,3,0)*VLOOKUP('Données projet'!$B$9,Paramètres!$A$1:$I$89,5,0)</f>
        <v>1.5573658309098504</v>
      </c>
      <c r="P6" s="13">
        <f t="shared" si="33"/>
        <v>0.68162959137501489</v>
      </c>
      <c r="Q6" s="20">
        <f t="shared" si="2"/>
        <v>3.8995836938128075</v>
      </c>
      <c r="R6" s="59">
        <f t="shared" si="0"/>
        <v>297.23291702714613</v>
      </c>
      <c r="S6" s="59">
        <f ca="1">AVERAGE(OFFSET($R$3,0,0,'Données projet'!$E$9+1,1))-AVERAGE(OFFSET($H$3,0,0,'Données projet'!$E$9+1,1))</f>
        <v>227.89848316900191</v>
      </c>
      <c r="T6" s="59">
        <f t="shared" si="34"/>
        <v>239.85955661394541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3.6111111111111112</v>
      </c>
      <c r="AI6" s="13">
        <f>IF('Données projet'!$A$62&gt;35,AI5+AH6-AQ5,IF(A6&lt;'Données projet'!$A$62,$AF$205^A6,IF(A6='Données projet'!$A$62,'Données projet'!$B$62,AI5+AH6-AQ5)))</f>
        <v>10.833333333333334</v>
      </c>
      <c r="AJ6" s="13">
        <f>AI6*VLOOKUP('Données projet'!$B$10,Paramètres!$A$1:$I$89,3,0)*VLOOKUP('Données projet'!$B$10,Paramètres!$A$1:$I$89,5,0)</f>
        <v>9.8019999999999996</v>
      </c>
      <c r="AK6" s="13">
        <f t="shared" si="35"/>
        <v>3.4632012708927946</v>
      </c>
      <c r="AL6" s="20">
        <f t="shared" si="4"/>
        <v>23.10355888013828</v>
      </c>
      <c r="AM6" s="59">
        <f t="shared" si="5"/>
        <v>316.43689221347159</v>
      </c>
      <c r="AN6" s="59">
        <f ca="1">AVERAGE(OFFSET($AM$3,0,0,'Données projet'!$E$10+1,1))-AVERAGE(OFFSET($H$3,0,0,'Données projet'!$E$10+1,1))</f>
        <v>215.7418266360167</v>
      </c>
      <c r="AO6" s="59">
        <f t="shared" si="36"/>
        <v>155.78420008229949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2.6904761904761907</v>
      </c>
      <c r="BD6" s="12">
        <f>IF('Données projet'!$A$88&gt;35,BD5+BC6-BL5,IF(A6&lt;'Données projet'!$A$88,$BA$205^A6,IF(A6='Données projet'!$A$88,'Données projet'!$B$88,BD5+BC6-BL5)))</f>
        <v>8.071428571428573</v>
      </c>
      <c r="BE6" s="13">
        <f>BD6*VLOOKUP('Données projet'!$B$11,Paramètres!$A$1:$I$89,3,0)*VLOOKUP('Données projet'!$B$11,Paramètres!$A$1:$I$89,5,0)</f>
        <v>8.1844285714285743</v>
      </c>
      <c r="BF6" s="13">
        <f t="shared" si="37"/>
        <v>2.9530349176942408</v>
      </c>
      <c r="BG6" s="20">
        <f t="shared" si="7"/>
        <v>19.397748910222237</v>
      </c>
      <c r="BH6" s="59">
        <f t="shared" si="8"/>
        <v>312.73108224355553</v>
      </c>
      <c r="BI6" s="59">
        <f ca="1">AVERAGE(OFFSET($BH$3,0,0,'Données projet'!$E$11+1,1))-AVERAGE(OFFSET($H$3,0,0,'Données projet'!$E$11+1,1))</f>
        <v>179.53921263314447</v>
      </c>
      <c r="BJ6" s="59">
        <f t="shared" si="38"/>
        <v>120.81513023281337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7.9</v>
      </c>
      <c r="BY6" s="12">
        <f>IF('Données projet'!$A$114&gt;35,BY5+BX6-CG5,IF(A6&lt;'Données projet'!$A$114,$BV$205^A6,IF(A6='Données projet'!$A$114,'Données projet'!$B$114,BY5+BX6-CG5)))</f>
        <v>2.1369706776057753</v>
      </c>
      <c r="BZ6" s="13">
        <f>BY6*VLOOKUP('Données projet'!$B$12,Paramètres!$A$1:$I$89,3,0)*VLOOKUP('Données projet'!$B$12,Paramètres!$A$1:$I$89,5,0)</f>
        <v>1.0001022771195029</v>
      </c>
      <c r="CA6" s="13">
        <f t="shared" si="39"/>
        <v>0.46088365986243646</v>
      </c>
      <c r="CB6" s="20">
        <f t="shared" si="10"/>
        <v>2.5445505069102112</v>
      </c>
      <c r="CC6" s="59">
        <f t="shared" si="11"/>
        <v>295.8778838402435</v>
      </c>
      <c r="CD6" s="59">
        <f ca="1">AVERAGE(OFFSET($CC$3,0,0,'Données projet'!$E$12+1,1))-AVERAGE(OFFSET($H$3,0,0,'Données projet'!$E$12+1,1))</f>
        <v>310.06530483941287</v>
      </c>
      <c r="CE6" s="59">
        <f t="shared" si="40"/>
        <v>170.13425794309376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3</v>
      </c>
      <c r="CT6" s="12">
        <f>IF('Données projet'!$A$140&gt;35,CT5+CS6-DB5,IF(A6&lt;'Données projet'!$A$140,$CQ$205^A6,IF(A6='Données projet'!$A$140,'Données projet'!$B$140,CT5+CS6-DB5)))</f>
        <v>2.4494897427831783</v>
      </c>
      <c r="CU6" s="17">
        <f>CT6*VLOOKUP('Données projet'!$B$13,Paramètres!$A$1:$I$89,3,0)*VLOOKUP('Données projet'!$B$13,Paramètres!$A$1:$I$89,5,0)</f>
        <v>1.4647948661843406</v>
      </c>
      <c r="CV6" s="13">
        <f t="shared" si="41"/>
        <v>0.64570247854798968</v>
      </c>
      <c r="CW6" s="20">
        <f t="shared" si="13"/>
        <v>3.6757828754088084</v>
      </c>
      <c r="CX6" s="59">
        <f t="shared" si="14"/>
        <v>297.00911620874211</v>
      </c>
      <c r="CY6" s="59">
        <f ca="1">AVERAGE(OFFSET($CX$3,0,0,'Données projet'!$E$13+1,1))-AVERAGE(OFFSET($H$3,0,0,'Données projet'!$E$13+1,1))</f>
        <v>168.08890945052406</v>
      </c>
      <c r="CZ6" s="59">
        <f t="shared" si="42"/>
        <v>182.52462557642343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8.526315789473685</v>
      </c>
      <c r="DO6" s="12">
        <f>IF('Données projet'!$A$166&gt;35,DO5+DN6-DW5,IF(A6&lt;'Données projet'!$A$166,$DL$205^A6,IF(A6='Données projet'!$A$166,'Données projet'!$B$166,DO5+DN6-DW5)))</f>
        <v>2.2329078050230127</v>
      </c>
      <c r="DP6" s="17">
        <f>DO6*VLOOKUP('Données projet'!$B$14,Paramètres!$A$1:$I$89,3,0)*VLOOKUP('Données projet'!$B$14,Paramètres!$A$1:$I$89,5,0)</f>
        <v>1.248195463007864</v>
      </c>
      <c r="DQ6" s="13">
        <f t="shared" si="43"/>
        <v>0.56056679634040518</v>
      </c>
      <c r="DR6" s="20">
        <f t="shared" si="16"/>
        <v>3.1502609350315693</v>
      </c>
      <c r="DS6" s="59">
        <f t="shared" si="17"/>
        <v>296.48359426836487</v>
      </c>
      <c r="DT6" s="59">
        <f ca="1">AVERAGE(OFFSET($DS$3,0,0,'Données projet'!$E$14+1,1))-AVERAGE(OFFSET($H$3,0,0,'Données projet'!$E$14+1,1))</f>
        <v>355.23615781077405</v>
      </c>
      <c r="DU6" s="59">
        <f t="shared" si="44"/>
        <v>448.84541017639367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2.1523809523809527</v>
      </c>
      <c r="EJ6" s="12">
        <f>IF('Données projet'!$A$192&gt;35,EJ5+EI6-ER5,IF(A6&lt;'Données projet'!$A$192,$EG$205^A6,IF(A6='Données projet'!$A$192,'Données projet'!$B$192,EJ5+EI6-ER5)))</f>
        <v>6.4571428571428582</v>
      </c>
      <c r="EK6" s="17">
        <f>EJ6*VLOOKUP('Données projet'!$B$15,Paramètres!$A$1:$I$89,3,0)*VLOOKUP('Données projet'!$B$15,Paramètres!$A$1:$I$89,5,0)</f>
        <v>6.9504685714285719</v>
      </c>
      <c r="EL6" s="13">
        <f t="shared" si="45"/>
        <v>2.5559697486393129</v>
      </c>
      <c r="EM6" s="20">
        <f t="shared" si="19"/>
        <v>16.557046740784898</v>
      </c>
      <c r="EN6" s="59">
        <f t="shared" si="20"/>
        <v>309.89038007411818</v>
      </c>
      <c r="EO6" s="59">
        <f ca="1">AVERAGE(OFFSET($EN$3,0,0,'Données projet'!$E$15+1,1))-AVERAGE(OFFSET($H$3,0,0,'Données projet'!$E$15+1,1))</f>
        <v>130.76477588601989</v>
      </c>
      <c r="EP6" s="59">
        <f t="shared" si="46"/>
        <v>94.034011511502172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8.526315789473685</v>
      </c>
      <c r="FE6" s="12">
        <f>IF('Données projet'!$A$218&gt;35,FE5+FD6-FM5,IF(A6&lt;'Données projet'!$A$218,$FB$205^A6,IF(A6='Données projet'!$A$218,'Données projet'!$B$218,FE5+FD6-FM5)))</f>
        <v>2.2329078050230127</v>
      </c>
      <c r="FF6" s="17">
        <f>FE6*VLOOKUP('Données projet'!$B$16,Paramètres!$A$1:$I$89,3,0)*VLOOKUP('Données projet'!$B$16,Paramètres!$A$1:$I$89,5,0)</f>
        <v>1.0159730512854708</v>
      </c>
      <c r="FG6" s="13">
        <f t="shared" si="47"/>
        <v>0.46734022849755408</v>
      </c>
      <c r="FH6" s="20">
        <f t="shared" si="22"/>
        <v>2.5834372956221014</v>
      </c>
      <c r="FI6" s="59">
        <f t="shared" si="23"/>
        <v>295.91677062895542</v>
      </c>
      <c r="FJ6" s="59">
        <f ca="1">AVERAGE(OFFSET($FI$3,0,0,'Données projet'!$E$16+1,1))-AVERAGE(OFFSET($H$3,0,0,'Données projet'!$E$16+1,1))</f>
        <v>279.43442619866738</v>
      </c>
      <c r="FK6" s="59">
        <f t="shared" si="48"/>
        <v>355.95192241448217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3.8333333333333335</v>
      </c>
      <c r="N7" s="13">
        <f>IF('Données projet'!$A$36&gt;35,N6+M7-V6,IF(A7&lt;'Données projet'!$A$36,$K$205^A7,IF(A7='Données projet'!$A$36,'Données projet'!$B$36,N6+M7-V6)))</f>
        <v>3.5830478710159466</v>
      </c>
      <c r="O7" s="13">
        <f>N7*VLOOKUP('Données projet'!$B$9,Paramètres!$A$1:$I$89,3,0)*VLOOKUP('Données projet'!$B$9,Paramètres!$A$1:$I$89,5,0)</f>
        <v>2.1426626268675362</v>
      </c>
      <c r="P7" s="13">
        <f t="shared" si="33"/>
        <v>0.9036137643873482</v>
      </c>
      <c r="Q7" s="20">
        <f t="shared" si="2"/>
        <v>5.3055980481022571</v>
      </c>
      <c r="R7" s="59">
        <f t="shared" si="0"/>
        <v>298.63893138143555</v>
      </c>
      <c r="S7" s="59">
        <f ca="1">AVERAGE(OFFSET($R$3,0,0,'Données projet'!$E$9+1,1))-AVERAGE(OFFSET($H$3,0,0,'Données projet'!$E$9+1,1))</f>
        <v>227.89848316900191</v>
      </c>
      <c r="T7" s="59">
        <f t="shared" si="34"/>
        <v>239.85955661394541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3.6111111111111112</v>
      </c>
      <c r="AI7" s="13">
        <f>IF('Données projet'!$A$62&gt;35,AI6+AH7-AQ6,IF(A7&lt;'Données projet'!$A$62,$AF$205^A7,IF(A7='Données projet'!$A$62,'Données projet'!$B$62,AI6+AH7-AQ6)))</f>
        <v>14.444444444444445</v>
      </c>
      <c r="AJ7" s="13">
        <f>AI7*VLOOKUP('Données projet'!$B$10,Paramètres!$A$1:$I$89,3,0)*VLOOKUP('Données projet'!$B$10,Paramètres!$A$1:$I$89,5,0)</f>
        <v>13.069333333333331</v>
      </c>
      <c r="AK7" s="13">
        <f t="shared" si="35"/>
        <v>4.4655360509880495</v>
      </c>
      <c r="AL7" s="20">
        <f t="shared" si="4"/>
        <v>30.539897511026407</v>
      </c>
      <c r="AM7" s="59">
        <f t="shared" si="5"/>
        <v>323.87323084435974</v>
      </c>
      <c r="AN7" s="59">
        <f ca="1">AVERAGE(OFFSET($AM$3,0,0,'Données projet'!$E$10+1,1))-AVERAGE(OFFSET($H$3,0,0,'Données projet'!$E$10+1,1))</f>
        <v>215.7418266360167</v>
      </c>
      <c r="AO7" s="59">
        <f t="shared" si="36"/>
        <v>155.78420008229949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2.6904761904761907</v>
      </c>
      <c r="BD7" s="12">
        <f>IF('Données projet'!$A$88&gt;35,BD6+BC7-BL6,IF(A7&lt;'Données projet'!$A$88,$BA$205^A7,IF(A7='Données projet'!$A$88,'Données projet'!$B$88,BD6+BC7-BL6)))</f>
        <v>10.761904761904763</v>
      </c>
      <c r="BE7" s="13">
        <f>BD7*VLOOKUP('Données projet'!$B$11,Paramètres!$A$1:$I$89,3,0)*VLOOKUP('Données projet'!$B$11,Paramètres!$A$1:$I$89,5,0)</f>
        <v>10.912571428571431</v>
      </c>
      <c r="BF7" s="13">
        <f t="shared" si="37"/>
        <v>3.8077151321299487</v>
      </c>
      <c r="BG7" s="20">
        <f t="shared" si="7"/>
        <v>25.637832426554898</v>
      </c>
      <c r="BH7" s="59">
        <f t="shared" si="8"/>
        <v>318.97116575988821</v>
      </c>
      <c r="BI7" s="59">
        <f ca="1">AVERAGE(OFFSET($BH$3,0,0,'Données projet'!$E$11+1,1))-AVERAGE(OFFSET($H$3,0,0,'Données projet'!$E$11+1,1))</f>
        <v>179.53921263314447</v>
      </c>
      <c r="BJ7" s="59">
        <f t="shared" si="38"/>
        <v>120.81513023281337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7.9</v>
      </c>
      <c r="BY7" s="12">
        <f>IF('Données projet'!$A$114&gt;35,BY6+BX7-CG6,IF(A7&lt;'Données projet'!$A$114,$BV$205^A7,IF(A7='Données projet'!$A$114,'Données projet'!$B$114,BY6+BX7-CG6)))</f>
        <v>2.7525259203889356</v>
      </c>
      <c r="BZ7" s="13">
        <f>BY7*VLOOKUP('Données projet'!$B$12,Paramètres!$A$1:$I$89,3,0)*VLOOKUP('Données projet'!$B$12,Paramètres!$A$1:$I$89,5,0)</f>
        <v>1.2881821307420218</v>
      </c>
      <c r="CA7" s="13">
        <f t="shared" si="39"/>
        <v>0.57640532069082717</v>
      </c>
      <c r="CB7" s="20">
        <f t="shared" si="10"/>
        <v>3.2474898112455457</v>
      </c>
      <c r="CC7" s="59">
        <f t="shared" si="11"/>
        <v>296.58082314457886</v>
      </c>
      <c r="CD7" s="59">
        <f ca="1">AVERAGE(OFFSET($CC$3,0,0,'Données projet'!$E$12+1,1))-AVERAGE(OFFSET($H$3,0,0,'Données projet'!$E$12+1,1))</f>
        <v>310.06530483941287</v>
      </c>
      <c r="CE7" s="59">
        <f t="shared" si="40"/>
        <v>170.13425794309376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3</v>
      </c>
      <c r="CT7" s="12">
        <f>IF('Données projet'!$A$140&gt;35,CT6+CS7-DB6,IF(A7&lt;'Données projet'!$A$140,$CQ$205^A7,IF(A7='Données projet'!$A$140,'Données projet'!$B$140,CT6+CS7-DB6)))</f>
        <v>3.3019272488946267</v>
      </c>
      <c r="CU7" s="17">
        <f>CT7*VLOOKUP('Données projet'!$B$13,Paramètres!$A$1:$I$89,3,0)*VLOOKUP('Données projet'!$B$13,Paramètres!$A$1:$I$89,5,0)</f>
        <v>1.974552494838987</v>
      </c>
      <c r="CV7" s="13">
        <f t="shared" si="41"/>
        <v>0.84067511945625772</v>
      </c>
      <c r="CW7" s="20">
        <f t="shared" si="13"/>
        <v>4.9031880948975504</v>
      </c>
      <c r="CX7" s="59">
        <f t="shared" si="14"/>
        <v>298.23652142823084</v>
      </c>
      <c r="CY7" s="59">
        <f ca="1">AVERAGE(OFFSET($CX$3,0,0,'Données projet'!$E$13+1,1))-AVERAGE(OFFSET($H$3,0,0,'Données projet'!$E$13+1,1))</f>
        <v>168.08890945052406</v>
      </c>
      <c r="CZ7" s="59">
        <f t="shared" si="42"/>
        <v>182.52462557642343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8.526315789473685</v>
      </c>
      <c r="DO7" s="12">
        <f>IF('Données projet'!$A$166&gt;35,DO6+DN7-DW6,IF(A7&lt;'Données projet'!$A$166,$DL$205^A7,IF(A7='Données projet'!$A$166,'Données projet'!$B$166,DO6+DN7-DW6)))</f>
        <v>2.9185091262186176</v>
      </c>
      <c r="DP7" s="17">
        <f>DO7*VLOOKUP('Données projet'!$B$14,Paramètres!$A$1:$I$89,3,0)*VLOOKUP('Données projet'!$B$14,Paramètres!$A$1:$I$89,5,0)</f>
        <v>1.6314466015562072</v>
      </c>
      <c r="DQ7" s="13">
        <f t="shared" si="43"/>
        <v>0.71020127416305878</v>
      </c>
      <c r="DR7" s="20">
        <f t="shared" si="16"/>
        <v>4.0783700502110554</v>
      </c>
      <c r="DS7" s="59">
        <f t="shared" si="17"/>
        <v>297.41170338354436</v>
      </c>
      <c r="DT7" s="59">
        <f ca="1">AVERAGE(OFFSET($DS$3,0,0,'Données projet'!$E$14+1,1))-AVERAGE(OFFSET($H$3,0,0,'Données projet'!$E$14+1,1))</f>
        <v>355.23615781077405</v>
      </c>
      <c r="DU7" s="59">
        <f t="shared" si="44"/>
        <v>448.84541017639367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2.1523809523809527</v>
      </c>
      <c r="EJ7" s="12">
        <f>IF('Données projet'!$A$192&gt;35,EJ6+EI7-ER6,IF(A7&lt;'Données projet'!$A$192,$EG$205^A7,IF(A7='Données projet'!$A$192,'Données projet'!$B$192,EJ6+EI7-ER6)))</f>
        <v>8.6095238095238109</v>
      </c>
      <c r="EK7" s="17">
        <f>EJ7*VLOOKUP('Données projet'!$B$15,Paramètres!$A$1:$I$89,3,0)*VLOOKUP('Données projet'!$B$15,Paramètres!$A$1:$I$89,5,0)</f>
        <v>9.2672914285714292</v>
      </c>
      <c r="EL7" s="13">
        <f t="shared" si="45"/>
        <v>3.2957296342298092</v>
      </c>
      <c r="EM7" s="20">
        <f t="shared" si="19"/>
        <v>21.880595017712157</v>
      </c>
      <c r="EN7" s="59">
        <f t="shared" si="20"/>
        <v>315.21392835104547</v>
      </c>
      <c r="EO7" s="59">
        <f ca="1">AVERAGE(OFFSET($EN$3,0,0,'Données projet'!$E$15+1,1))-AVERAGE(OFFSET($H$3,0,0,'Données projet'!$E$15+1,1))</f>
        <v>130.76477588601989</v>
      </c>
      <c r="EP7" s="59">
        <f t="shared" si="46"/>
        <v>94.034011511502172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8.526315789473685</v>
      </c>
      <c r="FE7" s="12">
        <f>IF('Données projet'!$A$218&gt;35,FE6+FD7-FM6,IF(A7&lt;'Données projet'!$A$218,$FB$205^A7,IF(A7='Données projet'!$A$218,'Données projet'!$B$218,FE6+FD7-FM6)))</f>
        <v>2.9185091262186176</v>
      </c>
      <c r="FF7" s="17">
        <f>FE7*VLOOKUP('Données projet'!$B$16,Paramètres!$A$1:$I$89,3,0)*VLOOKUP('Données projet'!$B$16,Paramètres!$A$1:$I$89,5,0)</f>
        <v>1.327921652429471</v>
      </c>
      <c r="FG7" s="13">
        <f t="shared" si="47"/>
        <v>0.59208934227539878</v>
      </c>
      <c r="FH7" s="20">
        <f t="shared" si="22"/>
        <v>3.3440191491109812</v>
      </c>
      <c r="FI7" s="59">
        <f t="shared" si="23"/>
        <v>296.67735248244429</v>
      </c>
      <c r="FJ7" s="59">
        <f ca="1">AVERAGE(OFFSET($FI$3,0,0,'Données projet'!$E$16+1,1))-AVERAGE(OFFSET($H$3,0,0,'Données projet'!$E$16+1,1))</f>
        <v>279.43442619866738</v>
      </c>
      <c r="FK7" s="59">
        <f t="shared" si="48"/>
        <v>355.95192241448217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3.8333333333333335</v>
      </c>
      <c r="N8" s="13">
        <f>IF('Données projet'!$A$36&gt;35,N7+M8-V7,IF(A8&lt;'Données projet'!$A$36,$K$205^A8,IF(A8='Données projet'!$A$36,'Données projet'!$B$36,N7+M8-V7)))</f>
        <v>4.9296463368648071</v>
      </c>
      <c r="O8" s="13">
        <f>N8*VLOOKUP('Données projet'!$B$9,Paramètres!$A$1:$I$89,3,0)*VLOOKUP('Données projet'!$B$9,Paramètres!$A$1:$I$89,5,0)</f>
        <v>2.9479285094451551</v>
      </c>
      <c r="P8" s="13">
        <f t="shared" si="33"/>
        <v>1.1978908273966751</v>
      </c>
      <c r="Q8" s="20">
        <f t="shared" si="2"/>
        <v>7.2206353449995211</v>
      </c>
      <c r="R8" s="59">
        <f t="shared" si="0"/>
        <v>300.55396867833281</v>
      </c>
      <c r="S8" s="59">
        <f ca="1">AVERAGE(OFFSET($R$3,0,0,'Données projet'!$E$9+1,1))-AVERAGE(OFFSET($H$3,0,0,'Données projet'!$E$9+1,1))</f>
        <v>227.89848316900191</v>
      </c>
      <c r="T8" s="59">
        <f t="shared" si="34"/>
        <v>239.85955661394541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3.6111111111111112</v>
      </c>
      <c r="AI8" s="13">
        <f>IF('Données projet'!$A$62&gt;35,AI7+AH8-AQ7,IF(A8&lt;'Données projet'!$A$62,$AF$205^A8,IF(A8='Données projet'!$A$62,'Données projet'!$B$62,AI7+AH8-AQ7)))</f>
        <v>18.055555555555557</v>
      </c>
      <c r="AJ8" s="13">
        <f>AI8*VLOOKUP('Données projet'!$B$10,Paramètres!$A$1:$I$89,3,0)*VLOOKUP('Données projet'!$B$10,Paramètres!$A$1:$I$89,5,0)</f>
        <v>16.33666666666667</v>
      </c>
      <c r="AK8" s="13">
        <f t="shared" si="35"/>
        <v>5.4388024854041586</v>
      </c>
      <c r="AL8" s="20">
        <f t="shared" si="4"/>
        <v>37.925608773190028</v>
      </c>
      <c r="AM8" s="59">
        <f t="shared" si="5"/>
        <v>331.25894210652336</v>
      </c>
      <c r="AN8" s="59">
        <f ca="1">AVERAGE(OFFSET($AM$3,0,0,'Données projet'!$E$10+1,1))-AVERAGE(OFFSET($H$3,0,0,'Données projet'!$E$10+1,1))</f>
        <v>215.7418266360167</v>
      </c>
      <c r="AO8" s="59">
        <f t="shared" si="36"/>
        <v>155.78420008229949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2.6904761904761907</v>
      </c>
      <c r="BD8" s="12">
        <f>IF('Données projet'!$A$88&gt;35,BD7+BC8-BL7,IF(A8&lt;'Données projet'!$A$88,$BA$205^A8,IF(A8='Données projet'!$A$88,'Données projet'!$B$88,BD7+BC8-BL7)))</f>
        <v>13.452380952380953</v>
      </c>
      <c r="BE8" s="13">
        <f>BD8*VLOOKUP('Données projet'!$B$11,Paramètres!$A$1:$I$89,3,0)*VLOOKUP('Données projet'!$B$11,Paramètres!$A$1:$I$89,5,0)</f>
        <v>13.640714285714285</v>
      </c>
      <c r="BF8" s="13">
        <f t="shared" si="37"/>
        <v>4.6376090771358101</v>
      </c>
      <c r="BG8" s="20">
        <f t="shared" si="7"/>
        <v>31.834746523630582</v>
      </c>
      <c r="BH8" s="59">
        <f t="shared" si="8"/>
        <v>325.16807985696391</v>
      </c>
      <c r="BI8" s="59">
        <f ca="1">AVERAGE(OFFSET($BH$3,0,0,'Données projet'!$E$11+1,1))-AVERAGE(OFFSET($H$3,0,0,'Données projet'!$E$11+1,1))</f>
        <v>179.53921263314447</v>
      </c>
      <c r="BJ8" s="59">
        <f t="shared" si="38"/>
        <v>120.81513023281337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7.9</v>
      </c>
      <c r="BY8" s="12">
        <f>IF('Données projet'!$A$114&gt;35,BY7+BX8-CG7,IF(A8&lt;'Données projet'!$A$114,$BV$205^A8,IF(A8='Données projet'!$A$114,'Données projet'!$B$114,BY7+BX8-CG7)))</f>
        <v>3.5453920925585285</v>
      </c>
      <c r="BZ8" s="13">
        <f>BY8*VLOOKUP('Données projet'!$B$12,Paramètres!$A$1:$I$89,3,0)*VLOOKUP('Données projet'!$B$12,Paramètres!$A$1:$I$89,5,0)</f>
        <v>1.6592434993173915</v>
      </c>
      <c r="CA8" s="13">
        <f t="shared" si="39"/>
        <v>0.72088277944126433</v>
      </c>
      <c r="CB8" s="20">
        <f t="shared" si="10"/>
        <v>4.1453866021713255</v>
      </c>
      <c r="CC8" s="59">
        <f t="shared" si="11"/>
        <v>297.47871993550461</v>
      </c>
      <c r="CD8" s="59">
        <f ca="1">AVERAGE(OFFSET($CC$3,0,0,'Données projet'!$E$12+1,1))-AVERAGE(OFFSET($H$3,0,0,'Données projet'!$E$12+1,1))</f>
        <v>310.06530483941287</v>
      </c>
      <c r="CE8" s="59">
        <f t="shared" si="40"/>
        <v>170.13425794309376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3</v>
      </c>
      <c r="CT8" s="12">
        <f>IF('Données projet'!$A$140&gt;35,CT7+CS8-DB7,IF(A8&lt;'Données projet'!$A$140,$CQ$205^A8,IF(A8='Données projet'!$A$140,'Données projet'!$B$140,CT7+CS8-DB7)))</f>
        <v>4.4510182535424141</v>
      </c>
      <c r="CU8" s="17">
        <f>CT8*VLOOKUP('Données projet'!$B$13,Paramètres!$A$1:$I$89,3,0)*VLOOKUP('Données projet'!$B$13,Paramètres!$A$1:$I$89,5,0)</f>
        <v>2.6617089156183638</v>
      </c>
      <c r="CV8" s="13">
        <f t="shared" si="41"/>
        <v>1.0945205879680817</v>
      </c>
      <c r="CW8" s="20">
        <f t="shared" si="13"/>
        <v>6.5420997187463925</v>
      </c>
      <c r="CX8" s="59">
        <f t="shared" si="14"/>
        <v>299.8754330520797</v>
      </c>
      <c r="CY8" s="59">
        <f ca="1">AVERAGE(OFFSET($CX$3,0,0,'Données projet'!$E$13+1,1))-AVERAGE(OFFSET($H$3,0,0,'Données projet'!$E$13+1,1))</f>
        <v>168.08890945052406</v>
      </c>
      <c r="CZ8" s="59">
        <f t="shared" si="42"/>
        <v>182.52462557642343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8.526315789473685</v>
      </c>
      <c r="DO8" s="12">
        <f>IF('Données projet'!$A$166&gt;35,DO7+DN8-DW7,IF(A8&lt;'Données projet'!$A$166,$DL$205^A8,IF(A8='Données projet'!$A$166,'Données projet'!$B$166,DO7+DN8-DW7)))</f>
        <v>3.8146203352688688</v>
      </c>
      <c r="DP8" s="17">
        <f>DO8*VLOOKUP('Données projet'!$B$14,Paramètres!$A$1:$I$89,3,0)*VLOOKUP('Données projet'!$B$14,Paramètres!$A$1:$I$89,5,0)</f>
        <v>2.1323727674152977</v>
      </c>
      <c r="DQ8" s="13">
        <f t="shared" si="43"/>
        <v>0.89977831922200224</v>
      </c>
      <c r="DR8" s="20">
        <f t="shared" si="16"/>
        <v>5.2809964758932972</v>
      </c>
      <c r="DS8" s="59">
        <f t="shared" si="17"/>
        <v>298.6143298092266</v>
      </c>
      <c r="DT8" s="59">
        <f ca="1">AVERAGE(OFFSET($DS$3,0,0,'Données projet'!$E$14+1,1))-AVERAGE(OFFSET($H$3,0,0,'Données projet'!$E$14+1,1))</f>
        <v>355.23615781077405</v>
      </c>
      <c r="DU8" s="59">
        <f t="shared" si="44"/>
        <v>448.84541017639367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2.1523809523809527</v>
      </c>
      <c r="EJ8" s="12">
        <f>IF('Données projet'!$A$192&gt;35,EJ7+EI8-ER7,IF(A8&lt;'Données projet'!$A$192,$EG$205^A8,IF(A8='Données projet'!$A$192,'Données projet'!$B$192,EJ7+EI8-ER7)))</f>
        <v>10.761904761904763</v>
      </c>
      <c r="EK8" s="17">
        <f>EJ8*VLOOKUP('Données projet'!$B$15,Paramètres!$A$1:$I$89,3,0)*VLOOKUP('Données projet'!$B$15,Paramètres!$A$1:$I$89,5,0)</f>
        <v>11.584114285714287</v>
      </c>
      <c r="EL8" s="13">
        <f t="shared" si="45"/>
        <v>4.0140360129671668</v>
      </c>
      <c r="EM8" s="20">
        <f t="shared" si="19"/>
        <v>27.166778436870192</v>
      </c>
      <c r="EN8" s="59">
        <f t="shared" si="20"/>
        <v>320.50011177020349</v>
      </c>
      <c r="EO8" s="59">
        <f ca="1">AVERAGE(OFFSET($EN$3,0,0,'Données projet'!$E$15+1,1))-AVERAGE(OFFSET($H$3,0,0,'Données projet'!$E$15+1,1))</f>
        <v>130.76477588601989</v>
      </c>
      <c r="EP8" s="59">
        <f t="shared" si="46"/>
        <v>94.034011511502172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8.526315789473685</v>
      </c>
      <c r="FE8" s="12">
        <f>IF('Données projet'!$A$218&gt;35,FE7+FD8-FM7,IF(A8&lt;'Données projet'!$A$218,$FB$205^A8,IF(A8='Données projet'!$A$218,'Données projet'!$B$218,FE7+FD8-FM7)))</f>
        <v>3.8146203352688688</v>
      </c>
      <c r="FF8" s="17">
        <f>FE8*VLOOKUP('Données projet'!$B$16,Paramètres!$A$1:$I$89,3,0)*VLOOKUP('Données projet'!$B$16,Paramètres!$A$1:$I$89,5,0)</f>
        <v>1.7356522525473355</v>
      </c>
      <c r="FG8" s="13">
        <f t="shared" si="47"/>
        <v>0.75013826728154054</v>
      </c>
      <c r="FH8" s="20">
        <f t="shared" si="22"/>
        <v>4.3294184887019593</v>
      </c>
      <c r="FI8" s="59">
        <f t="shared" si="23"/>
        <v>297.66275182203526</v>
      </c>
      <c r="FJ8" s="59">
        <f ca="1">AVERAGE(OFFSET($FI$3,0,0,'Données projet'!$E$16+1,1))-AVERAGE(OFFSET($H$3,0,0,'Données projet'!$E$16+1,1))</f>
        <v>279.43442619866738</v>
      </c>
      <c r="FK8" s="59">
        <f t="shared" si="48"/>
        <v>355.95192241448217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3.8333333333333335</v>
      </c>
      <c r="N9" s="13">
        <f>IF('Données projet'!$A$36&gt;35,N8+M9-V8,IF(A9&lt;'Données projet'!$A$36,$K$205^A9,IF(A9='Données projet'!$A$36,'Données projet'!$B$36,N8+M9-V8)))</f>
        <v>6.7823299831252681</v>
      </c>
      <c r="O9" s="13">
        <f>N9*VLOOKUP('Données projet'!$B$9,Paramètres!$A$1:$I$89,3,0)*VLOOKUP('Données projet'!$B$9,Paramètres!$A$1:$I$89,5,0)</f>
        <v>4.0558333299089107</v>
      </c>
      <c r="P9" s="13">
        <f t="shared" si="33"/>
        <v>1.5880041793453468</v>
      </c>
      <c r="Q9" s="20">
        <f t="shared" si="2"/>
        <v>9.8296836619511652</v>
      </c>
      <c r="R9" s="59">
        <f t="shared" si="0"/>
        <v>303.16301699528447</v>
      </c>
      <c r="S9" s="59">
        <f ca="1">AVERAGE(OFFSET($R$3,0,0,'Données projet'!$E$9+1,1))-AVERAGE(OFFSET($H$3,0,0,'Données projet'!$E$9+1,1))</f>
        <v>227.89848316900191</v>
      </c>
      <c r="T9" s="59">
        <f t="shared" si="34"/>
        <v>239.85955661394541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3.6111111111111112</v>
      </c>
      <c r="AI9" s="13">
        <f>IF('Données projet'!$A$62&gt;35,AI8+AH9-AQ8,IF(A9&lt;'Données projet'!$A$62,$AF$205^A9,IF(A9='Données projet'!$A$62,'Données projet'!$B$62,AI8+AH9-AQ8)))</f>
        <v>21.666666666666668</v>
      </c>
      <c r="AJ9" s="13">
        <f>AI9*VLOOKUP('Données projet'!$B$10,Paramètres!$A$1:$I$89,3,0)*VLOOKUP('Données projet'!$B$10,Paramètres!$A$1:$I$89,5,0)</f>
        <v>19.603999999999999</v>
      </c>
      <c r="AK9" s="13">
        <f t="shared" si="35"/>
        <v>6.3895141514315492</v>
      </c>
      <c r="AL9" s="20">
        <f t="shared" si="4"/>
        <v>45.272037147076617</v>
      </c>
      <c r="AM9" s="59">
        <f t="shared" si="5"/>
        <v>338.60537048040993</v>
      </c>
      <c r="AN9" s="59">
        <f ca="1">AVERAGE(OFFSET($AM$3,0,0,'Données projet'!$E$10+1,1))-AVERAGE(OFFSET($H$3,0,0,'Données projet'!$E$10+1,1))</f>
        <v>215.7418266360167</v>
      </c>
      <c r="AO9" s="59">
        <f t="shared" si="36"/>
        <v>155.78420008229949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2.6904761904761907</v>
      </c>
      <c r="BD9" s="12">
        <f>IF('Données projet'!$A$88&gt;35,BD8+BC9-BL8,IF(A9&lt;'Données projet'!$A$88,$BA$205^A9,IF(A9='Données projet'!$A$88,'Données projet'!$B$88,BD8+BC9-BL8)))</f>
        <v>16.142857142857142</v>
      </c>
      <c r="BE9" s="13">
        <f>BD9*VLOOKUP('Données projet'!$B$11,Paramètres!$A$1:$I$89,3,0)*VLOOKUP('Données projet'!$B$11,Paramètres!$A$1:$I$89,5,0)</f>
        <v>16.368857142857145</v>
      </c>
      <c r="BF9" s="13">
        <f t="shared" si="37"/>
        <v>5.4482708108427866</v>
      </c>
      <c r="BG9" s="20">
        <f t="shared" si="7"/>
        <v>37.998164519360706</v>
      </c>
      <c r="BH9" s="59">
        <f t="shared" si="8"/>
        <v>331.33149785269404</v>
      </c>
      <c r="BI9" s="59">
        <f ca="1">AVERAGE(OFFSET($BH$3,0,0,'Données projet'!$E$11+1,1))-AVERAGE(OFFSET($H$3,0,0,'Données projet'!$E$11+1,1))</f>
        <v>179.53921263314447</v>
      </c>
      <c r="BJ9" s="59">
        <f t="shared" si="38"/>
        <v>120.81513023281337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7.9</v>
      </c>
      <c r="BY9" s="12">
        <f>IF('Données projet'!$A$114&gt;35,BY8+BX9-CG8,IF(A9&lt;'Données projet'!$A$114,$BV$205^A9,IF(A9='Données projet'!$A$114,'Données projet'!$B$114,BY8+BX9-CG8)))</f>
        <v>4.566643676946887</v>
      </c>
      <c r="BZ9" s="13">
        <f>BY9*VLOOKUP('Données projet'!$B$12,Paramètres!$A$1:$I$89,3,0)*VLOOKUP('Données projet'!$B$12,Paramètres!$A$1:$I$89,5,0)</f>
        <v>2.1371892408111433</v>
      </c>
      <c r="CA9" s="13">
        <f t="shared" si="39"/>
        <v>0.9015738804633705</v>
      </c>
      <c r="CB9" s="20">
        <f t="shared" si="10"/>
        <v>5.292512436219778</v>
      </c>
      <c r="CC9" s="59">
        <f t="shared" si="11"/>
        <v>298.62584576955311</v>
      </c>
      <c r="CD9" s="59">
        <f ca="1">AVERAGE(OFFSET($CC$3,0,0,'Données projet'!$E$12+1,1))-AVERAGE(OFFSET($H$3,0,0,'Données projet'!$E$12+1,1))</f>
        <v>310.06530483941287</v>
      </c>
      <c r="CE9" s="59">
        <f t="shared" si="40"/>
        <v>170.13425794309376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3</v>
      </c>
      <c r="CT9" s="12">
        <f>IF('Données projet'!$A$140&gt;35,CT8+CS9-DB8,IF(A9&lt;'Données projet'!$A$140,$CQ$205^A9,IF(A9='Données projet'!$A$140,'Données projet'!$B$140,CT8+CS9-DB8)))</f>
        <v>6</v>
      </c>
      <c r="CU9" s="17">
        <f>CT9*VLOOKUP('Données projet'!$B$13,Paramètres!$A$1:$I$89,3,0)*VLOOKUP('Données projet'!$B$13,Paramètres!$A$1:$I$89,5,0)</f>
        <v>3.5880000000000005</v>
      </c>
      <c r="CV9" s="13">
        <f t="shared" si="41"/>
        <v>1.4250157876217819</v>
      </c>
      <c r="CW9" s="20">
        <f t="shared" si="13"/>
        <v>8.7310024967746021</v>
      </c>
      <c r="CX9" s="59">
        <f t="shared" si="14"/>
        <v>302.06433583010789</v>
      </c>
      <c r="CY9" s="59">
        <f ca="1">AVERAGE(OFFSET($CX$3,0,0,'Données projet'!$E$13+1,1))-AVERAGE(OFFSET($H$3,0,0,'Données projet'!$E$13+1,1))</f>
        <v>168.08890945052406</v>
      </c>
      <c r="CZ9" s="59">
        <f t="shared" si="42"/>
        <v>182.52462557642343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8.526315789473685</v>
      </c>
      <c r="DO9" s="12">
        <f>IF('Données projet'!$A$166&gt;35,DO8+DN9-DW8,IF(A9&lt;'Données projet'!$A$166,$DL$205^A9,IF(A9='Données projet'!$A$166,'Données projet'!$B$166,DO8+DN9-DW8)))</f>
        <v>4.9858772657326877</v>
      </c>
      <c r="DP9" s="17">
        <f>DO9*VLOOKUP('Données projet'!$B$14,Paramètres!$A$1:$I$89,3,0)*VLOOKUP('Données projet'!$B$14,Paramètres!$A$1:$I$89,5,0)</f>
        <v>2.7871053915445723</v>
      </c>
      <c r="DQ9" s="13">
        <f t="shared" si="43"/>
        <v>1.1399599707787778</v>
      </c>
      <c r="DR9" s="20">
        <f t="shared" si="16"/>
        <v>6.839638839379834</v>
      </c>
      <c r="DS9" s="59">
        <f t="shared" si="17"/>
        <v>300.17297217271317</v>
      </c>
      <c r="DT9" s="59">
        <f ca="1">AVERAGE(OFFSET($DS$3,0,0,'Données projet'!$E$14+1,1))-AVERAGE(OFFSET($H$3,0,0,'Données projet'!$E$14+1,1))</f>
        <v>355.23615781077405</v>
      </c>
      <c r="DU9" s="59">
        <f t="shared" si="44"/>
        <v>448.84541017639367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2.1523809523809527</v>
      </c>
      <c r="EJ9" s="12">
        <f>IF('Données projet'!$A$192&gt;35,EJ8+EI9-ER8,IF(A9&lt;'Données projet'!$A$192,$EG$205^A9,IF(A9='Données projet'!$A$192,'Données projet'!$B$192,EJ8+EI9-ER8)))</f>
        <v>12.914285714285715</v>
      </c>
      <c r="EK9" s="17">
        <f>EJ9*VLOOKUP('Données projet'!$B$15,Paramètres!$A$1:$I$89,3,0)*VLOOKUP('Données projet'!$B$15,Paramètres!$A$1:$I$89,5,0)</f>
        <v>13.900937142857144</v>
      </c>
      <c r="EL9" s="13">
        <f t="shared" si="45"/>
        <v>4.71569614414922</v>
      </c>
      <c r="EM9" s="20">
        <f t="shared" si="19"/>
        <v>32.423969641536083</v>
      </c>
      <c r="EN9" s="59">
        <f t="shared" si="20"/>
        <v>325.75730297486939</v>
      </c>
      <c r="EO9" s="59">
        <f ca="1">AVERAGE(OFFSET($EN$3,0,0,'Données projet'!$E$15+1,1))-AVERAGE(OFFSET($H$3,0,0,'Données projet'!$E$15+1,1))</f>
        <v>130.76477588601989</v>
      </c>
      <c r="EP9" s="59">
        <f t="shared" si="46"/>
        <v>94.034011511502172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8.526315789473685</v>
      </c>
      <c r="FE9" s="12">
        <f>IF('Données projet'!$A$218&gt;35,FE8+FD9-FM8,IF(A9&lt;'Données projet'!$A$218,$FB$205^A9,IF(A9='Données projet'!$A$218,'Données projet'!$B$218,FE8+FD9-FM8)))</f>
        <v>4.9858772657326877</v>
      </c>
      <c r="FF9" s="17">
        <f>FE9*VLOOKUP('Données projet'!$B$16,Paramètres!$A$1:$I$89,3,0)*VLOOKUP('Données projet'!$B$16,Paramètres!$A$1:$I$89,5,0)</f>
        <v>2.268574155908373</v>
      </c>
      <c r="FG9" s="13">
        <f t="shared" si="47"/>
        <v>0.95037586367906512</v>
      </c>
      <c r="FH9" s="20">
        <f t="shared" si="22"/>
        <v>5.6063379507814544</v>
      </c>
      <c r="FI9" s="59">
        <f t="shared" si="23"/>
        <v>298.93967128411475</v>
      </c>
      <c r="FJ9" s="59">
        <f ca="1">AVERAGE(OFFSET($FI$3,0,0,'Données projet'!$E$16+1,1))-AVERAGE(OFFSET($H$3,0,0,'Données projet'!$E$16+1,1))</f>
        <v>279.43442619866738</v>
      </c>
      <c r="FK9" s="59">
        <f t="shared" si="48"/>
        <v>355.95192241448217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3.8333333333333335</v>
      </c>
      <c r="N10" s="13">
        <f>IF('Données projet'!$A$36&gt;35,N9+M10-V9,IF(A10&lt;'Données projet'!$A$36,$K$205^A10,IF(A10='Données projet'!$A$36,'Données projet'!$B$36,N9+M10-V9)))</f>
        <v>9.3312982020644135</v>
      </c>
      <c r="O10" s="13">
        <f>N10*VLOOKUP('Données projet'!$B$9,Paramètres!$A$1:$I$89,3,0)*VLOOKUP('Données projet'!$B$9,Paramètres!$A$1:$I$89,5,0)</f>
        <v>5.5801163248345196</v>
      </c>
      <c r="P10" s="13">
        <f t="shared" si="33"/>
        <v>2.1051645241317321</v>
      </c>
      <c r="Q10" s="20">
        <f t="shared" si="2"/>
        <v>13.38519747861622</v>
      </c>
      <c r="R10" s="59">
        <f t="shared" si="0"/>
        <v>306.71853081194956</v>
      </c>
      <c r="S10" s="59">
        <f ca="1">AVERAGE(OFFSET($R$3,0,0,'Données projet'!$E$9+1,1))-AVERAGE(OFFSET($H$3,0,0,'Données projet'!$E$9+1,1))</f>
        <v>227.89848316900191</v>
      </c>
      <c r="T10" s="59">
        <f t="shared" si="34"/>
        <v>239.85955661394541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3.6111111111111112</v>
      </c>
      <c r="AI10" s="13">
        <f>IF('Données projet'!$A$62&gt;35,AI9+AH10-AQ9,IF(A10&lt;'Données projet'!$A$62,$AF$205^A10,IF(A10='Données projet'!$A$62,'Données projet'!$B$62,AI9+AH10-AQ9)))</f>
        <v>25.277777777777779</v>
      </c>
      <c r="AJ10" s="13">
        <f>AI10*VLOOKUP('Données projet'!$B$10,Paramètres!$A$1:$I$89,3,0)*VLOOKUP('Données projet'!$B$10,Paramètres!$A$1:$I$89,5,0)</f>
        <v>22.871333333333336</v>
      </c>
      <c r="AK10" s="13">
        <f t="shared" si="35"/>
        <v>7.3218701004982369</v>
      </c>
      <c r="AL10" s="20">
        <f t="shared" si="4"/>
        <v>52.586495980589994</v>
      </c>
      <c r="AM10" s="59">
        <f t="shared" si="5"/>
        <v>345.91982931392329</v>
      </c>
      <c r="AN10" s="59">
        <f ca="1">AVERAGE(OFFSET($AM$3,0,0,'Données projet'!$E$10+1,1))-AVERAGE(OFFSET($H$3,0,0,'Données projet'!$E$10+1,1))</f>
        <v>215.7418266360167</v>
      </c>
      <c r="AO10" s="59">
        <f t="shared" si="36"/>
        <v>155.78420008229949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2.6904761904761907</v>
      </c>
      <c r="BD10" s="12">
        <f>IF('Données projet'!$A$88&gt;35,BD9+BC10-BL9,IF(A10&lt;'Données projet'!$A$88,$BA$205^A10,IF(A10='Données projet'!$A$88,'Données projet'!$B$88,BD9+BC10-BL9)))</f>
        <v>18.833333333333332</v>
      </c>
      <c r="BE10" s="13">
        <f>BD10*VLOOKUP('Données projet'!$B$11,Paramètres!$A$1:$I$89,3,0)*VLOOKUP('Données projet'!$B$11,Paramètres!$A$1:$I$89,5,0)</f>
        <v>19.097000000000001</v>
      </c>
      <c r="BF10" s="13">
        <f t="shared" si="37"/>
        <v>6.2432808197771195</v>
      </c>
      <c r="BG10" s="20">
        <f t="shared" si="7"/>
        <v>44.134322427778478</v>
      </c>
      <c r="BH10" s="59">
        <f t="shared" si="8"/>
        <v>337.46765576111181</v>
      </c>
      <c r="BI10" s="59">
        <f ca="1">AVERAGE(OFFSET($BH$3,0,0,'Données projet'!$E$11+1,1))-AVERAGE(OFFSET($H$3,0,0,'Données projet'!$E$11+1,1))</f>
        <v>179.53921263314447</v>
      </c>
      <c r="BJ10" s="59">
        <f t="shared" si="38"/>
        <v>120.81513023281337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7.9</v>
      </c>
      <c r="BY10" s="12">
        <f>IF('Données projet'!$A$114&gt;35,BY9+BX10-CG9,IF(A10&lt;'Données projet'!$A$114,$BV$205^A10,IF(A10='Données projet'!$A$114,'Données projet'!$B$114,BY9+BX10-CG9)))</f>
        <v>5.8820671812210037</v>
      </c>
      <c r="BZ10" s="13">
        <f>BY10*VLOOKUP('Données projet'!$B$12,Paramètres!$A$1:$I$89,3,0)*VLOOKUP('Données projet'!$B$12,Paramètres!$A$1:$I$89,5,0)</f>
        <v>2.7528074408114294</v>
      </c>
      <c r="CA10" s="13">
        <f t="shared" si="39"/>
        <v>1.1275556652411438</v>
      </c>
      <c r="CB10" s="20">
        <f t="shared" si="10"/>
        <v>6.7582990763748976</v>
      </c>
      <c r="CC10" s="59">
        <f t="shared" si="11"/>
        <v>300.09163240970821</v>
      </c>
      <c r="CD10" s="59">
        <f ca="1">AVERAGE(OFFSET($CC$3,0,0,'Données projet'!$E$12+1,1))-AVERAGE(OFFSET($H$3,0,0,'Données projet'!$E$12+1,1))</f>
        <v>310.06530483941287</v>
      </c>
      <c r="CE10" s="59">
        <f t="shared" si="40"/>
        <v>170.13425794309376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3</v>
      </c>
      <c r="CT10" s="12">
        <f>IF('Données projet'!$A$140&gt;35,CT9+CS10-DB9,IF(A10&lt;'Données projet'!$A$140,$CQ$205^A10,IF(A10='Données projet'!$A$140,'Données projet'!$B$140,CT9+CS10-DB9)))</f>
        <v>8.0880369275836674</v>
      </c>
      <c r="CU10" s="17">
        <f>CT10*VLOOKUP('Données projet'!$B$13,Paramètres!$A$1:$I$89,3,0)*VLOOKUP('Données projet'!$B$13,Paramètres!$A$1:$I$89,5,0)</f>
        <v>4.836646082695033</v>
      </c>
      <c r="CV10" s="13">
        <f t="shared" si="41"/>
        <v>1.8553054344470195</v>
      </c>
      <c r="CW10" s="20">
        <f t="shared" si="13"/>
        <v>11.65514889235574</v>
      </c>
      <c r="CX10" s="59">
        <f t="shared" si="14"/>
        <v>304.98848222568904</v>
      </c>
      <c r="CY10" s="59">
        <f ca="1">AVERAGE(OFFSET($CX$3,0,0,'Données projet'!$E$13+1,1))-AVERAGE(OFFSET($H$3,0,0,'Données projet'!$E$13+1,1))</f>
        <v>168.08890945052406</v>
      </c>
      <c r="CZ10" s="59">
        <f t="shared" si="42"/>
        <v>182.52462557642343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8.526315789473685</v>
      </c>
      <c r="DO10" s="12">
        <f>IF('Données projet'!$A$166&gt;35,DO9+DN10-DW9,IF(A10&lt;'Données projet'!$A$166,$DL$205^A10,IF(A10='Données projet'!$A$166,'Données projet'!$B$166,DO9+DN10-DW9)))</f>
        <v>6.5167618069644444</v>
      </c>
      <c r="DP10" s="17">
        <f>DO10*VLOOKUP('Données projet'!$B$14,Paramètres!$A$1:$I$89,3,0)*VLOOKUP('Données projet'!$B$14,Paramètres!$A$1:$I$89,5,0)</f>
        <v>3.6428698500931249</v>
      </c>
      <c r="DQ10" s="13">
        <f t="shared" si="43"/>
        <v>1.4442543315575544</v>
      </c>
      <c r="DR10" s="20">
        <f t="shared" si="16"/>
        <v>8.8600746163749324</v>
      </c>
      <c r="DS10" s="59">
        <f t="shared" si="17"/>
        <v>302.19340794970827</v>
      </c>
      <c r="DT10" s="59">
        <f ca="1">AVERAGE(OFFSET($DS$3,0,0,'Données projet'!$E$14+1,1))-AVERAGE(OFFSET($H$3,0,0,'Données projet'!$E$14+1,1))</f>
        <v>355.23615781077405</v>
      </c>
      <c r="DU10" s="59">
        <f t="shared" si="44"/>
        <v>448.84541017639367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2.1523809523809527</v>
      </c>
      <c r="EJ10" s="12">
        <f>IF('Données projet'!$A$192&gt;35,EJ9+EI10-ER9,IF(A10&lt;'Données projet'!$A$192,$EG$205^A10,IF(A10='Données projet'!$A$192,'Données projet'!$B$192,EJ9+EI10-ER9)))</f>
        <v>15.066666666666666</v>
      </c>
      <c r="EK10" s="17">
        <f>EJ10*VLOOKUP('Données projet'!$B$15,Paramètres!$A$1:$I$89,3,0)*VLOOKUP('Données projet'!$B$15,Paramètres!$A$1:$I$89,5,0)</f>
        <v>16.217759999999998</v>
      </c>
      <c r="EL10" s="13">
        <f t="shared" si="45"/>
        <v>5.4038090819698965</v>
      </c>
      <c r="EM10" s="20">
        <f t="shared" si="19"/>
        <v>37.657566151097562</v>
      </c>
      <c r="EN10" s="59">
        <f t="shared" si="20"/>
        <v>330.99089948443088</v>
      </c>
      <c r="EO10" s="59">
        <f ca="1">AVERAGE(OFFSET($EN$3,0,0,'Données projet'!$E$15+1,1))-AVERAGE(OFFSET($H$3,0,0,'Données projet'!$E$15+1,1))</f>
        <v>130.76477588601989</v>
      </c>
      <c r="EP10" s="59">
        <f t="shared" si="46"/>
        <v>94.034011511502172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8.526315789473685</v>
      </c>
      <c r="FE10" s="12">
        <f>IF('Données projet'!$A$218&gt;35,FE9+FD10-FM9,IF(A10&lt;'Données projet'!$A$218,$FB$205^A10,IF(A10='Données projet'!$A$218,'Données projet'!$B$218,FE9+FD10-FM9)))</f>
        <v>6.5167618069644444</v>
      </c>
      <c r="FF10" s="17">
        <f>FE10*VLOOKUP('Données projet'!$B$16,Paramètres!$A$1:$I$89,3,0)*VLOOKUP('Données projet'!$B$16,Paramètres!$A$1:$I$89,5,0)</f>
        <v>2.9651266221688219</v>
      </c>
      <c r="FG10" s="13">
        <f t="shared" si="47"/>
        <v>1.204063732859447</v>
      </c>
      <c r="FH10" s="20">
        <f t="shared" si="22"/>
        <v>7.2613398683409009</v>
      </c>
      <c r="FI10" s="59">
        <f t="shared" si="23"/>
        <v>300.5946732016742</v>
      </c>
      <c r="FJ10" s="59">
        <f ca="1">AVERAGE(OFFSET($FI$3,0,0,'Données projet'!$E$16+1,1))-AVERAGE(OFFSET($H$3,0,0,'Données projet'!$E$16+1,1))</f>
        <v>279.43442619866738</v>
      </c>
      <c r="FK10" s="59">
        <f t="shared" si="48"/>
        <v>355.95192241448217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3.8333333333333335</v>
      </c>
      <c r="N11" s="13">
        <f>IF('Données projet'!$A$36&gt;35,N10+M11-V10,IF(A11&lt;'Données projet'!$A$36,$K$205^A11,IF(A11='Données projet'!$A$36,'Données projet'!$B$36,N10+M11-V10)))</f>
        <v>12.838232045991907</v>
      </c>
      <c r="O11" s="13">
        <f>N11*VLOOKUP('Données projet'!$B$9,Paramètres!$A$1:$I$89,3,0)*VLOOKUP('Données projet'!$B$9,Paramètres!$A$1:$I$89,5,0)</f>
        <v>7.6772627635031609</v>
      </c>
      <c r="P11" s="13">
        <f t="shared" si="33"/>
        <v>2.7907468577883434</v>
      </c>
      <c r="Q11" s="20">
        <f t="shared" si="2"/>
        <v>18.23178342374937</v>
      </c>
      <c r="R11" s="59">
        <f t="shared" si="0"/>
        <v>311.56511675708271</v>
      </c>
      <c r="S11" s="59">
        <f ca="1">AVERAGE(OFFSET($R$3,0,0,'Données projet'!$E$9+1,1))-AVERAGE(OFFSET($H$3,0,0,'Données projet'!$E$9+1,1))</f>
        <v>227.89848316900191</v>
      </c>
      <c r="T11" s="59">
        <f t="shared" si="34"/>
        <v>239.85955661394541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3.6111111111111112</v>
      </c>
      <c r="AI11" s="13">
        <f>IF('Données projet'!$A$62&gt;35,AI10+AH11-AQ10,IF(A11&lt;'Données projet'!$A$62,$AF$205^A11,IF(A11='Données projet'!$A$62,'Données projet'!$B$62,AI10+AH11-AQ10)))</f>
        <v>28.888888888888889</v>
      </c>
      <c r="AJ11" s="13">
        <f>AI11*VLOOKUP('Données projet'!$B$10,Paramètres!$A$1:$I$89,3,0)*VLOOKUP('Données projet'!$B$10,Paramètres!$A$1:$I$89,5,0)</f>
        <v>26.138666666666662</v>
      </c>
      <c r="AK11" s="13">
        <f t="shared" si="35"/>
        <v>8.2387951377022741</v>
      </c>
      <c r="AL11" s="20">
        <f t="shared" si="4"/>
        <v>59.874079309275885</v>
      </c>
      <c r="AM11" s="59">
        <f t="shared" si="5"/>
        <v>353.2074126426092</v>
      </c>
      <c r="AN11" s="59">
        <f ca="1">AVERAGE(OFFSET($AM$3,0,0,'Données projet'!$E$10+1,1))-AVERAGE(OFFSET($H$3,0,0,'Données projet'!$E$10+1,1))</f>
        <v>215.7418266360167</v>
      </c>
      <c r="AO11" s="59">
        <f t="shared" si="36"/>
        <v>155.78420008229949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2.6904761904761907</v>
      </c>
      <c r="BD11" s="12">
        <f>IF('Données projet'!$A$88&gt;35,BD10+BC11-BL10,IF(A11&lt;'Données projet'!$A$88,$BA$205^A11,IF(A11='Données projet'!$A$88,'Données projet'!$B$88,BD10+BC11-BL10)))</f>
        <v>21.523809523809522</v>
      </c>
      <c r="BE11" s="13">
        <f>BD11*VLOOKUP('Données projet'!$B$11,Paramètres!$A$1:$I$89,3,0)*VLOOKUP('Données projet'!$B$11,Paramètres!$A$1:$I$89,5,0)</f>
        <v>21.825142857142858</v>
      </c>
      <c r="BF11" s="13">
        <f t="shared" si="37"/>
        <v>7.0251330541618673</v>
      </c>
      <c r="BG11" s="20">
        <f t="shared" si="7"/>
        <v>50.247563878855722</v>
      </c>
      <c r="BH11" s="59">
        <f t="shared" si="8"/>
        <v>343.58089721218903</v>
      </c>
      <c r="BI11" s="59">
        <f ca="1">AVERAGE(OFFSET($BH$3,0,0,'Données projet'!$E$11+1,1))-AVERAGE(OFFSET($H$3,0,0,'Données projet'!$E$11+1,1))</f>
        <v>179.53921263314447</v>
      </c>
      <c r="BJ11" s="59">
        <f t="shared" si="38"/>
        <v>120.81513023281337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7.9</v>
      </c>
      <c r="BY11" s="12">
        <f>IF('Données projet'!$A$114&gt;35,BY10+BX11-CG10,IF(A11&lt;'Données projet'!$A$114,$BV$205^A11,IF(A11='Données projet'!$A$114,'Données projet'!$B$114,BY10+BX11-CG10)))</f>
        <v>7.5763989424129567</v>
      </c>
      <c r="BZ11" s="13">
        <f>BY11*VLOOKUP('Données projet'!$B$12,Paramètres!$A$1:$I$89,3,0)*VLOOKUP('Données projet'!$B$12,Paramètres!$A$1:$I$89,5,0)</f>
        <v>3.5457547050492639</v>
      </c>
      <c r="CA11" s="13">
        <f t="shared" si="39"/>
        <v>1.4101803587787649</v>
      </c>
      <c r="CB11" s="20">
        <f t="shared" si="10"/>
        <v>8.631586902833817</v>
      </c>
      <c r="CC11" s="59">
        <f t="shared" si="11"/>
        <v>301.96492023616713</v>
      </c>
      <c r="CD11" s="59">
        <f ca="1">AVERAGE(OFFSET($CC$3,0,0,'Données projet'!$E$12+1,1))-AVERAGE(OFFSET($H$3,0,0,'Données projet'!$E$12+1,1))</f>
        <v>310.06530483941287</v>
      </c>
      <c r="CE11" s="59">
        <f t="shared" si="40"/>
        <v>170.13425794309376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3</v>
      </c>
      <c r="CT11" s="12">
        <f>IF('Données projet'!$A$140&gt;35,CT10+CS11-DB10,IF(A11&lt;'Données projet'!$A$140,$CQ$205^A11,IF(A11='Données projet'!$A$140,'Données projet'!$B$140,CT10+CS11-DB10)))</f>
        <v>10.902723556992838</v>
      </c>
      <c r="CU11" s="17">
        <f>CT11*VLOOKUP('Données projet'!$B$13,Paramètres!$A$1:$I$89,3,0)*VLOOKUP('Données projet'!$B$13,Paramètres!$A$1:$I$89,5,0)</f>
        <v>6.5198286870817181</v>
      </c>
      <c r="CV11" s="13">
        <f t="shared" si="41"/>
        <v>2.4155228910363733</v>
      </c>
      <c r="CW11" s="20">
        <f t="shared" si="13"/>
        <v>15.562403998555673</v>
      </c>
      <c r="CX11" s="59">
        <f t="shared" si="14"/>
        <v>308.89573733188899</v>
      </c>
      <c r="CY11" s="59">
        <f ca="1">AVERAGE(OFFSET($CX$3,0,0,'Données projet'!$E$13+1,1))-AVERAGE(OFFSET($H$3,0,0,'Données projet'!$E$13+1,1))</f>
        <v>168.08890945052406</v>
      </c>
      <c r="CZ11" s="59">
        <f t="shared" si="42"/>
        <v>182.52462557642343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8.526315789473685</v>
      </c>
      <c r="DO11" s="12">
        <f>IF('Données projet'!$A$166&gt;35,DO10+DN11-DW10,IF(A11&lt;'Données projet'!$A$166,$DL$205^A11,IF(A11='Données projet'!$A$166,'Données projet'!$B$166,DO10+DN11-DW10)))</f>
        <v>8.5176955198213591</v>
      </c>
      <c r="DP11" s="17">
        <f>DO11*VLOOKUP('Données projet'!$B$14,Paramètres!$A$1:$I$89,3,0)*VLOOKUP('Données projet'!$B$14,Paramètres!$A$1:$I$89,5,0)</f>
        <v>4.7613917955801393</v>
      </c>
      <c r="DQ11" s="13">
        <f t="shared" si="43"/>
        <v>1.8297752795633417</v>
      </c>
      <c r="DR11" s="20">
        <f t="shared" si="16"/>
        <v>11.479615989208229</v>
      </c>
      <c r="DS11" s="59">
        <f t="shared" si="17"/>
        <v>304.81294932254156</v>
      </c>
      <c r="DT11" s="59">
        <f ca="1">AVERAGE(OFFSET($DS$3,0,0,'Données projet'!$E$14+1,1))-AVERAGE(OFFSET($H$3,0,0,'Données projet'!$E$14+1,1))</f>
        <v>355.23615781077405</v>
      </c>
      <c r="DU11" s="59">
        <f t="shared" si="44"/>
        <v>448.84541017639367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2.1523809523809527</v>
      </c>
      <c r="EJ11" s="12">
        <f>IF('Données projet'!$A$192&gt;35,EJ10+EI11-ER10,IF(A11&lt;'Données projet'!$A$192,$EG$205^A11,IF(A11='Données projet'!$A$192,'Données projet'!$B$192,EJ10+EI11-ER10)))</f>
        <v>17.219047619047618</v>
      </c>
      <c r="EK11" s="17">
        <f>EJ11*VLOOKUP('Données projet'!$B$15,Paramètres!$A$1:$I$89,3,0)*VLOOKUP('Données projet'!$B$15,Paramètres!$A$1:$I$89,5,0)</f>
        <v>18.534582857142855</v>
      </c>
      <c r="EL11" s="13">
        <f t="shared" si="45"/>
        <v>6.0805334400258557</v>
      </c>
      <c r="EM11" s="20">
        <f t="shared" si="19"/>
        <v>42.871327550902173</v>
      </c>
      <c r="EN11" s="59">
        <f t="shared" si="20"/>
        <v>336.20466088423547</v>
      </c>
      <c r="EO11" s="59">
        <f ca="1">AVERAGE(OFFSET($EN$3,0,0,'Données projet'!$E$15+1,1))-AVERAGE(OFFSET($H$3,0,0,'Données projet'!$E$15+1,1))</f>
        <v>130.76477588601989</v>
      </c>
      <c r="EP11" s="59">
        <f t="shared" si="46"/>
        <v>94.034011511502172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8.526315789473685</v>
      </c>
      <c r="FE11" s="12">
        <f>IF('Données projet'!$A$218&gt;35,FE10+FD11-FM10,IF(A11&lt;'Données projet'!$A$218,$FB$205^A11,IF(A11='Données projet'!$A$218,'Données projet'!$B$218,FE10+FD11-FM10)))</f>
        <v>8.5176955198213591</v>
      </c>
      <c r="FF11" s="17">
        <f>FE11*VLOOKUP('Données projet'!$B$16,Paramètres!$A$1:$I$89,3,0)*VLOOKUP('Données projet'!$B$16,Paramètres!$A$1:$I$89,5,0)</f>
        <v>3.8755514615187181</v>
      </c>
      <c r="FG11" s="13">
        <f t="shared" si="47"/>
        <v>1.5254695833447658</v>
      </c>
      <c r="FH11" s="20">
        <f t="shared" si="22"/>
        <v>9.4067783198038999</v>
      </c>
      <c r="FI11" s="59">
        <f t="shared" si="23"/>
        <v>302.74011165313721</v>
      </c>
      <c r="FJ11" s="59">
        <f ca="1">AVERAGE(OFFSET($FI$3,0,0,'Données projet'!$E$16+1,1))-AVERAGE(OFFSET($H$3,0,0,'Données projet'!$E$16+1,1))</f>
        <v>279.43442619866738</v>
      </c>
      <c r="FK11" s="59">
        <f t="shared" si="48"/>
        <v>355.95192241448217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3.8333333333333335</v>
      </c>
      <c r="N12" s="13">
        <f>IF('Données projet'!$A$36&gt;35,N11+M12-V11,IF(A12&lt;'Données projet'!$A$36,$K$205^A12,IF(A12='Données projet'!$A$36,'Données projet'!$B$36,N11+M12-V11)))</f>
        <v>17.663158812165008</v>
      </c>
      <c r="O12" s="13">
        <f>N12*VLOOKUP('Données projet'!$B$9,Paramètres!$A$1:$I$89,3,0)*VLOOKUP('Données projet'!$B$9,Paramètres!$A$1:$I$89,5,0)</f>
        <v>10.562568969674675</v>
      </c>
      <c r="P12" s="13">
        <f t="shared" si="33"/>
        <v>3.6996006416494942</v>
      </c>
      <c r="Q12" s="20">
        <f t="shared" si="2"/>
        <v>24.839945406389592</v>
      </c>
      <c r="R12" s="59">
        <f t="shared" si="0"/>
        <v>318.17327873972289</v>
      </c>
      <c r="S12" s="59">
        <f ca="1">AVERAGE(OFFSET($R$3,0,0,'Données projet'!$E$9+1,1))-AVERAGE(OFFSET($H$3,0,0,'Données projet'!$E$9+1,1))</f>
        <v>227.89848316900191</v>
      </c>
      <c r="T12" s="59">
        <f t="shared" si="34"/>
        <v>239.85955661394541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3.6111111111111112</v>
      </c>
      <c r="AI12" s="13">
        <f>IF('Données projet'!$A$62&gt;35,AI11+AH12-AQ11,IF(A12&lt;'Données projet'!$A$62,$AF$205^A12,IF(A12='Données projet'!$A$62,'Données projet'!$B$62,AI11+AH12-AQ11)))</f>
        <v>32.5</v>
      </c>
      <c r="AJ12" s="13">
        <f>AI12*VLOOKUP('Données projet'!$B$10,Paramètres!$A$1:$I$89,3,0)*VLOOKUP('Données projet'!$B$10,Paramètres!$A$1:$I$89,5,0)</f>
        <v>29.405999999999999</v>
      </c>
      <c r="AK12" s="13">
        <f t="shared" si="35"/>
        <v>9.1424390319972488</v>
      </c>
      <c r="AL12" s="20">
        <f t="shared" si="4"/>
        <v>67.138531314061879</v>
      </c>
      <c r="AM12" s="59">
        <f t="shared" si="5"/>
        <v>360.47186464739519</v>
      </c>
      <c r="AN12" s="59">
        <f ca="1">AVERAGE(OFFSET($AM$3,0,0,'Données projet'!$E$10+1,1))-AVERAGE(OFFSET($H$3,0,0,'Données projet'!$E$10+1,1))</f>
        <v>215.7418266360167</v>
      </c>
      <c r="AO12" s="59">
        <f t="shared" si="36"/>
        <v>155.78420008229949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2.6904761904761907</v>
      </c>
      <c r="BD12" s="12">
        <f>IF('Données projet'!$A$88&gt;35,BD11+BC12-BL11,IF(A12&lt;'Données projet'!$A$88,$BA$205^A12,IF(A12='Données projet'!$A$88,'Données projet'!$B$88,BD11+BC12-BL11)))</f>
        <v>24.214285714285712</v>
      </c>
      <c r="BE12" s="13">
        <f>BD12*VLOOKUP('Données projet'!$B$11,Paramètres!$A$1:$I$89,3,0)*VLOOKUP('Données projet'!$B$11,Paramètres!$A$1:$I$89,5,0)</f>
        <v>24.553285714285714</v>
      </c>
      <c r="BF12" s="13">
        <f t="shared" si="37"/>
        <v>7.7956605991365588</v>
      </c>
      <c r="BG12" s="20">
        <f t="shared" si="7"/>
        <v>56.341081495877127</v>
      </c>
      <c r="BH12" s="59">
        <f t="shared" si="8"/>
        <v>349.67441482921043</v>
      </c>
      <c r="BI12" s="59">
        <f ca="1">AVERAGE(OFFSET($BH$3,0,0,'Données projet'!$E$11+1,1))-AVERAGE(OFFSET($H$3,0,0,'Données projet'!$E$11+1,1))</f>
        <v>179.53921263314447</v>
      </c>
      <c r="BJ12" s="59">
        <f t="shared" si="38"/>
        <v>120.81513023281337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7.9</v>
      </c>
      <c r="BY12" s="12">
        <f>IF('Données projet'!$A$114&gt;35,BY11+BX12-CG11,IF(A12&lt;'Données projet'!$A$114,$BV$205^A12,IF(A12='Données projet'!$A$114,'Données projet'!$B$114,BY11+BX12-CG11)))</f>
        <v>9.7587836327093171</v>
      </c>
      <c r="BZ12" s="13">
        <f>BY12*VLOOKUP('Données projet'!$B$12,Paramètres!$A$1:$I$89,3,0)*VLOOKUP('Données projet'!$B$12,Paramètres!$A$1:$I$89,5,0)</f>
        <v>4.5671107401079603</v>
      </c>
      <c r="CA12" s="13">
        <f t="shared" si="39"/>
        <v>1.763645650133036</v>
      </c>
      <c r="CB12" s="20">
        <f t="shared" si="10"/>
        <v>11.026067379669733</v>
      </c>
      <c r="CC12" s="59">
        <f t="shared" si="11"/>
        <v>304.35940071300303</v>
      </c>
      <c r="CD12" s="59">
        <f ca="1">AVERAGE(OFFSET($CC$3,0,0,'Données projet'!$E$12+1,1))-AVERAGE(OFFSET($H$3,0,0,'Données projet'!$E$12+1,1))</f>
        <v>310.06530483941287</v>
      </c>
      <c r="CE12" s="59">
        <f t="shared" si="40"/>
        <v>170.13425794309376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3</v>
      </c>
      <c r="CT12" s="12">
        <f>IF('Données projet'!$A$140&gt;35,CT11+CS12-DB11,IF(A12&lt;'Données projet'!$A$140,$CQ$205^A12,IF(A12='Données projet'!$A$140,'Données projet'!$B$140,CT11+CS12-DB11)))</f>
        <v>14.696938456699069</v>
      </c>
      <c r="CU12" s="17">
        <f>CT12*VLOOKUP('Données projet'!$B$13,Paramètres!$A$1:$I$89,3,0)*VLOOKUP('Données projet'!$B$13,Paramètres!$A$1:$I$89,5,0)</f>
        <v>8.7887691971060438</v>
      </c>
      <c r="CV12" s="13">
        <f t="shared" si="41"/>
        <v>3.1449004184369191</v>
      </c>
      <c r="CW12" s="20">
        <f t="shared" si="13"/>
        <v>20.784474580403991</v>
      </c>
      <c r="CX12" s="59">
        <f t="shared" si="14"/>
        <v>314.11780791373729</v>
      </c>
      <c r="CY12" s="59">
        <f ca="1">AVERAGE(OFFSET($CX$3,0,0,'Données projet'!$E$13+1,1))-AVERAGE(OFFSET($H$3,0,0,'Données projet'!$E$13+1,1))</f>
        <v>168.08890945052406</v>
      </c>
      <c r="CZ12" s="59">
        <f t="shared" si="42"/>
        <v>182.52462557642343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8.526315789473685</v>
      </c>
      <c r="DO12" s="12">
        <f>IF('Données projet'!$A$166&gt;35,DO11+DN12-DW11,IF(A12&lt;'Données projet'!$A$166,$DL$205^A12,IF(A12='Données projet'!$A$166,'Données projet'!$B$166,DO11+DN12-DW11)))</f>
        <v>11.133004261541316</v>
      </c>
      <c r="DP12" s="17">
        <f>DO12*VLOOKUP('Données projet'!$B$14,Paramètres!$A$1:$I$89,3,0)*VLOOKUP('Données projet'!$B$14,Paramètres!$A$1:$I$89,5,0)</f>
        <v>6.2233493822015964</v>
      </c>
      <c r="DQ12" s="13">
        <f t="shared" si="43"/>
        <v>2.3182049730052579</v>
      </c>
      <c r="DR12" s="20">
        <f t="shared" si="16"/>
        <v>14.87654050198527</v>
      </c>
      <c r="DS12" s="59">
        <f t="shared" si="17"/>
        <v>308.2098738353186</v>
      </c>
      <c r="DT12" s="59">
        <f ca="1">AVERAGE(OFFSET($DS$3,0,0,'Données projet'!$E$14+1,1))-AVERAGE(OFFSET($H$3,0,0,'Données projet'!$E$14+1,1))</f>
        <v>355.23615781077405</v>
      </c>
      <c r="DU12" s="59">
        <f t="shared" si="44"/>
        <v>448.84541017639367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2.1523809523809527</v>
      </c>
      <c r="EJ12" s="12">
        <f>IF('Données projet'!$A$192&gt;35,EJ11+EI12-ER11,IF(A12&lt;'Données projet'!$A$192,$EG$205^A12,IF(A12='Données projet'!$A$192,'Données projet'!$B$192,EJ11+EI12-ER11)))</f>
        <v>19.37142857142857</v>
      </c>
      <c r="EK12" s="17">
        <f>EJ12*VLOOKUP('Données projet'!$B$15,Paramètres!$A$1:$I$89,3,0)*VLOOKUP('Données projet'!$B$15,Paramètres!$A$1:$I$89,5,0)</f>
        <v>20.851405714285711</v>
      </c>
      <c r="EL12" s="13">
        <f t="shared" si="45"/>
        <v>6.7474558267704046</v>
      </c>
      <c r="EM12" s="20">
        <f t="shared" si="19"/>
        <v>48.068017184006067</v>
      </c>
      <c r="EN12" s="59">
        <f t="shared" si="20"/>
        <v>341.40135051733938</v>
      </c>
      <c r="EO12" s="59">
        <f ca="1">AVERAGE(OFFSET($EN$3,0,0,'Données projet'!$E$15+1,1))-AVERAGE(OFFSET($H$3,0,0,'Données projet'!$E$15+1,1))</f>
        <v>130.76477588601989</v>
      </c>
      <c r="EP12" s="59">
        <f t="shared" si="46"/>
        <v>94.034011511502172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8.526315789473685</v>
      </c>
      <c r="FE12" s="12">
        <f>IF('Données projet'!$A$218&gt;35,FE11+FD12-FM11,IF(A12&lt;'Données projet'!$A$218,$FB$205^A12,IF(A12='Données projet'!$A$218,'Données projet'!$B$218,FE11+FD12-FM11)))</f>
        <v>11.133004261541316</v>
      </c>
      <c r="FF12" s="17">
        <f>FE12*VLOOKUP('Données projet'!$B$16,Paramètres!$A$1:$I$89,3,0)*VLOOKUP('Données projet'!$B$16,Paramètres!$A$1:$I$89,5,0)</f>
        <v>5.0655169390012986</v>
      </c>
      <c r="FG12" s="13">
        <f t="shared" si="47"/>
        <v>1.9326696637425387</v>
      </c>
      <c r="FH12" s="20">
        <f t="shared" si="22"/>
        <v>12.188508333112182</v>
      </c>
      <c r="FI12" s="59">
        <f t="shared" si="23"/>
        <v>305.52184166644548</v>
      </c>
      <c r="FJ12" s="59">
        <f ca="1">AVERAGE(OFFSET($FI$3,0,0,'Données projet'!$E$16+1,1))-AVERAGE(OFFSET($H$3,0,0,'Données projet'!$E$16+1,1))</f>
        <v>279.43442619866738</v>
      </c>
      <c r="FK12" s="59">
        <f t="shared" si="48"/>
        <v>355.95192241448217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3.8333333333333335</v>
      </c>
      <c r="N13" s="13">
        <f>IF('Données projet'!$A$36&gt;35,N12+M13-V12,IF(A13&lt;'Données projet'!$A$36,$K$205^A13,IF(A13='Données projet'!$A$36,'Données projet'!$B$36,N12+M13-V12)))</f>
        <v>24.301413006564612</v>
      </c>
      <c r="O13" s="13">
        <f>N13*VLOOKUP('Données projet'!$B$9,Paramètres!$A$1:$I$89,3,0)*VLOOKUP('Données projet'!$B$9,Paramètres!$A$1:$I$89,5,0)</f>
        <v>14.53224497792564</v>
      </c>
      <c r="P13" s="13">
        <f t="shared" si="33"/>
        <v>4.9044379892414502</v>
      </c>
      <c r="Q13" s="20">
        <f t="shared" si="2"/>
        <v>33.852222834482681</v>
      </c>
      <c r="R13" s="59">
        <f t="shared" si="0"/>
        <v>327.185556167816</v>
      </c>
      <c r="S13" s="59">
        <f ca="1">AVERAGE(OFFSET($R$3,0,0,'Données projet'!$E$9+1,1))-AVERAGE(OFFSET($H$3,0,0,'Données projet'!$E$9+1,1))</f>
        <v>227.89848316900191</v>
      </c>
      <c r="T13" s="59">
        <f t="shared" si="34"/>
        <v>239.85955661394541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3.6111111111111112</v>
      </c>
      <c r="AI13" s="13">
        <f>IF('Données projet'!$A$62&gt;35,AI12+AH13-AQ12,IF(A13&lt;'Données projet'!$A$62,$AF$205^A13,IF(A13='Données projet'!$A$62,'Données projet'!$B$62,AI12+AH13-AQ12)))</f>
        <v>36.111111111111114</v>
      </c>
      <c r="AJ13" s="13">
        <f>AI13*VLOOKUP('Données projet'!$B$10,Paramètres!$A$1:$I$89,3,0)*VLOOKUP('Données projet'!$B$10,Paramètres!$A$1:$I$89,5,0)</f>
        <v>32.673333333333339</v>
      </c>
      <c r="AK13" s="13">
        <f t="shared" si="35"/>
        <v>10.03444580001908</v>
      </c>
      <c r="AL13" s="20">
        <f t="shared" si="4"/>
        <v>74.382715323922113</v>
      </c>
      <c r="AM13" s="59">
        <f t="shared" si="5"/>
        <v>367.71604865725544</v>
      </c>
      <c r="AN13" s="59">
        <f ca="1">AVERAGE(OFFSET($AM$3,0,0,'Données projet'!$E$10+1,1))-AVERAGE(OFFSET($H$3,0,0,'Données projet'!$E$10+1,1))</f>
        <v>215.7418266360167</v>
      </c>
      <c r="AO13" s="59">
        <f t="shared" si="36"/>
        <v>155.78420008229949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2.6904761904761907</v>
      </c>
      <c r="BD13" s="12">
        <f>IF('Données projet'!$A$88&gt;35,BD12+BC13-BL12,IF(A13&lt;'Données projet'!$A$88,$BA$205^A13,IF(A13='Données projet'!$A$88,'Données projet'!$B$88,BD12+BC13-BL12)))</f>
        <v>26.904761904761902</v>
      </c>
      <c r="BE13" s="13">
        <f>BD13*VLOOKUP('Données projet'!$B$11,Paramètres!$A$1:$I$89,3,0)*VLOOKUP('Données projet'!$B$11,Paramètres!$A$1:$I$89,5,0)</f>
        <v>27.28142857142857</v>
      </c>
      <c r="BF13" s="13">
        <f t="shared" si="37"/>
        <v>8.5562652902144691</v>
      </c>
      <c r="BG13" s="20">
        <f t="shared" si="7"/>
        <v>62.417316809028286</v>
      </c>
      <c r="BH13" s="59">
        <f t="shared" si="8"/>
        <v>355.75065014236162</v>
      </c>
      <c r="BI13" s="59">
        <f ca="1">AVERAGE(OFFSET($BH$3,0,0,'Données projet'!$E$11+1,1))-AVERAGE(OFFSET($H$3,0,0,'Données projet'!$E$11+1,1))</f>
        <v>179.53921263314447</v>
      </c>
      <c r="BJ13" s="59">
        <f t="shared" si="38"/>
        <v>120.81513023281337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7.9</v>
      </c>
      <c r="BY13" s="12">
        <f>IF('Données projet'!$A$114&gt;35,BY12+BX13-CG12,IF(A13&lt;'Données projet'!$A$114,$BV$205^A13,IF(A13='Données projet'!$A$114,'Données projet'!$B$114,BY12+BX13-CG12)))</f>
        <v>12.569805089976542</v>
      </c>
      <c r="BZ13" s="13">
        <f>BY13*VLOOKUP('Données projet'!$B$12,Paramètres!$A$1:$I$89,3,0)*VLOOKUP('Données projet'!$B$12,Paramètres!$A$1:$I$89,5,0)</f>
        <v>5.8826687821090227</v>
      </c>
      <c r="CA13" s="13">
        <f t="shared" si="39"/>
        <v>2.2057079152108381</v>
      </c>
      <c r="CB13" s="20">
        <f t="shared" si="10"/>
        <v>14.087256081165423</v>
      </c>
      <c r="CC13" s="59">
        <f t="shared" si="11"/>
        <v>307.42058941449875</v>
      </c>
      <c r="CD13" s="59">
        <f ca="1">AVERAGE(OFFSET($CC$3,0,0,'Données projet'!$E$12+1,1))-AVERAGE(OFFSET($H$3,0,0,'Données projet'!$E$12+1,1))</f>
        <v>310.06530483941287</v>
      </c>
      <c r="CE13" s="59">
        <f t="shared" si="40"/>
        <v>170.13425794309376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3</v>
      </c>
      <c r="CT13" s="12">
        <f>IF('Données projet'!$A$140&gt;35,CT12+CS13-DB12,IF(A13&lt;'Données projet'!$A$140,$CQ$205^A13,IF(A13='Données projet'!$A$140,'Données projet'!$B$140,CT12+CS13-DB12)))</f>
        <v>19.81156349336776</v>
      </c>
      <c r="CU13" s="17">
        <f>CT13*VLOOKUP('Données projet'!$B$13,Paramètres!$A$1:$I$89,3,0)*VLOOKUP('Données projet'!$B$13,Paramètres!$A$1:$I$89,5,0)</f>
        <v>11.847314969033921</v>
      </c>
      <c r="CV13" s="13">
        <f t="shared" si="41"/>
        <v>4.094516627677768</v>
      </c>
      <c r="CW13" s="20">
        <f t="shared" si="13"/>
        <v>27.76535669760619</v>
      </c>
      <c r="CX13" s="59">
        <f t="shared" si="14"/>
        <v>321.09869003093951</v>
      </c>
      <c r="CY13" s="59">
        <f ca="1">AVERAGE(OFFSET($CX$3,0,0,'Données projet'!$E$13+1,1))-AVERAGE(OFFSET($H$3,0,0,'Données projet'!$E$13+1,1))</f>
        <v>168.08890945052406</v>
      </c>
      <c r="CZ13" s="59">
        <f t="shared" si="42"/>
        <v>182.52462557642343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8.526315789473685</v>
      </c>
      <c r="DO13" s="12">
        <f>IF('Données projet'!$A$166&gt;35,DO12+DN13-DW12,IF(A13&lt;'Données projet'!$A$166,$DL$205^A13,IF(A13='Données projet'!$A$166,'Données projet'!$B$166,DO12+DN13-DW12)))</f>
        <v>14.551328302246779</v>
      </c>
      <c r="DP13" s="17">
        <f>DO13*VLOOKUP('Données projet'!$B$14,Paramètres!$A$1:$I$89,3,0)*VLOOKUP('Données projet'!$B$14,Paramètres!$A$1:$I$89,5,0)</f>
        <v>8.1341925209559491</v>
      </c>
      <c r="DQ13" s="13">
        <f t="shared" si="43"/>
        <v>2.9370132807503975</v>
      </c>
      <c r="DR13" s="20">
        <f t="shared" si="16"/>
        <v>19.282350104638549</v>
      </c>
      <c r="DS13" s="59">
        <f t="shared" si="17"/>
        <v>312.61568343797188</v>
      </c>
      <c r="DT13" s="59">
        <f ca="1">AVERAGE(OFFSET($DS$3,0,0,'Données projet'!$E$14+1,1))-AVERAGE(OFFSET($H$3,0,0,'Données projet'!$E$14+1,1))</f>
        <v>355.23615781077405</v>
      </c>
      <c r="DU13" s="59">
        <f t="shared" si="44"/>
        <v>448.84541017639367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2.1523809523809527</v>
      </c>
      <c r="EJ13" s="12">
        <f>IF('Données projet'!$A$192&gt;35,EJ12+EI13-ER12,IF(A13&lt;'Données projet'!$A$192,$EG$205^A13,IF(A13='Données projet'!$A$192,'Données projet'!$B$192,EJ12+EI13-ER12)))</f>
        <v>21.523809523809522</v>
      </c>
      <c r="EK13" s="17">
        <f>EJ13*VLOOKUP('Données projet'!$B$15,Paramètres!$A$1:$I$89,3,0)*VLOOKUP('Données projet'!$B$15,Paramètres!$A$1:$I$89,5,0)</f>
        <v>23.168228571428568</v>
      </c>
      <c r="EL13" s="13">
        <f t="shared" si="45"/>
        <v>7.405789586869064</v>
      </c>
      <c r="EM13" s="20">
        <f t="shared" si="19"/>
        <v>53.249748292368373</v>
      </c>
      <c r="EN13" s="59">
        <f t="shared" si="20"/>
        <v>346.58308162570171</v>
      </c>
      <c r="EO13" s="59">
        <f ca="1">AVERAGE(OFFSET($EN$3,0,0,'Données projet'!$E$15+1,1))-AVERAGE(OFFSET($H$3,0,0,'Données projet'!$E$15+1,1))</f>
        <v>130.76477588601989</v>
      </c>
      <c r="EP13" s="59">
        <f t="shared" si="46"/>
        <v>94.034011511502172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8.526315789473685</v>
      </c>
      <c r="FE13" s="12">
        <f>IF('Données projet'!$A$218&gt;35,FE12+FD13-FM12,IF(A13&lt;'Données projet'!$A$218,$FB$205^A13,IF(A13='Données projet'!$A$218,'Données projet'!$B$218,FE12+FD13-FM12)))</f>
        <v>14.551328302246779</v>
      </c>
      <c r="FF13" s="17">
        <f>FE13*VLOOKUP('Données projet'!$B$16,Paramètres!$A$1:$I$89,3,0)*VLOOKUP('Données projet'!$B$16,Paramètres!$A$1:$I$89,5,0)</f>
        <v>6.6208543775222841</v>
      </c>
      <c r="FG13" s="13">
        <f t="shared" si="47"/>
        <v>2.4485653925401909</v>
      </c>
      <c r="FH13" s="20">
        <f t="shared" si="22"/>
        <v>15.795906099525475</v>
      </c>
      <c r="FI13" s="59">
        <f t="shared" si="23"/>
        <v>309.12923943285881</v>
      </c>
      <c r="FJ13" s="59">
        <f ca="1">AVERAGE(OFFSET($FI$3,0,0,'Données projet'!$E$16+1,1))-AVERAGE(OFFSET($H$3,0,0,'Données projet'!$E$16+1,1))</f>
        <v>279.43442619866738</v>
      </c>
      <c r="FK13" s="59">
        <f t="shared" si="48"/>
        <v>355.95192241448217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3.8333333333333335</v>
      </c>
      <c r="N14" s="13">
        <f>IF('Données projet'!$A$36&gt;35,N13+M14-V13,IF(A14&lt;'Données projet'!$A$36,$K$205^A14,IF(A14='Données projet'!$A$36,'Données projet'!$B$36,N13+M14-V13)))</f>
        <v>33.434488156721827</v>
      </c>
      <c r="O14" s="13">
        <f>N14*VLOOKUP('Données projet'!$B$9,Paramètres!$A$1:$I$89,3,0)*VLOOKUP('Données projet'!$B$9,Paramètres!$A$1:$I$89,5,0)</f>
        <v>19.993823917719652</v>
      </c>
      <c r="P14" s="13">
        <f t="shared" si="33"/>
        <v>6.5016509402458835</v>
      </c>
      <c r="Q14" s="20">
        <f t="shared" si="2"/>
        <v>46.146285377623315</v>
      </c>
      <c r="R14" s="59">
        <f t="shared" si="0"/>
        <v>339.47961871095663</v>
      </c>
      <c r="S14" s="59">
        <f ca="1">AVERAGE(OFFSET($R$3,0,0,'Données projet'!$E$9+1,1))-AVERAGE(OFFSET($H$3,0,0,'Données projet'!$E$9+1,1))</f>
        <v>227.89848316900191</v>
      </c>
      <c r="T14" s="59">
        <f t="shared" si="34"/>
        <v>239.85955661394541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3.6111111111111112</v>
      </c>
      <c r="AI14" s="13">
        <f>IF('Données projet'!$A$62&gt;35,AI13+AH14-AQ13,IF(A14&lt;'Données projet'!$A$62,$AF$205^A14,IF(A14='Données projet'!$A$62,'Données projet'!$B$62,AI13+AH14-AQ13)))</f>
        <v>39.722222222222229</v>
      </c>
      <c r="AJ14" s="13">
        <f>AI14*VLOOKUP('Données projet'!$B$10,Paramètres!$A$1:$I$89,3,0)*VLOOKUP('Données projet'!$B$10,Paramètres!$A$1:$I$89,5,0)</f>
        <v>35.940666666666672</v>
      </c>
      <c r="AK14" s="13">
        <f t="shared" si="35"/>
        <v>10.916111628106732</v>
      </c>
      <c r="AL14" s="20">
        <f t="shared" si="4"/>
        <v>81.608888863397013</v>
      </c>
      <c r="AM14" s="59">
        <f t="shared" si="5"/>
        <v>374.94222219673031</v>
      </c>
      <c r="AN14" s="59">
        <f ca="1">AVERAGE(OFFSET($AM$3,0,0,'Données projet'!$E$10+1,1))-AVERAGE(OFFSET($H$3,0,0,'Données projet'!$E$10+1,1))</f>
        <v>215.7418266360167</v>
      </c>
      <c r="AO14" s="59">
        <f t="shared" si="36"/>
        <v>155.78420008229949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2.6904761904761907</v>
      </c>
      <c r="BD14" s="12">
        <f>IF('Données projet'!$A$88&gt;35,BD13+BC14-BL13,IF(A14&lt;'Données projet'!$A$88,$BA$205^A14,IF(A14='Données projet'!$A$88,'Données projet'!$B$88,BD13+BC14-BL13)))</f>
        <v>29.595238095238091</v>
      </c>
      <c r="BE14" s="13">
        <f>BD14*VLOOKUP('Données projet'!$B$11,Paramètres!$A$1:$I$89,3,0)*VLOOKUP('Données projet'!$B$11,Paramètres!$A$1:$I$89,5,0)</f>
        <v>30.009571428571427</v>
      </c>
      <c r="BF14" s="13">
        <f t="shared" si="37"/>
        <v>9.3080523717113106</v>
      </c>
      <c r="BG14" s="20">
        <f t="shared" si="7"/>
        <v>68.478194785492434</v>
      </c>
      <c r="BH14" s="59">
        <f t="shared" si="8"/>
        <v>361.81152811882578</v>
      </c>
      <c r="BI14" s="59">
        <f ca="1">AVERAGE(OFFSET($BH$3,0,0,'Données projet'!$E$11+1,1))-AVERAGE(OFFSET($H$3,0,0,'Données projet'!$E$11+1,1))</f>
        <v>179.53921263314447</v>
      </c>
      <c r="BJ14" s="59">
        <f t="shared" si="38"/>
        <v>120.81513023281337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7.9</v>
      </c>
      <c r="BY14" s="12">
        <f>IF('Données projet'!$A$114&gt;35,BY13+BX14-CG13,IF(A14&lt;'Données projet'!$A$114,$BV$205^A14,IF(A14='Données projet'!$A$114,'Données projet'!$B$114,BY13+BX14-CG13)))</f>
        <v>16.190542381779895</v>
      </c>
      <c r="BZ14" s="13">
        <f>BY14*VLOOKUP('Données projet'!$B$12,Paramètres!$A$1:$I$89,3,0)*VLOOKUP('Données projet'!$B$12,Paramètres!$A$1:$I$89,5,0)</f>
        <v>7.5771738346729904</v>
      </c>
      <c r="CA14" s="13">
        <f t="shared" si="39"/>
        <v>2.7585742106736397</v>
      </c>
      <c r="CB14" s="20">
        <f t="shared" si="10"/>
        <v>18.001427845645381</v>
      </c>
      <c r="CC14" s="59">
        <f t="shared" si="11"/>
        <v>311.33476117897868</v>
      </c>
      <c r="CD14" s="59">
        <f ca="1">AVERAGE(OFFSET($CC$3,0,0,'Données projet'!$E$12+1,1))-AVERAGE(OFFSET($H$3,0,0,'Données projet'!$E$12+1,1))</f>
        <v>310.06530483941287</v>
      </c>
      <c r="CE14" s="59">
        <f t="shared" si="40"/>
        <v>170.13425794309376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3</v>
      </c>
      <c r="CT14" s="12">
        <f>IF('Données projet'!$A$140&gt;35,CT13+CS14-DB13,IF(A14&lt;'Données projet'!$A$140,$CQ$205^A14,IF(A14='Données projet'!$A$140,'Données projet'!$B$140,CT13+CS14-DB13)))</f>
        <v>26.706109521254486</v>
      </c>
      <c r="CU14" s="17">
        <f>CT14*VLOOKUP('Données projet'!$B$13,Paramètres!$A$1:$I$89,3,0)*VLOOKUP('Données projet'!$B$13,Paramètres!$A$1:$I$89,5,0)</f>
        <v>15.970253493710185</v>
      </c>
      <c r="CV14" s="13">
        <f t="shared" si="41"/>
        <v>5.3308735361046251</v>
      </c>
      <c r="CW14" s="20">
        <f t="shared" si="13"/>
        <v>37.09946291026079</v>
      </c>
      <c r="CX14" s="59">
        <f t="shared" si="14"/>
        <v>330.43279624359411</v>
      </c>
      <c r="CY14" s="59">
        <f ca="1">AVERAGE(OFFSET($CX$3,0,0,'Données projet'!$E$13+1,1))-AVERAGE(OFFSET($H$3,0,0,'Données projet'!$E$13+1,1))</f>
        <v>168.08890945052406</v>
      </c>
      <c r="CZ14" s="59">
        <f t="shared" si="42"/>
        <v>182.52462557642343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8.526315789473685</v>
      </c>
      <c r="DO14" s="12">
        <f>IF('Données projet'!$A$166&gt;35,DO13+DN14-DW13,IF(A14&lt;'Données projet'!$A$166,$DL$205^A14,IF(A14='Données projet'!$A$166,'Données projet'!$B$166,DO13+DN14-DW13)))</f>
        <v>19.01922880701866</v>
      </c>
      <c r="DP14" s="17">
        <f>DO14*VLOOKUP('Données projet'!$B$14,Paramètres!$A$1:$I$89,3,0)*VLOOKUP('Données projet'!$B$14,Paramètres!$A$1:$I$89,5,0)</f>
        <v>10.631748903123432</v>
      </c>
      <c r="DQ14" s="13">
        <f t="shared" si="43"/>
        <v>3.7210027205323613</v>
      </c>
      <c r="DR14" s="20">
        <f t="shared" si="16"/>
        <v>24.997709077867171</v>
      </c>
      <c r="DS14" s="59">
        <f t="shared" si="17"/>
        <v>318.33104241120049</v>
      </c>
      <c r="DT14" s="59">
        <f ca="1">AVERAGE(OFFSET($DS$3,0,0,'Données projet'!$E$14+1,1))-AVERAGE(OFFSET($H$3,0,0,'Données projet'!$E$14+1,1))</f>
        <v>355.23615781077405</v>
      </c>
      <c r="DU14" s="59">
        <f t="shared" si="44"/>
        <v>448.84541017639367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2.1523809523809527</v>
      </c>
      <c r="EJ14" s="12">
        <f>IF('Données projet'!$A$192&gt;35,EJ13+EI14-ER13,IF(A14&lt;'Données projet'!$A$192,$EG$205^A14,IF(A14='Données projet'!$A$192,'Données projet'!$B$192,EJ13+EI14-ER13)))</f>
        <v>23.676190476190474</v>
      </c>
      <c r="EK14" s="17">
        <f>EJ14*VLOOKUP('Données projet'!$B$15,Paramètres!$A$1:$I$89,3,0)*VLOOKUP('Données projet'!$B$15,Paramètres!$A$1:$I$89,5,0)</f>
        <v>25.485051428571424</v>
      </c>
      <c r="EL14" s="13">
        <f t="shared" si="45"/>
        <v>8.0564913534516691</v>
      </c>
      <c r="EM14" s="20">
        <f t="shared" si="19"/>
        <v>58.418187012023544</v>
      </c>
      <c r="EN14" s="59">
        <f t="shared" si="20"/>
        <v>351.75152034535688</v>
      </c>
      <c r="EO14" s="59">
        <f ca="1">AVERAGE(OFFSET($EN$3,0,0,'Données projet'!$E$15+1,1))-AVERAGE(OFFSET($H$3,0,0,'Données projet'!$E$15+1,1))</f>
        <v>130.76477588601989</v>
      </c>
      <c r="EP14" s="59">
        <f t="shared" si="46"/>
        <v>94.034011511502172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8.526315789473685</v>
      </c>
      <c r="FE14" s="12">
        <f>IF('Données projet'!$A$218&gt;35,FE13+FD14-FM13,IF(A14&lt;'Données projet'!$A$218,$FB$205^A14,IF(A14='Données projet'!$A$218,'Données projet'!$B$218,FE13+FD14-FM13)))</f>
        <v>19.01922880701866</v>
      </c>
      <c r="FF14" s="17">
        <f>FE14*VLOOKUP('Données projet'!$B$16,Paramètres!$A$1:$I$89,3,0)*VLOOKUP('Données projet'!$B$16,Paramètres!$A$1:$I$89,5,0)</f>
        <v>8.6537491071934909</v>
      </c>
      <c r="FG14" s="13">
        <f t="shared" si="47"/>
        <v>3.102171361212088</v>
      </c>
      <c r="FH14" s="20">
        <f t="shared" si="22"/>
        <v>20.474894815806383</v>
      </c>
      <c r="FI14" s="59">
        <f t="shared" si="23"/>
        <v>313.80822814913972</v>
      </c>
      <c r="FJ14" s="59">
        <f ca="1">AVERAGE(OFFSET($FI$3,0,0,'Données projet'!$E$16+1,1))-AVERAGE(OFFSET($H$3,0,0,'Données projet'!$E$16+1,1))</f>
        <v>279.43442619866738</v>
      </c>
      <c r="FK14" s="59">
        <f t="shared" si="48"/>
        <v>355.95192241448217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46</v>
      </c>
      <c r="L15" s="12">
        <f>VLOOKUP(A15,'Données projet'!$A$35:$I$55,9,0)</f>
        <v>3.8333333333333335</v>
      </c>
      <c r="M15" s="12">
        <f t="array" ref="M15">INDEX(L:L,MIN(IF(ISNUMBER(L15:L211),ROW(L15:L211),"")))</f>
        <v>3.8333333333333335</v>
      </c>
      <c r="N15" s="13">
        <f>IF('Données projet'!$A$36&gt;35,N14+M15-V14,IF(A15&lt;'Données projet'!$A$36,$K$205^A15,IF(A15='Données projet'!$A$36,'Données projet'!$B$36,N14+M15-V14)))</f>
        <v>46</v>
      </c>
      <c r="O15" s="13">
        <f>N15*VLOOKUP('Données projet'!$B$9,Paramètres!$A$1:$I$89,3,0)*VLOOKUP('Données projet'!$B$9,Paramètres!$A$1:$I$89,5,0)</f>
        <v>27.508000000000003</v>
      </c>
      <c r="P15" s="13">
        <f t="shared" si="33"/>
        <v>8.619023227845549</v>
      </c>
      <c r="Q15" s="20">
        <f t="shared" si="2"/>
        <v>62.921232121831004</v>
      </c>
      <c r="R15" s="59">
        <f t="shared" si="0"/>
        <v>356.25456545516431</v>
      </c>
      <c r="S15" s="59">
        <f ca="1">AVERAGE(OFFSET($R$3,0,0,'Données projet'!$E$9+1,1))-AVERAGE(OFFSET($H$3,0,0,'Données projet'!$E$9+1,1))</f>
        <v>227.89848316900191</v>
      </c>
      <c r="T15" s="59">
        <f t="shared" si="34"/>
        <v>239.85955661394541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0.25200000000000006</v>
      </c>
      <c r="Y15" s="16">
        <f>IF(ISNA(VLOOKUP(A15,'Données projet'!$A$35:$I$55,7,0)),0%,VLOOKUP(A15,'Données projet'!$A$35:$I$55,7,0))</f>
        <v>0.44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3.6111111111111112</v>
      </c>
      <c r="AI15" s="13">
        <f>IF('Données projet'!$A$62&gt;35,AI14+AH15-AQ14,IF(A15&lt;'Données projet'!$A$62,$AF$205^A15,IF(A15='Données projet'!$A$62,'Données projet'!$B$62,AI14+AH15-AQ14)))</f>
        <v>43.333333333333343</v>
      </c>
      <c r="AJ15" s="13">
        <f>AI15*VLOOKUP('Données projet'!$B$10,Paramètres!$A$1:$I$89,3,0)*VLOOKUP('Données projet'!$B$10,Paramètres!$A$1:$I$89,5,0)</f>
        <v>39.208000000000006</v>
      </c>
      <c r="AK15" s="13">
        <f t="shared" si="35"/>
        <v>11.788483515085835</v>
      </c>
      <c r="AL15" s="20">
        <f t="shared" si="4"/>
        <v>88.818875455441173</v>
      </c>
      <c r="AM15" s="59">
        <f t="shared" si="5"/>
        <v>382.15220878877449</v>
      </c>
      <c r="AN15" s="59">
        <f ca="1">AVERAGE(OFFSET($AM$3,0,0,'Données projet'!$E$10+1,1))-AVERAGE(OFFSET($H$3,0,0,'Données projet'!$E$10+1,1))</f>
        <v>215.7418266360167</v>
      </c>
      <c r="AO15" s="59">
        <f t="shared" si="36"/>
        <v>155.78420008229949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2.6904761904761907</v>
      </c>
      <c r="BD15" s="12">
        <f>IF('Données projet'!$A$88&gt;35,BD14+BC15-BL14,IF(A15&lt;'Données projet'!$A$88,$BA$205^A15,IF(A15='Données projet'!$A$88,'Données projet'!$B$88,BD14+BC15-BL14)))</f>
        <v>32.285714285714285</v>
      </c>
      <c r="BE15" s="13">
        <f>BD15*VLOOKUP('Données projet'!$B$11,Paramètres!$A$1:$I$89,3,0)*VLOOKUP('Données projet'!$B$11,Paramètres!$A$1:$I$89,5,0)</f>
        <v>32.73771428571429</v>
      </c>
      <c r="BF15" s="13">
        <f t="shared" si="37"/>
        <v>10.051914608398462</v>
      </c>
      <c r="BG15" s="20">
        <f t="shared" si="7"/>
        <v>74.525270323913048</v>
      </c>
      <c r="BH15" s="59">
        <f t="shared" si="8"/>
        <v>367.85860365724636</v>
      </c>
      <c r="BI15" s="59">
        <f ca="1">AVERAGE(OFFSET($BH$3,0,0,'Données projet'!$E$11+1,1))-AVERAGE(OFFSET($H$3,0,0,'Données projet'!$E$11+1,1))</f>
        <v>179.53921263314447</v>
      </c>
      <c r="BJ15" s="59">
        <f t="shared" si="38"/>
        <v>120.81513023281337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7.9</v>
      </c>
      <c r="BY15" s="12">
        <f>IF('Données projet'!$A$114&gt;35,BY14+BX15-CG14,IF(A15&lt;'Données projet'!$A$114,$BV$205^A15,IF(A15='Données projet'!$A$114,'Données projet'!$B$114,BY14+BX15-CG14)))</f>
        <v>20.854234472198982</v>
      </c>
      <c r="BZ15" s="13">
        <f>BY15*VLOOKUP('Données projet'!$B$12,Paramètres!$A$1:$I$89,3,0)*VLOOKUP('Données projet'!$B$12,Paramètres!$A$1:$I$89,5,0)</f>
        <v>9.7597817329891239</v>
      </c>
      <c r="CA15" s="13">
        <f t="shared" si="39"/>
        <v>3.4500178483814818</v>
      </c>
      <c r="CB15" s="20">
        <f t="shared" si="10"/>
        <v>23.00706760422047</v>
      </c>
      <c r="CC15" s="59">
        <f t="shared" si="11"/>
        <v>316.3404009375538</v>
      </c>
      <c r="CD15" s="59">
        <f ca="1">AVERAGE(OFFSET($CC$3,0,0,'Données projet'!$E$12+1,1))-AVERAGE(OFFSET($H$3,0,0,'Données projet'!$E$12+1,1))</f>
        <v>310.06530483941287</v>
      </c>
      <c r="CE15" s="59">
        <f t="shared" si="40"/>
        <v>170.13425794309376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>
        <f>VLOOKUP(A15,'Données projet'!$A$139:$I$159,2,0)</f>
        <v>36</v>
      </c>
      <c r="CR15" s="12">
        <f>VLOOKUP(A15,'Données projet'!$A$139:$I$159,9,0)</f>
        <v>3</v>
      </c>
      <c r="CS15" s="12">
        <f t="array" ref="CS15">INDEX(CR:CR,MIN(IF(ISNUMBER(CR15:CR211),ROW(CR15:CR211),"")))</f>
        <v>3</v>
      </c>
      <c r="CT15" s="12">
        <f>IF('Données projet'!$A$140&gt;35,CT14+CS15-DB14,IF(A15&lt;'Données projet'!$A$140,$CQ$205^A15,IF(A15='Données projet'!$A$140,'Données projet'!$B$140,CT14+CS15-DB14)))</f>
        <v>36</v>
      </c>
      <c r="CU15" s="17">
        <f>CT15*VLOOKUP('Données projet'!$B$13,Paramètres!$A$1:$I$89,3,0)*VLOOKUP('Données projet'!$B$13,Paramètres!$A$1:$I$89,5,0)</f>
        <v>21.528000000000002</v>
      </c>
      <c r="CV15" s="13">
        <f t="shared" si="41"/>
        <v>6.9405537312613621</v>
      </c>
      <c r="CW15" s="20">
        <f t="shared" si="13"/>
        <v>49.582731081946882</v>
      </c>
      <c r="CX15" s="59">
        <f t="shared" si="14"/>
        <v>342.91606441528018</v>
      </c>
      <c r="CY15" s="59">
        <f ca="1">AVERAGE(OFFSET($CX$3,0,0,'Données projet'!$E$13+1,1))-AVERAGE(OFFSET($H$3,0,0,'Données projet'!$E$13+1,1))</f>
        <v>168.08890945052406</v>
      </c>
      <c r="CZ15" s="59">
        <f t="shared" si="42"/>
        <v>182.52462557642343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0.25200000000000006</v>
      </c>
      <c r="DE15" s="16">
        <f>IF(ISNA(VLOOKUP(A15,'Données projet'!$A$139:$I$159,7,0)),0%,VLOOKUP(A15,'Données projet'!$A$139:$I$159,7,0))</f>
        <v>0.44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8.526315789473685</v>
      </c>
      <c r="DO15" s="12">
        <f>IF('Données projet'!$A$166&gt;35,DO14+DN15-DW14,IF(A15&lt;'Données projet'!$A$166,$DL$205^A15,IF(A15='Données projet'!$A$166,'Données projet'!$B$166,DO14+DN15-DW14)))</f>
        <v>24.85897210895007</v>
      </c>
      <c r="DP15" s="17">
        <f>DO15*VLOOKUP('Données projet'!$B$14,Paramètres!$A$1:$I$89,3,0)*VLOOKUP('Données projet'!$B$14,Paramètres!$A$1:$I$89,5,0)</f>
        <v>13.896165408903089</v>
      </c>
      <c r="DQ15" s="13">
        <f t="shared" si="43"/>
        <v>4.7142657940830492</v>
      </c>
      <c r="DR15" s="20">
        <f t="shared" si="16"/>
        <v>32.413167678534187</v>
      </c>
      <c r="DS15" s="59">
        <f t="shared" si="17"/>
        <v>325.74650101186751</v>
      </c>
      <c r="DT15" s="59">
        <f ca="1">AVERAGE(OFFSET($DS$3,0,0,'Données projet'!$E$14+1,1))-AVERAGE(OFFSET($H$3,0,0,'Données projet'!$E$14+1,1))</f>
        <v>355.23615781077405</v>
      </c>
      <c r="DU15" s="59">
        <f t="shared" si="44"/>
        <v>448.84541017639367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2.1523809523809527</v>
      </c>
      <c r="EJ15" s="12">
        <f>IF('Données projet'!$A$192&gt;35,EJ14+EI15-ER14,IF(A15&lt;'Données projet'!$A$192,$EG$205^A15,IF(A15='Données projet'!$A$192,'Données projet'!$B$192,EJ14+EI15-ER14)))</f>
        <v>25.828571428571426</v>
      </c>
      <c r="EK15" s="17">
        <f>EJ15*VLOOKUP('Données projet'!$B$15,Paramètres!$A$1:$I$89,3,0)*VLOOKUP('Données projet'!$B$15,Paramètres!$A$1:$I$89,5,0)</f>
        <v>27.80187428571428</v>
      </c>
      <c r="EL15" s="13">
        <f t="shared" si="45"/>
        <v>8.7003338501100167</v>
      </c>
      <c r="EM15" s="20">
        <f t="shared" si="19"/>
        <v>63.574679169893976</v>
      </c>
      <c r="EN15" s="59">
        <f t="shared" si="20"/>
        <v>356.90801250322727</v>
      </c>
      <c r="EO15" s="59">
        <f ca="1">AVERAGE(OFFSET($EN$3,0,0,'Données projet'!$E$15+1,1))-AVERAGE(OFFSET($H$3,0,0,'Données projet'!$E$15+1,1))</f>
        <v>130.76477588601989</v>
      </c>
      <c r="EP15" s="59">
        <f t="shared" si="46"/>
        <v>94.034011511502172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8.526315789473685</v>
      </c>
      <c r="FE15" s="12">
        <f>IF('Données projet'!$A$218&gt;35,FE14+FD15-FM14,IF(A15&lt;'Données projet'!$A$218,$FB$205^A15,IF(A15='Données projet'!$A$218,'Données projet'!$B$218,FE14+FD15-FM14)))</f>
        <v>24.85897210895007</v>
      </c>
      <c r="FF15" s="17">
        <f>FE15*VLOOKUP('Données projet'!$B$16,Paramètres!$A$1:$I$89,3,0)*VLOOKUP('Données projet'!$B$16,Paramètres!$A$1:$I$89,5,0)</f>
        <v>11.31083230957228</v>
      </c>
      <c r="FG15" s="13">
        <f t="shared" si="47"/>
        <v>3.9302471494710125</v>
      </c>
      <c r="FH15" s="20">
        <f t="shared" si="22"/>
        <v>26.544880057833737</v>
      </c>
      <c r="FI15" s="59">
        <f t="shared" si="23"/>
        <v>319.87821339116704</v>
      </c>
      <c r="FJ15" s="59">
        <f ca="1">AVERAGE(OFFSET($FI$3,0,0,'Données projet'!$E$16+1,1))-AVERAGE(OFFSET($H$3,0,0,'Données projet'!$E$16+1,1))</f>
        <v>279.43442619866738</v>
      </c>
      <c r="FK15" s="59">
        <f t="shared" si="48"/>
        <v>355.95192241448217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15.25</v>
      </c>
      <c r="N16" s="13">
        <f>IF('Données projet'!$A$36&gt;35,N15+M16-V15,IF(A16&lt;'Données projet'!$A$36,$K$205^A16,IF(A16='Données projet'!$A$36,'Données projet'!$B$36,N15+M16-V15)))</f>
        <v>61.25</v>
      </c>
      <c r="O16" s="13">
        <f>N16*VLOOKUP('Données projet'!$B$9,Paramètres!$A$1:$I$89,3,0)*VLOOKUP('Données projet'!$B$9,Paramètres!$A$1:$I$89,5,0)</f>
        <v>36.627500000000005</v>
      </c>
      <c r="P16" s="13">
        <f t="shared" si="33"/>
        <v>11.100235041832279</v>
      </c>
      <c r="Q16" s="20">
        <f t="shared" si="2"/>
        <v>83.125805197857886</v>
      </c>
      <c r="R16" s="59">
        <f t="shared" si="0"/>
        <v>376.45913853119123</v>
      </c>
      <c r="S16" s="59">
        <f ca="1">AVERAGE(OFFSET($R$3,0,0,'Données projet'!$E$9+1,1))-AVERAGE(OFFSET($H$3,0,0,'Données projet'!$E$9+1,1))</f>
        <v>227.89848316900191</v>
      </c>
      <c r="T16" s="59">
        <f t="shared" si="34"/>
        <v>239.85955661394541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3.6111111111111112</v>
      </c>
      <c r="AI16" s="13">
        <f>IF('Données projet'!$A$62&gt;35,AI15+AH16-AQ15,IF(A16&lt;'Données projet'!$A$62,$AF$205^A16,IF(A16='Données projet'!$A$62,'Données projet'!$B$62,AI15+AH16-AQ15)))</f>
        <v>46.944444444444457</v>
      </c>
      <c r="AJ16" s="13">
        <f>AI16*VLOOKUP('Données projet'!$B$10,Paramètres!$A$1:$I$89,3,0)*VLOOKUP('Données projet'!$B$10,Paramètres!$A$1:$I$89,5,0)</f>
        <v>42.475333333333346</v>
      </c>
      <c r="AK16" s="13">
        <f t="shared" si="35"/>
        <v>12.652424009262637</v>
      </c>
      <c r="AL16" s="20">
        <f t="shared" si="4"/>
        <v>96.014177371687992</v>
      </c>
      <c r="AM16" s="59">
        <f t="shared" si="5"/>
        <v>389.34751070502131</v>
      </c>
      <c r="AN16" s="59">
        <f ca="1">AVERAGE(OFFSET($AM$3,0,0,'Données projet'!$E$10+1,1))-AVERAGE(OFFSET($H$3,0,0,'Données projet'!$E$10+1,1))</f>
        <v>215.7418266360167</v>
      </c>
      <c r="AO16" s="59">
        <f t="shared" si="36"/>
        <v>155.78420008229949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2.6904761904761907</v>
      </c>
      <c r="BD16" s="12">
        <f>IF('Données projet'!$A$88&gt;35,BD15+BC16-BL15,IF(A16&lt;'Données projet'!$A$88,$BA$205^A16,IF(A16='Données projet'!$A$88,'Données projet'!$B$88,BD15+BC16-BL15)))</f>
        <v>34.976190476190474</v>
      </c>
      <c r="BE16" s="13">
        <f>BD16*VLOOKUP('Données projet'!$B$11,Paramètres!$A$1:$I$89,3,0)*VLOOKUP('Données projet'!$B$11,Paramètres!$A$1:$I$89,5,0)</f>
        <v>35.465857142857146</v>
      </c>
      <c r="BF16" s="13">
        <f t="shared" si="37"/>
        <v>10.78858748604973</v>
      </c>
      <c r="BG16" s="20">
        <f t="shared" si="7"/>
        <v>80.559824395346126</v>
      </c>
      <c r="BH16" s="59">
        <f t="shared" si="8"/>
        <v>373.89315772867945</v>
      </c>
      <c r="BI16" s="59">
        <f ca="1">AVERAGE(OFFSET($BH$3,0,0,'Données projet'!$E$11+1,1))-AVERAGE(OFFSET($H$3,0,0,'Données projet'!$E$11+1,1))</f>
        <v>179.53921263314447</v>
      </c>
      <c r="BJ16" s="59">
        <f t="shared" si="38"/>
        <v>120.81513023281337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7.9</v>
      </c>
      <c r="BY16" s="12">
        <f>IF('Données projet'!$A$114&gt;35,BY15+BX16-CG15,IF(A16&lt;'Données projet'!$A$114,$BV$205^A16,IF(A16='Données projet'!$A$114,'Données projet'!$B$114,BY15+BX16-CG15)))</f>
        <v>26.861304900499697</v>
      </c>
      <c r="BZ16" s="13">
        <f>BY16*VLOOKUP('Données projet'!$B$12,Paramètres!$A$1:$I$89,3,0)*VLOOKUP('Données projet'!$B$12,Paramètres!$A$1:$I$89,5,0)</f>
        <v>12.571090693433858</v>
      </c>
      <c r="CA16" s="13">
        <f t="shared" si="39"/>
        <v>4.3147735914069099</v>
      </c>
      <c r="CB16" s="20">
        <f t="shared" si="10"/>
        <v>29.409546962764335</v>
      </c>
      <c r="CC16" s="59">
        <f t="shared" si="11"/>
        <v>322.74288029609767</v>
      </c>
      <c r="CD16" s="59">
        <f ca="1">AVERAGE(OFFSET($CC$3,0,0,'Données projet'!$E$12+1,1))-AVERAGE(OFFSET($H$3,0,0,'Données projet'!$E$12+1,1))</f>
        <v>310.06530483941287</v>
      </c>
      <c r="CE16" s="59">
        <f t="shared" si="40"/>
        <v>170.13425794309376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11.25</v>
      </c>
      <c r="CT16" s="12">
        <f>IF('Données projet'!$A$140&gt;35,CT15+CS16-DB15,IF(A16&lt;'Données projet'!$A$140,$CQ$205^A16,IF(A16='Données projet'!$A$140,'Données projet'!$B$140,CT15+CS16-DB15)))</f>
        <v>47.25</v>
      </c>
      <c r="CU16" s="17">
        <f>CT16*VLOOKUP('Données projet'!$B$13,Paramètres!$A$1:$I$89,3,0)*VLOOKUP('Données projet'!$B$13,Paramètres!$A$1:$I$89,5,0)</f>
        <v>28.255500000000001</v>
      </c>
      <c r="CV16" s="13">
        <f t="shared" si="41"/>
        <v>8.8256494369710552</v>
      </c>
      <c r="CW16" s="20">
        <f t="shared" si="13"/>
        <v>64.583001936057926</v>
      </c>
      <c r="CX16" s="59">
        <f t="shared" si="14"/>
        <v>357.91633526939125</v>
      </c>
      <c r="CY16" s="59">
        <f ca="1">AVERAGE(OFFSET($CX$3,0,0,'Données projet'!$E$13+1,1))-AVERAGE(OFFSET($H$3,0,0,'Données projet'!$E$13+1,1))</f>
        <v>168.08890945052406</v>
      </c>
      <c r="CZ16" s="59">
        <f t="shared" si="42"/>
        <v>182.52462557642343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8.526315789473685</v>
      </c>
      <c r="DO16" s="12">
        <f>IF('Données projet'!$A$166&gt;35,DO15+DN16-DW15,IF(A16&lt;'Données projet'!$A$166,$DL$205^A16,IF(A16='Données projet'!$A$166,'Données projet'!$B$166,DO15+DN16-DW15)))</f>
        <v>32.491774539539094</v>
      </c>
      <c r="DP16" s="17">
        <f>DO16*VLOOKUP('Données projet'!$B$14,Paramètres!$A$1:$I$89,3,0)*VLOOKUP('Données projet'!$B$14,Paramètres!$A$1:$I$89,5,0)</f>
        <v>18.162901967602355</v>
      </c>
      <c r="DQ16" s="13">
        <f t="shared" si="43"/>
        <v>5.9726648020514927</v>
      </c>
      <c r="DR16" s="20">
        <f t="shared" si="16"/>
        <v>42.036112123813787</v>
      </c>
      <c r="DS16" s="59">
        <f t="shared" si="17"/>
        <v>335.36944545714709</v>
      </c>
      <c r="DT16" s="59">
        <f ca="1">AVERAGE(OFFSET($DS$3,0,0,'Données projet'!$E$14+1,1))-AVERAGE(OFFSET($H$3,0,0,'Données projet'!$E$14+1,1))</f>
        <v>355.23615781077405</v>
      </c>
      <c r="DU16" s="59">
        <f t="shared" si="44"/>
        <v>448.84541017639367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2.1523809523809527</v>
      </c>
      <c r="EJ16" s="12">
        <f>IF('Données projet'!$A$192&gt;35,EJ15+EI16-ER15,IF(A16&lt;'Données projet'!$A$192,$EG$205^A16,IF(A16='Données projet'!$A$192,'Données projet'!$B$192,EJ15+EI16-ER15)))</f>
        <v>27.980952380952377</v>
      </c>
      <c r="EK16" s="17">
        <f>EJ16*VLOOKUP('Données projet'!$B$15,Paramètres!$A$1:$I$89,3,0)*VLOOKUP('Données projet'!$B$15,Paramètres!$A$1:$I$89,5,0)</f>
        <v>30.11869714285714</v>
      </c>
      <c r="EL16" s="13">
        <f t="shared" si="45"/>
        <v>9.3379536691773506</v>
      </c>
      <c r="EM16" s="20">
        <f t="shared" si="19"/>
        <v>68.720333497626726</v>
      </c>
      <c r="EN16" s="59">
        <f t="shared" si="20"/>
        <v>362.05366683096003</v>
      </c>
      <c r="EO16" s="59">
        <f ca="1">AVERAGE(OFFSET($EN$3,0,0,'Données projet'!$E$15+1,1))-AVERAGE(OFFSET($H$3,0,0,'Données projet'!$E$15+1,1))</f>
        <v>130.76477588601989</v>
      </c>
      <c r="EP16" s="59">
        <f t="shared" si="46"/>
        <v>94.034011511502172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8.526315789473685</v>
      </c>
      <c r="FE16" s="12">
        <f>IF('Données projet'!$A$218&gt;35,FE15+FD16-FM15,IF(A16&lt;'Données projet'!$A$218,$FB$205^A16,IF(A16='Données projet'!$A$218,'Données projet'!$B$218,FE15+FD16-FM15)))</f>
        <v>32.491774539539094</v>
      </c>
      <c r="FF16" s="17">
        <f>FE16*VLOOKUP('Données projet'!$B$16,Paramètres!$A$1:$I$89,3,0)*VLOOKUP('Données projet'!$B$16,Paramètres!$A$1:$I$89,5,0)</f>
        <v>14.783757415490287</v>
      </c>
      <c r="FG16" s="13">
        <f t="shared" si="47"/>
        <v>4.9793647279012978</v>
      </c>
      <c r="FH16" s="20">
        <f t="shared" si="22"/>
        <v>34.420771066407006</v>
      </c>
      <c r="FI16" s="59">
        <f t="shared" si="23"/>
        <v>327.7541043997403</v>
      </c>
      <c r="FJ16" s="59">
        <f ca="1">AVERAGE(OFFSET($FI$3,0,0,'Données projet'!$E$16+1,1))-AVERAGE(OFFSET($H$3,0,0,'Données projet'!$E$16+1,1))</f>
        <v>279.43442619866738</v>
      </c>
      <c r="FK16" s="59">
        <f t="shared" si="48"/>
        <v>355.95192241448217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15.25</v>
      </c>
      <c r="N17" s="13">
        <f>IF('Données projet'!$A$36&gt;35,N16+M17-V16,IF(A17&lt;'Données projet'!$A$36,$K$205^A17,IF(A17='Données projet'!$A$36,'Données projet'!$B$36,N16+M17-V16)))</f>
        <v>76.5</v>
      </c>
      <c r="O17" s="13">
        <f>N17*VLOOKUP('Données projet'!$B$9,Paramètres!$A$1:$I$89,3,0)*VLOOKUP('Données projet'!$B$9,Paramètres!$A$1:$I$89,5,0)</f>
        <v>45.747000000000007</v>
      </c>
      <c r="P17" s="13">
        <f t="shared" si="33"/>
        <v>13.509786169595499</v>
      </c>
      <c r="Q17" s="20">
        <f t="shared" si="2"/>
        <v>103.20556924537884</v>
      </c>
      <c r="R17" s="59">
        <f t="shared" si="0"/>
        <v>396.53890257871217</v>
      </c>
      <c r="S17" s="59">
        <f ca="1">AVERAGE(OFFSET($R$3,0,0,'Données projet'!$E$9+1,1))-AVERAGE(OFFSET($H$3,0,0,'Données projet'!$E$9+1,1))</f>
        <v>227.89848316900191</v>
      </c>
      <c r="T17" s="59">
        <f t="shared" si="34"/>
        <v>239.85955661394541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3.6111111111111112</v>
      </c>
      <c r="AI17" s="13">
        <f>IF('Données projet'!$A$62&gt;35,AI16+AH17-AQ16,IF(A17&lt;'Données projet'!$A$62,$AF$205^A17,IF(A17='Données projet'!$A$62,'Données projet'!$B$62,AI16+AH17-AQ16)))</f>
        <v>50.555555555555571</v>
      </c>
      <c r="AJ17" s="13">
        <f>AI17*VLOOKUP('Données projet'!$B$10,Paramètres!$A$1:$I$89,3,0)*VLOOKUP('Données projet'!$B$10,Paramètres!$A$1:$I$89,5,0)</f>
        <v>45.742666666666679</v>
      </c>
      <c r="AK17" s="13">
        <f t="shared" si="35"/>
        <v>13.508655421004901</v>
      </c>
      <c r="AL17" s="20">
        <f t="shared" si="4"/>
        <v>103.196052636028</v>
      </c>
      <c r="AM17" s="59">
        <f t="shared" si="5"/>
        <v>396.52938596936133</v>
      </c>
      <c r="AN17" s="59">
        <f ca="1">AVERAGE(OFFSET($AM$3,0,0,'Données projet'!$E$10+1,1))-AVERAGE(OFFSET($H$3,0,0,'Données projet'!$E$10+1,1))</f>
        <v>215.7418266360167</v>
      </c>
      <c r="AO17" s="59">
        <f t="shared" si="36"/>
        <v>155.78420008229949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2.6904761904761907</v>
      </c>
      <c r="BD17" s="12">
        <f>IF('Données projet'!$A$88&gt;35,BD16+BC17-BL16,IF(A17&lt;'Données projet'!$A$88,$BA$205^A17,IF(A17='Données projet'!$A$88,'Données projet'!$B$88,BD16+BC17-BL16)))</f>
        <v>37.666666666666664</v>
      </c>
      <c r="BE17" s="13">
        <f>BD17*VLOOKUP('Données projet'!$B$11,Paramètres!$A$1:$I$89,3,0)*VLOOKUP('Données projet'!$B$11,Paramètres!$A$1:$I$89,5,0)</f>
        <v>38.194000000000003</v>
      </c>
      <c r="BF17" s="13">
        <f t="shared" si="37"/>
        <v>11.518686911039172</v>
      </c>
      <c r="BG17" s="20">
        <f t="shared" si="7"/>
        <v>86.582929703393233</v>
      </c>
      <c r="BH17" s="59">
        <f t="shared" si="8"/>
        <v>379.91626303672655</v>
      </c>
      <c r="BI17" s="59">
        <f ca="1">AVERAGE(OFFSET($BH$3,0,0,'Données projet'!$E$11+1,1))-AVERAGE(OFFSET($H$3,0,0,'Données projet'!$E$11+1,1))</f>
        <v>179.53921263314447</v>
      </c>
      <c r="BJ17" s="59">
        <f t="shared" si="38"/>
        <v>120.81513023281337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7.9</v>
      </c>
      <c r="BY17" s="12">
        <f>IF('Données projet'!$A$114&gt;35,BY16+BX17-CG16,IF(A17&lt;'Données projet'!$A$114,$BV$205^A17,IF(A17='Données projet'!$A$114,'Données projet'!$B$114,BY16+BX17-CG16)))</f>
        <v>34.598714324397214</v>
      </c>
      <c r="BZ17" s="13">
        <f>BY17*VLOOKUP('Données projet'!$B$12,Paramètres!$A$1:$I$89,3,0)*VLOOKUP('Données projet'!$B$12,Paramètres!$A$1:$I$89,5,0)</f>
        <v>16.192198303817896</v>
      </c>
      <c r="CA17" s="13">
        <f t="shared" si="39"/>
        <v>5.3962825594761723</v>
      </c>
      <c r="CB17" s="20">
        <f t="shared" si="10"/>
        <v>37.599937503570509</v>
      </c>
      <c r="CC17" s="59">
        <f t="shared" si="11"/>
        <v>330.93327083690383</v>
      </c>
      <c r="CD17" s="59">
        <f ca="1">AVERAGE(OFFSET($CC$3,0,0,'Données projet'!$E$12+1,1))-AVERAGE(OFFSET($H$3,0,0,'Données projet'!$E$12+1,1))</f>
        <v>310.06530483941287</v>
      </c>
      <c r="CE17" s="59">
        <f t="shared" si="40"/>
        <v>170.13425794309376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11.25</v>
      </c>
      <c r="CT17" s="12">
        <f>IF('Données projet'!$A$140&gt;35,CT16+CS17-DB16,IF(A17&lt;'Données projet'!$A$140,$CQ$205^A17,IF(A17='Données projet'!$A$140,'Données projet'!$B$140,CT16+CS17-DB16)))</f>
        <v>58.5</v>
      </c>
      <c r="CU17" s="17">
        <f>CT17*VLOOKUP('Données projet'!$B$13,Paramètres!$A$1:$I$89,3,0)*VLOOKUP('Données projet'!$B$13,Paramètres!$A$1:$I$89,5,0)</f>
        <v>34.983000000000004</v>
      </c>
      <c r="CV17" s="13">
        <f t="shared" si="41"/>
        <v>10.658697928430266</v>
      </c>
      <c r="CW17" s="20">
        <f t="shared" si="13"/>
        <v>79.492623892016056</v>
      </c>
      <c r="CX17" s="59">
        <f t="shared" si="14"/>
        <v>372.82595722534938</v>
      </c>
      <c r="CY17" s="59">
        <f ca="1">AVERAGE(OFFSET($CX$3,0,0,'Données projet'!$E$13+1,1))-AVERAGE(OFFSET($H$3,0,0,'Données projet'!$E$13+1,1))</f>
        <v>168.08890945052406</v>
      </c>
      <c r="CZ17" s="59">
        <f t="shared" si="42"/>
        <v>182.52462557642343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8.526315789473685</v>
      </c>
      <c r="DO17" s="12">
        <f>IF('Données projet'!$A$166&gt;35,DO16+DN17-DW16,IF(A17&lt;'Données projet'!$A$166,$DL$205^A17,IF(A17='Données projet'!$A$166,'Données projet'!$B$166,DO16+DN17-DW16)))</f>
        <v>42.468184448710481</v>
      </c>
      <c r="DP17" s="17">
        <f>DO17*VLOOKUP('Données projet'!$B$14,Paramètres!$A$1:$I$89,3,0)*VLOOKUP('Données projet'!$B$14,Paramètres!$A$1:$I$89,5,0)</f>
        <v>23.739715106829159</v>
      </c>
      <c r="DQ17" s="13">
        <f t="shared" si="43"/>
        <v>7.5669736064602473</v>
      </c>
      <c r="DR17" s="20">
        <f t="shared" si="16"/>
        <v>54.525816175645708</v>
      </c>
      <c r="DS17" s="59">
        <f t="shared" si="17"/>
        <v>347.85914950897904</v>
      </c>
      <c r="DT17" s="59">
        <f ca="1">AVERAGE(OFFSET($DS$3,0,0,'Données projet'!$E$14+1,1))-AVERAGE(OFFSET($H$3,0,0,'Données projet'!$E$14+1,1))</f>
        <v>355.23615781077405</v>
      </c>
      <c r="DU17" s="59">
        <f t="shared" si="44"/>
        <v>448.84541017639367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2.1523809523809527</v>
      </c>
      <c r="EJ17" s="12">
        <f>IF('Données projet'!$A$192&gt;35,EJ16+EI17-ER16,IF(A17&lt;'Données projet'!$A$192,$EG$205^A17,IF(A17='Données projet'!$A$192,'Données projet'!$B$192,EJ16+EI17-ER16)))</f>
        <v>30.133333333333329</v>
      </c>
      <c r="EK17" s="17">
        <f>EJ17*VLOOKUP('Données projet'!$B$15,Paramètres!$A$1:$I$89,3,0)*VLOOKUP('Données projet'!$B$15,Paramètres!$A$1:$I$89,5,0)</f>
        <v>32.43551999999999</v>
      </c>
      <c r="EL17" s="13">
        <f t="shared" si="45"/>
        <v>9.9698839022370525</v>
      </c>
      <c r="EM17" s="20">
        <f t="shared" si="19"/>
        <v>73.856078463062843</v>
      </c>
      <c r="EN17" s="59">
        <f t="shared" si="20"/>
        <v>367.18941179639614</v>
      </c>
      <c r="EO17" s="59">
        <f ca="1">AVERAGE(OFFSET($EN$3,0,0,'Données projet'!$E$15+1,1))-AVERAGE(OFFSET($H$3,0,0,'Données projet'!$E$15+1,1))</f>
        <v>130.76477588601989</v>
      </c>
      <c r="EP17" s="59">
        <f t="shared" si="46"/>
        <v>94.034011511502172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8.526315789473685</v>
      </c>
      <c r="FE17" s="12">
        <f>IF('Données projet'!$A$218&gt;35,FE16+FD17-FM16,IF(A17&lt;'Données projet'!$A$218,$FB$205^A17,IF(A17='Données projet'!$A$218,'Données projet'!$B$218,FE16+FD17-FM16)))</f>
        <v>42.468184448710481</v>
      </c>
      <c r="FF17" s="17">
        <f>FE17*VLOOKUP('Données projet'!$B$16,Paramètres!$A$1:$I$89,3,0)*VLOOKUP('Données projet'!$B$16,Paramètres!$A$1:$I$89,5,0)</f>
        <v>19.32302392416327</v>
      </c>
      <c r="FG17" s="13">
        <f t="shared" si="47"/>
        <v>6.3085277211649879</v>
      </c>
      <c r="FH17" s="20">
        <f t="shared" si="22"/>
        <v>44.641619115613373</v>
      </c>
      <c r="FI17" s="59">
        <f t="shared" si="23"/>
        <v>337.97495244894668</v>
      </c>
      <c r="FJ17" s="59">
        <f ca="1">AVERAGE(OFFSET($FI$3,0,0,'Données projet'!$E$16+1,1))-AVERAGE(OFFSET($H$3,0,0,'Données projet'!$E$16+1,1))</f>
        <v>279.43442619866738</v>
      </c>
      <c r="FK17" s="59">
        <f t="shared" si="48"/>
        <v>355.95192241448217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15.25</v>
      </c>
      <c r="N18" s="13">
        <f>IF('Données projet'!$A$36&gt;35,N17+M18-V17,IF(A18&lt;'Données projet'!$A$36,$K$205^A18,IF(A18='Données projet'!$A$36,'Données projet'!$B$36,N17+M18-V17)))</f>
        <v>91.75</v>
      </c>
      <c r="O18" s="13">
        <f>N18*VLOOKUP('Données projet'!$B$9,Paramètres!$A$1:$I$89,3,0)*VLOOKUP('Données projet'!$B$9,Paramètres!$A$1:$I$89,5,0)</f>
        <v>54.866500000000002</v>
      </c>
      <c r="P18" s="13">
        <f t="shared" si="33"/>
        <v>15.863680596172721</v>
      </c>
      <c r="Q18" s="20">
        <f t="shared" si="2"/>
        <v>123.18839787166746</v>
      </c>
      <c r="R18" s="59">
        <f t="shared" si="0"/>
        <v>416.52173120500078</v>
      </c>
      <c r="S18" s="59">
        <f ca="1">AVERAGE(OFFSET($R$3,0,0,'Données projet'!$E$9+1,1))-AVERAGE(OFFSET($H$3,0,0,'Données projet'!$E$9+1,1))</f>
        <v>227.89848316900191</v>
      </c>
      <c r="T18" s="59">
        <f t="shared" si="34"/>
        <v>239.85955661394541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3.6111111111111112</v>
      </c>
      <c r="AI18" s="13">
        <f>IF('Données projet'!$A$62&gt;35,AI17+AH18-AQ17,IF(A18&lt;'Données projet'!$A$62,$AF$205^A18,IF(A18='Données projet'!$A$62,'Données projet'!$B$62,AI17+AH18-AQ17)))</f>
        <v>54.166666666666686</v>
      </c>
      <c r="AJ18" s="13">
        <f>AI18*VLOOKUP('Données projet'!$B$10,Paramètres!$A$1:$I$89,3,0)*VLOOKUP('Données projet'!$B$10,Paramètres!$A$1:$I$89,5,0)</f>
        <v>49.010000000000012</v>
      </c>
      <c r="AK18" s="13">
        <f t="shared" si="35"/>
        <v>14.357791026411833</v>
      </c>
      <c r="AL18" s="20">
        <f t="shared" si="4"/>
        <v>110.36556937100062</v>
      </c>
      <c r="AM18" s="59">
        <f t="shared" si="5"/>
        <v>403.69890270433393</v>
      </c>
      <c r="AN18" s="59">
        <f ca="1">AVERAGE(OFFSET($AM$3,0,0,'Données projet'!$E$10+1,1))-AVERAGE(OFFSET($H$3,0,0,'Données projet'!$E$10+1,1))</f>
        <v>215.7418266360167</v>
      </c>
      <c r="AO18" s="59">
        <f t="shared" si="36"/>
        <v>155.78420008229949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2.6904761904761907</v>
      </c>
      <c r="BD18" s="12">
        <f>IF('Données projet'!$A$88&gt;35,BD17+BC18-BL17,IF(A18&lt;'Données projet'!$A$88,$BA$205^A18,IF(A18='Données projet'!$A$88,'Données projet'!$B$88,BD17+BC18-BL17)))</f>
        <v>40.357142857142854</v>
      </c>
      <c r="BE18" s="13">
        <f>BD18*VLOOKUP('Données projet'!$B$11,Paramètres!$A$1:$I$89,3,0)*VLOOKUP('Données projet'!$B$11,Paramètres!$A$1:$I$89,5,0)</f>
        <v>40.922142857142859</v>
      </c>
      <c r="BF18" s="13">
        <f t="shared" si="37"/>
        <v>12.242735817378851</v>
      </c>
      <c r="BG18" s="20">
        <f t="shared" si="7"/>
        <v>92.595497024791982</v>
      </c>
      <c r="BH18" s="59">
        <f t="shared" si="8"/>
        <v>385.92883035812531</v>
      </c>
      <c r="BI18" s="59">
        <f ca="1">AVERAGE(OFFSET($BH$3,0,0,'Données projet'!$E$11+1,1))-AVERAGE(OFFSET($H$3,0,0,'Données projet'!$E$11+1,1))</f>
        <v>179.53921263314447</v>
      </c>
      <c r="BJ18" s="59">
        <f t="shared" si="38"/>
        <v>120.81513023281337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7.9</v>
      </c>
      <c r="BY18" s="12">
        <f>IF('Données projet'!$A$114&gt;35,BY17+BX18-CG17,IF(A18&lt;'Données projet'!$A$114,$BV$205^A18,IF(A18='Données projet'!$A$114,'Données projet'!$B$114,BY17+BX18-CG17)))</f>
        <v>44.564887571004775</v>
      </c>
      <c r="BZ18" s="13">
        <f>BY18*VLOOKUP('Données projet'!$B$12,Paramètres!$A$1:$I$89,3,0)*VLOOKUP('Données projet'!$B$12,Paramètres!$A$1:$I$89,5,0)</f>
        <v>20.856367383230236</v>
      </c>
      <c r="CA18" s="13">
        <f t="shared" si="39"/>
        <v>6.7488744993944465</v>
      </c>
      <c r="CB18" s="20">
        <f t="shared" si="10"/>
        <v>48.079129612237985</v>
      </c>
      <c r="CC18" s="59">
        <f t="shared" si="11"/>
        <v>341.41246294557129</v>
      </c>
      <c r="CD18" s="59">
        <f ca="1">AVERAGE(OFFSET($CC$3,0,0,'Données projet'!$E$12+1,1))-AVERAGE(OFFSET($H$3,0,0,'Données projet'!$E$12+1,1))</f>
        <v>310.06530483941287</v>
      </c>
      <c r="CE18" s="59">
        <f t="shared" si="40"/>
        <v>170.13425794309376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11.25</v>
      </c>
      <c r="CT18" s="12">
        <f>IF('Données projet'!$A$140&gt;35,CT17+CS18-DB17,IF(A18&lt;'Données projet'!$A$140,$CQ$205^A18,IF(A18='Données projet'!$A$140,'Données projet'!$B$140,CT17+CS18-DB17)))</f>
        <v>69.75</v>
      </c>
      <c r="CU18" s="17">
        <f>CT18*VLOOKUP('Données projet'!$B$13,Paramètres!$A$1:$I$89,3,0)*VLOOKUP('Données projet'!$B$13,Paramètres!$A$1:$I$89,5,0)</f>
        <v>41.710500000000003</v>
      </c>
      <c r="CV18" s="13">
        <f t="shared" si="41"/>
        <v>12.450904347349248</v>
      </c>
      <c r="CW18" s="20">
        <f t="shared" si="13"/>
        <v>94.331112571633255</v>
      </c>
      <c r="CX18" s="59">
        <f t="shared" si="14"/>
        <v>387.66444590496656</v>
      </c>
      <c r="CY18" s="59">
        <f ca="1">AVERAGE(OFFSET($CX$3,0,0,'Données projet'!$E$13+1,1))-AVERAGE(OFFSET($H$3,0,0,'Données projet'!$E$13+1,1))</f>
        <v>168.08890945052406</v>
      </c>
      <c r="CZ18" s="59">
        <f t="shared" si="42"/>
        <v>182.52462557642343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8.526315789473685</v>
      </c>
      <c r="DO18" s="12">
        <f>IF('Données projet'!$A$166&gt;35,DO17+DN18-DW17,IF(A18&lt;'Données projet'!$A$166,$DL$205^A18,IF(A18='Données projet'!$A$166,'Données projet'!$B$166,DO17+DN18-DW17)))</f>
        <v>55.507792846923991</v>
      </c>
      <c r="DP18" s="17">
        <f>DO18*VLOOKUP('Données projet'!$B$14,Paramètres!$A$1:$I$89,3,0)*VLOOKUP('Données projet'!$B$14,Paramètres!$A$1:$I$89,5,0)</f>
        <v>31.028856201430514</v>
      </c>
      <c r="DQ18" s="13">
        <f t="shared" si="43"/>
        <v>9.5868580371693835</v>
      </c>
      <c r="DR18" s="20">
        <f t="shared" si="16"/>
        <v>70.739035632228152</v>
      </c>
      <c r="DS18" s="59">
        <f t="shared" si="17"/>
        <v>364.07236896556145</v>
      </c>
      <c r="DT18" s="59">
        <f ca="1">AVERAGE(OFFSET($DS$3,0,0,'Données projet'!$E$14+1,1))-AVERAGE(OFFSET($H$3,0,0,'Données projet'!$E$14+1,1))</f>
        <v>355.23615781077405</v>
      </c>
      <c r="DU18" s="59">
        <f t="shared" si="44"/>
        <v>448.84541017639367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2.1523809523809527</v>
      </c>
      <c r="EJ18" s="12">
        <f>IF('Données projet'!$A$192&gt;35,EJ17+EI18-ER17,IF(A18&lt;'Données projet'!$A$192,$EG$205^A18,IF(A18='Données projet'!$A$192,'Données projet'!$B$192,EJ17+EI18-ER17)))</f>
        <v>32.285714285714285</v>
      </c>
      <c r="EK18" s="17">
        <f>EJ18*VLOOKUP('Données projet'!$B$15,Paramètres!$A$1:$I$89,3,0)*VLOOKUP('Données projet'!$B$15,Paramètres!$A$1:$I$89,5,0)</f>
        <v>34.752342857142857</v>
      </c>
      <c r="EL18" s="13">
        <f t="shared" si="45"/>
        <v>10.596577169577289</v>
      </c>
      <c r="EM18" s="20">
        <f t="shared" si="19"/>
        <v>78.982702379870901</v>
      </c>
      <c r="EN18" s="59">
        <f t="shared" si="20"/>
        <v>372.3160357132042</v>
      </c>
      <c r="EO18" s="59">
        <f ca="1">AVERAGE(OFFSET($EN$3,0,0,'Données projet'!$E$15+1,1))-AVERAGE(OFFSET($H$3,0,0,'Données projet'!$E$15+1,1))</f>
        <v>130.76477588601989</v>
      </c>
      <c r="EP18" s="59">
        <f t="shared" si="46"/>
        <v>94.034011511502172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8.526315789473685</v>
      </c>
      <c r="FE18" s="12">
        <f>IF('Données projet'!$A$218&gt;35,FE17+FD18-FM17,IF(A18&lt;'Données projet'!$A$218,$FB$205^A18,IF(A18='Données projet'!$A$218,'Données projet'!$B$218,FE17+FD18-FM17)))</f>
        <v>55.507792846923991</v>
      </c>
      <c r="FF18" s="17">
        <f>FE18*VLOOKUP('Données projet'!$B$16,Paramètres!$A$1:$I$89,3,0)*VLOOKUP('Données projet'!$B$16,Paramètres!$A$1:$I$89,5,0)</f>
        <v>25.256045745350413</v>
      </c>
      <c r="FG18" s="13">
        <f t="shared" si="47"/>
        <v>7.9924898422696886</v>
      </c>
      <c r="FH18" s="20">
        <f t="shared" si="22"/>
        <v>57.907866148438337</v>
      </c>
      <c r="FI18" s="59">
        <f t="shared" si="23"/>
        <v>351.24119948177167</v>
      </c>
      <c r="FJ18" s="59">
        <f ca="1">AVERAGE(OFFSET($FI$3,0,0,'Données projet'!$E$16+1,1))-AVERAGE(OFFSET($H$3,0,0,'Données projet'!$E$16+1,1))</f>
        <v>279.43442619866738</v>
      </c>
      <c r="FK18" s="59">
        <f t="shared" si="48"/>
        <v>355.95192241448217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107</v>
      </c>
      <c r="L19" s="12">
        <f>VLOOKUP(A19,'Données projet'!$A$35:$I$55,9,0)</f>
        <v>15.25</v>
      </c>
      <c r="M19" s="12">
        <f t="array" ref="M19">INDEX(L:L,MIN(IF(ISNUMBER(L19:L215),ROW(L19:L215),"")))</f>
        <v>15.25</v>
      </c>
      <c r="N19" s="13">
        <f>IF('Données projet'!$A$36&gt;35,N18+M19-V18,IF(A19&lt;'Données projet'!$A$36,$K$205^A19,IF(A19='Données projet'!$A$36,'Données projet'!$B$36,N18+M19-V18)))</f>
        <v>107</v>
      </c>
      <c r="O19" s="13">
        <f>N19*VLOOKUP('Données projet'!$B$9,Paramètres!$A$1:$I$89,3,0)*VLOOKUP('Données projet'!$B$9,Paramètres!$A$1:$I$89,5,0)</f>
        <v>63.986000000000004</v>
      </c>
      <c r="P19" s="13">
        <f t="shared" si="33"/>
        <v>18.172251427996663</v>
      </c>
      <c r="Q19" s="20">
        <f t="shared" si="2"/>
        <v>143.09228790376088</v>
      </c>
      <c r="R19" s="59">
        <f t="shared" si="0"/>
        <v>436.42562123709422</v>
      </c>
      <c r="S19" s="59">
        <f ca="1">AVERAGE(OFFSET($R$3,0,0,'Données projet'!$E$9+1,1))-AVERAGE(OFFSET($H$3,0,0,'Données projet'!$E$9+1,1))</f>
        <v>227.89848316900191</v>
      </c>
      <c r="T19" s="59">
        <f t="shared" si="34"/>
        <v>239.85955661394541</v>
      </c>
      <c r="U19" s="15">
        <f>IF(ISNA(VLOOKUP(A19,'Données projet'!$A$35:$I$55,3,0)),0,VLOOKUP(A19,'Données projet'!$A$35:$I$55,3,0))</f>
        <v>1</v>
      </c>
      <c r="V19" s="15">
        <f>IF(ISNA(VLOOKUP(A19,'Données projet'!$A$35:$I$55,4,0)),0,VLOOKUP(A19,'Données projet'!$A$35:$I$55,4,0))</f>
        <v>25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0.25200000000000006</v>
      </c>
      <c r="Y19" s="16">
        <f>IF(ISNA(VLOOKUP(A19,'Données projet'!$A$35:$I$55,7,0)),0%,VLOOKUP(A19,'Données projet'!$A$35:$I$55,7,0))</f>
        <v>0.44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4.978021084465202</v>
      </c>
      <c r="AB19" s="21">
        <f>EXP(-LN(2)/2)*AB18+(1-EXP(-LN(2)/2))/(LN(2)/2)*V19*Y19*VLOOKUP('Données projet'!$B$9,Paramètres!$A$1:$I$89,3,0)*0.475*44/12</f>
        <v>7.4478240531290929</v>
      </c>
      <c r="AC19" s="22">
        <f t="shared" si="3"/>
        <v>12.425845137594294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3.6111111111111112</v>
      </c>
      <c r="AI19" s="13">
        <f>IF('Données projet'!$A$62&gt;35,AI18+AH19-AQ18,IF(A19&lt;'Données projet'!$A$62,$AF$205^A19,IF(A19='Données projet'!$A$62,'Données projet'!$B$62,AI18+AH19-AQ18)))</f>
        <v>57.7777777777778</v>
      </c>
      <c r="AJ19" s="13">
        <f>AI19*VLOOKUP('Données projet'!$B$10,Paramètres!$A$1:$I$89,3,0)*VLOOKUP('Données projet'!$B$10,Paramètres!$A$1:$I$89,5,0)</f>
        <v>52.277333333333345</v>
      </c>
      <c r="AK19" s="13">
        <f t="shared" si="35"/>
        <v>15.200357705321389</v>
      </c>
      <c r="AL19" s="20">
        <f t="shared" si="4"/>
        <v>117.52364522565699</v>
      </c>
      <c r="AM19" s="59">
        <f t="shared" si="5"/>
        <v>410.85697855899031</v>
      </c>
      <c r="AN19" s="59">
        <f ca="1">AVERAGE(OFFSET($AM$3,0,0,'Données projet'!$E$10+1,1))-AVERAGE(OFFSET($H$3,0,0,'Données projet'!$E$10+1,1))</f>
        <v>215.7418266360167</v>
      </c>
      <c r="AO19" s="59">
        <f t="shared" si="36"/>
        <v>155.78420008229949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2.6904761904761907</v>
      </c>
      <c r="BD19" s="12">
        <f>IF('Données projet'!$A$88&gt;35,BD18+BC19-BL18,IF(A19&lt;'Données projet'!$A$88,$BA$205^A19,IF(A19='Données projet'!$A$88,'Données projet'!$B$88,BD18+BC19-BL18)))</f>
        <v>43.047619047619044</v>
      </c>
      <c r="BE19" s="13">
        <f>BD19*VLOOKUP('Données projet'!$B$11,Paramètres!$A$1:$I$89,3,0)*VLOOKUP('Données projet'!$B$11,Paramètres!$A$1:$I$89,5,0)</f>
        <v>43.650285714285715</v>
      </c>
      <c r="BF19" s="13">
        <f t="shared" si="37"/>
        <v>12.961183469907045</v>
      </c>
      <c r="BG19" s="20">
        <f t="shared" si="7"/>
        <v>98.598308829135718</v>
      </c>
      <c r="BH19" s="59">
        <f t="shared" si="8"/>
        <v>391.93164216246902</v>
      </c>
      <c r="BI19" s="59">
        <f ca="1">AVERAGE(OFFSET($BH$3,0,0,'Données projet'!$E$11+1,1))-AVERAGE(OFFSET($H$3,0,0,'Données projet'!$E$11+1,1))</f>
        <v>179.53921263314447</v>
      </c>
      <c r="BJ19" s="59">
        <f t="shared" si="38"/>
        <v>120.81513023281337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7.9</v>
      </c>
      <c r="BY19" s="12">
        <f>IF('Données projet'!$A$114&gt;35,BY18+BX19-CG18,IF(A19&lt;'Données projet'!$A$114,$BV$205^A19,IF(A19='Données projet'!$A$114,'Données projet'!$B$114,BY18+BX19-CG18)))</f>
        <v>57.401820934596167</v>
      </c>
      <c r="BZ19" s="13">
        <f>BY19*VLOOKUP('Données projet'!$B$12,Paramètres!$A$1:$I$89,3,0)*VLOOKUP('Données projet'!$B$12,Paramètres!$A$1:$I$89,5,0)</f>
        <v>26.864052197391008</v>
      </c>
      <c r="CA19" s="13">
        <f t="shared" si="39"/>
        <v>8.4404970471001413</v>
      </c>
      <c r="CB19" s="20">
        <f t="shared" si="10"/>
        <v>61.488756600822086</v>
      </c>
      <c r="CC19" s="59">
        <f t="shared" si="11"/>
        <v>354.82208993415543</v>
      </c>
      <c r="CD19" s="59">
        <f ca="1">AVERAGE(OFFSET($CC$3,0,0,'Données projet'!$E$12+1,1))-AVERAGE(OFFSET($H$3,0,0,'Données projet'!$E$12+1,1))</f>
        <v>310.06530483941287</v>
      </c>
      <c r="CE19" s="59">
        <f t="shared" si="40"/>
        <v>170.13425794309376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>
        <f>VLOOKUP(A19,'Données projet'!$A$139:$I$159,2,0)</f>
        <v>81</v>
      </c>
      <c r="CR19" s="12">
        <f>VLOOKUP(A19,'Données projet'!$A$139:$I$159,9,0)</f>
        <v>11.25</v>
      </c>
      <c r="CS19" s="12">
        <f t="array" ref="CS19">INDEX(CR:CR,MIN(IF(ISNUMBER(CR19:CR215),ROW(CR19:CR215),"")))</f>
        <v>11.25</v>
      </c>
      <c r="CT19" s="12">
        <f>IF('Données projet'!$A$140&gt;35,CT18+CS19-DB18,IF(A19&lt;'Données projet'!$A$140,$CQ$205^A19,IF(A19='Données projet'!$A$140,'Données projet'!$B$140,CT18+CS19-DB18)))</f>
        <v>81</v>
      </c>
      <c r="CU19" s="17">
        <f>CT19*VLOOKUP('Données projet'!$B$13,Paramètres!$A$1:$I$89,3,0)*VLOOKUP('Données projet'!$B$13,Paramètres!$A$1:$I$89,5,0)</f>
        <v>48.438000000000009</v>
      </c>
      <c r="CV19" s="13">
        <f t="shared" si="41"/>
        <v>14.209624244846971</v>
      </c>
      <c r="CW19" s="20">
        <f t="shared" si="13"/>
        <v>109.11127889310849</v>
      </c>
      <c r="CX19" s="59">
        <f t="shared" si="14"/>
        <v>402.44461222644179</v>
      </c>
      <c r="CY19" s="59">
        <f ca="1">AVERAGE(OFFSET($CX$3,0,0,'Données projet'!$E$13+1,1))-AVERAGE(OFFSET($H$3,0,0,'Données projet'!$E$13+1,1))</f>
        <v>168.08890945052406</v>
      </c>
      <c r="CZ19" s="59">
        <f t="shared" si="42"/>
        <v>182.52462557642343</v>
      </c>
      <c r="DA19" s="15">
        <f>IF(ISNA(VLOOKUP(A19,'Données projet'!$A$139:$I$159,3,0)),0,VLOOKUP(A19,'Données projet'!$A$139:$I$159,3,0))</f>
        <v>1</v>
      </c>
      <c r="DB19" s="15">
        <f>IF(ISNA(VLOOKUP(A19,'Données projet'!$A$139:$I$159,4,0)),0,VLOOKUP(A19,'Données projet'!$A$139:$I$159,4,0))</f>
        <v>15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0.25200000000000006</v>
      </c>
      <c r="DE19" s="16">
        <f>IF(ISNA(VLOOKUP(A19,'Données projet'!$A$139:$I$159,7,0)),0%,VLOOKUP(A19,'Données projet'!$A$139:$I$159,7,0))</f>
        <v>0.44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2.9868126506791217</v>
      </c>
      <c r="DH19" s="21">
        <f>EXP(-LN(2)/2)*DH18+(1-EXP(-LN(2)/2))/(LN(2)/2)*DB19*DE19*VLOOKUP('Données projet'!$B$13,Paramètres!$A$1:$I$89,3,0)*0.475*44/12</f>
        <v>4.4686944318774549</v>
      </c>
      <c r="DI19" s="22">
        <f t="shared" si="15"/>
        <v>7.4555070825565766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8.526315789473685</v>
      </c>
      <c r="DO19" s="12">
        <f>IF('Données projet'!$A$166&gt;35,DO18+DN19-DW18,IF(A19&lt;'Données projet'!$A$166,$DL$205^A19,IF(A19='Données projet'!$A$166,'Données projet'!$B$166,DO18+DN19-DW18)))</f>
        <v>72.551136968384853</v>
      </c>
      <c r="DP19" s="17">
        <f>DO19*VLOOKUP('Données projet'!$B$14,Paramètres!$A$1:$I$89,3,0)*VLOOKUP('Données projet'!$B$14,Paramètres!$A$1:$I$89,5,0)</f>
        <v>40.55608556532713</v>
      </c>
      <c r="DQ19" s="13">
        <f t="shared" si="43"/>
        <v>12.145918805157919</v>
      </c>
      <c r="DR19" s="20">
        <f t="shared" si="16"/>
        <v>91.78932427859479</v>
      </c>
      <c r="DS19" s="59">
        <f t="shared" si="17"/>
        <v>385.1226576119281</v>
      </c>
      <c r="DT19" s="59">
        <f ca="1">AVERAGE(OFFSET($DS$3,0,0,'Données projet'!$E$14+1,1))-AVERAGE(OFFSET($H$3,0,0,'Données projet'!$E$14+1,1))</f>
        <v>355.23615781077405</v>
      </c>
      <c r="DU19" s="59">
        <f t="shared" si="44"/>
        <v>448.84541017639367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2.1523809523809527</v>
      </c>
      <c r="EJ19" s="12">
        <f>IF('Données projet'!$A$192&gt;35,EJ18+EI19-ER18,IF(A19&lt;'Données projet'!$A$192,$EG$205^A19,IF(A19='Données projet'!$A$192,'Données projet'!$B$192,EJ18+EI19-ER18)))</f>
        <v>34.438095238095237</v>
      </c>
      <c r="EK19" s="17">
        <f>EJ19*VLOOKUP('Données projet'!$B$15,Paramètres!$A$1:$I$89,3,0)*VLOOKUP('Données projet'!$B$15,Paramètres!$A$1:$I$89,5,0)</f>
        <v>37.06916571428571</v>
      </c>
      <c r="EL19" s="13">
        <f t="shared" si="45"/>
        <v>11.218422327871867</v>
      </c>
      <c r="EM19" s="20">
        <f t="shared" si="19"/>
        <v>84.10088250675777</v>
      </c>
      <c r="EN19" s="59">
        <f t="shared" si="20"/>
        <v>377.4342158400911</v>
      </c>
      <c r="EO19" s="59">
        <f ca="1">AVERAGE(OFFSET($EN$3,0,0,'Données projet'!$E$15+1,1))-AVERAGE(OFFSET($H$3,0,0,'Données projet'!$E$15+1,1))</f>
        <v>130.76477588601989</v>
      </c>
      <c r="EP19" s="59">
        <f t="shared" si="46"/>
        <v>94.034011511502172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8.526315789473685</v>
      </c>
      <c r="FE19" s="12">
        <f>IF('Données projet'!$A$218&gt;35,FE18+FD19-FM18,IF(A19&lt;'Données projet'!$A$218,$FB$205^A19,IF(A19='Données projet'!$A$218,'Données projet'!$B$218,FE18+FD19-FM18)))</f>
        <v>72.551136968384853</v>
      </c>
      <c r="FF19" s="17">
        <f>FE19*VLOOKUP('Données projet'!$B$16,Paramètres!$A$1:$I$89,3,0)*VLOOKUP('Données projet'!$B$16,Paramètres!$A$1:$I$89,5,0)</f>
        <v>33.010767320615109</v>
      </c>
      <c r="FG19" s="13">
        <f t="shared" si="47"/>
        <v>10.125959130601647</v>
      </c>
      <c r="FH19" s="20">
        <f t="shared" si="22"/>
        <v>75.129798569202521</v>
      </c>
      <c r="FI19" s="59">
        <f t="shared" si="23"/>
        <v>368.46313190253585</v>
      </c>
      <c r="FJ19" s="59">
        <f ca="1">AVERAGE(OFFSET($FI$3,0,0,'Données projet'!$E$16+1,1))-AVERAGE(OFFSET($H$3,0,0,'Données projet'!$E$16+1,1))</f>
        <v>279.43442619866738</v>
      </c>
      <c r="FK19" s="59">
        <f t="shared" si="48"/>
        <v>355.95192241448217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17.25</v>
      </c>
      <c r="N20" s="13">
        <f>IF('Données projet'!$A$36&gt;35,N19+M20-V19,IF(A20&lt;'Données projet'!$A$36,$K$205^A20,IF(A20='Données projet'!$A$36,'Données projet'!$B$36,N19+M20-V19)))</f>
        <v>99.25</v>
      </c>
      <c r="O20" s="13">
        <f>N20*VLOOKUP('Données projet'!$B$9,Paramètres!$A$1:$I$89,3,0)*VLOOKUP('Données projet'!$B$9,Paramètres!$A$1:$I$89,5,0)</f>
        <v>59.351500000000001</v>
      </c>
      <c r="P20" s="13">
        <f t="shared" si="33"/>
        <v>17.004204309648518</v>
      </c>
      <c r="Q20" s="20">
        <f t="shared" si="2"/>
        <v>132.98618500597115</v>
      </c>
      <c r="R20" s="59">
        <f t="shared" si="0"/>
        <v>426.31951833930447</v>
      </c>
      <c r="S20" s="59">
        <f ca="1">AVERAGE(OFFSET($R$3,0,0,'Données projet'!$E$9+1,1))-AVERAGE(OFFSET($H$3,0,0,'Données projet'!$E$9+1,1))</f>
        <v>227.89848316900191</v>
      </c>
      <c r="T20" s="59">
        <f t="shared" si="34"/>
        <v>239.85955661394541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4.8418968361277495</v>
      </c>
      <c r="AB20" s="21">
        <f>EXP(-LN(2)/2)*AB19+(1-EXP(-LN(2)/2))/(LN(2)/2)*V20*Y20*VLOOKUP('Données projet'!$B$9,Paramètres!$A$1:$I$89,3,0)*0.475*44/12</f>
        <v>5.2664068930518591</v>
      </c>
      <c r="AC20" s="22">
        <f t="shared" si="3"/>
        <v>10.108303729179609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3.6111111111111112</v>
      </c>
      <c r="AI20" s="13">
        <f>IF('Données projet'!$A$62&gt;35,AI19+AH20-AQ19,IF(A20&lt;'Données projet'!$A$62,$AF$205^A20,IF(A20='Données projet'!$A$62,'Données projet'!$B$62,AI19+AH20-AQ19)))</f>
        <v>61.388888888888914</v>
      </c>
      <c r="AJ20" s="13">
        <f>AI20*VLOOKUP('Données projet'!$B$10,Paramètres!$A$1:$I$89,3,0)*VLOOKUP('Données projet'!$B$10,Paramètres!$A$1:$I$89,5,0)</f>
        <v>55.544666666666686</v>
      </c>
      <c r="AK20" s="13">
        <f t="shared" si="35"/>
        <v>16.036812755173745</v>
      </c>
      <c r="AL20" s="20">
        <f t="shared" si="4"/>
        <v>124.67107665970541</v>
      </c>
      <c r="AM20" s="59">
        <f t="shared" si="5"/>
        <v>418.00440999303873</v>
      </c>
      <c r="AN20" s="59">
        <f ca="1">AVERAGE(OFFSET($AM$3,0,0,'Données projet'!$E$10+1,1))-AVERAGE(OFFSET($H$3,0,0,'Données projet'!$E$10+1,1))</f>
        <v>215.7418266360167</v>
      </c>
      <c r="AO20" s="59">
        <f t="shared" si="36"/>
        <v>155.78420008229949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2.6904761904761907</v>
      </c>
      <c r="BD20" s="12">
        <f>IF('Données projet'!$A$88&gt;35,BD19+BC20-BL19,IF(A20&lt;'Données projet'!$A$88,$BA$205^A20,IF(A20='Données projet'!$A$88,'Données projet'!$B$88,BD19+BC20-BL19)))</f>
        <v>45.738095238095234</v>
      </c>
      <c r="BE20" s="13">
        <f>BD20*VLOOKUP('Données projet'!$B$11,Paramètres!$A$1:$I$89,3,0)*VLOOKUP('Données projet'!$B$11,Paramètres!$A$1:$I$89,5,0)</f>
        <v>46.378428571428572</v>
      </c>
      <c r="BF20" s="13">
        <f t="shared" si="37"/>
        <v>13.674419801290952</v>
      </c>
      <c r="BG20" s="20">
        <f t="shared" si="7"/>
        <v>104.59204424915316</v>
      </c>
      <c r="BH20" s="59">
        <f t="shared" si="8"/>
        <v>397.92537758248648</v>
      </c>
      <c r="BI20" s="59">
        <f ca="1">AVERAGE(OFFSET($BH$3,0,0,'Données projet'!$E$11+1,1))-AVERAGE(OFFSET($H$3,0,0,'Données projet'!$E$11+1,1))</f>
        <v>179.53921263314447</v>
      </c>
      <c r="BJ20" s="59">
        <f t="shared" si="38"/>
        <v>120.81513023281337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7.9</v>
      </c>
      <c r="BY20" s="12">
        <f>IF('Données projet'!$A$114&gt;35,BY19+BX20-CG19,IF(A20&lt;'Données projet'!$A$114,$BV$205^A20,IF(A20='Données projet'!$A$114,'Données projet'!$B$114,BY19+BX20-CG19)))</f>
        <v>73.936437994095741</v>
      </c>
      <c r="BZ20" s="13">
        <f>BY20*VLOOKUP('Données projet'!$B$12,Paramètres!$A$1:$I$89,3,0)*VLOOKUP('Données projet'!$B$12,Paramètres!$A$1:$I$89,5,0)</f>
        <v>34.602252981236802</v>
      </c>
      <c r="CA20" s="13">
        <f t="shared" si="39"/>
        <v>10.556129086190376</v>
      </c>
      <c r="CB20" s="20">
        <f t="shared" si="10"/>
        <v>78.650848767435647</v>
      </c>
      <c r="CC20" s="59">
        <f t="shared" si="11"/>
        <v>371.98418210076898</v>
      </c>
      <c r="CD20" s="59">
        <f ca="1">AVERAGE(OFFSET($CC$3,0,0,'Données projet'!$E$12+1,1))-AVERAGE(OFFSET($H$3,0,0,'Données projet'!$E$12+1,1))</f>
        <v>310.06530483941287</v>
      </c>
      <c r="CE20" s="59">
        <f t="shared" si="40"/>
        <v>170.13425794309376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13.25</v>
      </c>
      <c r="CT20" s="12">
        <f>IF('Données projet'!$A$140&gt;35,CT19+CS20-DB19,IF(A20&lt;'Données projet'!$A$140,$CQ$205^A20,IF(A20='Données projet'!$A$140,'Données projet'!$B$140,CT19+CS20-DB19)))</f>
        <v>79.25</v>
      </c>
      <c r="CU20" s="17">
        <f>CT20*VLOOKUP('Données projet'!$B$13,Paramètres!$A$1:$I$89,3,0)*VLOOKUP('Données projet'!$B$13,Paramètres!$A$1:$I$89,5,0)</f>
        <v>47.391500000000001</v>
      </c>
      <c r="CV20" s="13">
        <f t="shared" si="41"/>
        <v>13.938016900926096</v>
      </c>
      <c r="CW20" s="20">
        <f t="shared" si="13"/>
        <v>106.81557526911295</v>
      </c>
      <c r="CX20" s="59">
        <f t="shared" si="14"/>
        <v>400.14890860244628</v>
      </c>
      <c r="CY20" s="59">
        <f ca="1">AVERAGE(OFFSET($CX$3,0,0,'Données projet'!$E$13+1,1))-AVERAGE(OFFSET($H$3,0,0,'Données projet'!$E$13+1,1))</f>
        <v>168.08890945052406</v>
      </c>
      <c r="CZ20" s="59">
        <f t="shared" si="42"/>
        <v>182.52462557642343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2.9051381016766502</v>
      </c>
      <c r="DH20" s="21">
        <f>EXP(-LN(2)/2)*DH19+(1-EXP(-LN(2)/2))/(LN(2)/2)*DB20*DE20*VLOOKUP('Données projet'!$B$13,Paramètres!$A$1:$I$89,3,0)*0.475*44/12</f>
        <v>3.1598441358311149</v>
      </c>
      <c r="DI20" s="22">
        <f t="shared" si="15"/>
        <v>6.0649822375077651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8.526315789473685</v>
      </c>
      <c r="DO20" s="12">
        <f>IF('Données projet'!$A$166&gt;35,DO19+DN20-DW19,IF(A20&lt;'Données projet'!$A$166,$DL$205^A20,IF(A20='Données projet'!$A$166,'Données projet'!$B$166,DO19+DN20-DW19)))</f>
        <v>94.827540520682575</v>
      </c>
      <c r="DP20" s="17">
        <f>DO20*VLOOKUP('Données projet'!$B$14,Paramètres!$A$1:$I$89,3,0)*VLOOKUP('Données projet'!$B$14,Paramètres!$A$1:$I$89,5,0)</f>
        <v>53.008595151061563</v>
      </c>
      <c r="DQ20" s="13">
        <f t="shared" si="43"/>
        <v>15.388080542084102</v>
      </c>
      <c r="DR20" s="20">
        <f t="shared" si="16"/>
        <v>119.12421016556203</v>
      </c>
      <c r="DS20" s="59">
        <f t="shared" si="17"/>
        <v>412.45754349889535</v>
      </c>
      <c r="DT20" s="59">
        <f ca="1">AVERAGE(OFFSET($DS$3,0,0,'Données projet'!$E$14+1,1))-AVERAGE(OFFSET($H$3,0,0,'Données projet'!$E$14+1,1))</f>
        <v>355.23615781077405</v>
      </c>
      <c r="DU20" s="59">
        <f t="shared" si="44"/>
        <v>448.84541017639367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2.1523809523809527</v>
      </c>
      <c r="EJ20" s="12">
        <f>IF('Données projet'!$A$192&gt;35,EJ19+EI20-ER19,IF(A20&lt;'Données projet'!$A$192,$EG$205^A20,IF(A20='Données projet'!$A$192,'Données projet'!$B$192,EJ19+EI20-ER19)))</f>
        <v>36.590476190476188</v>
      </c>
      <c r="EK20" s="17">
        <f>EJ20*VLOOKUP('Données projet'!$B$15,Paramètres!$A$1:$I$89,3,0)*VLOOKUP('Données projet'!$B$15,Paramètres!$A$1:$I$89,5,0)</f>
        <v>39.38598857142857</v>
      </c>
      <c r="EL20" s="13">
        <f t="shared" si="45"/>
        <v>11.835756879429145</v>
      </c>
      <c r="EM20" s="20">
        <f t="shared" si="19"/>
        <v>89.21120666024386</v>
      </c>
      <c r="EN20" s="59">
        <f t="shared" si="20"/>
        <v>382.54453999357719</v>
      </c>
      <c r="EO20" s="59">
        <f ca="1">AVERAGE(OFFSET($EN$3,0,0,'Données projet'!$E$15+1,1))-AVERAGE(OFFSET($H$3,0,0,'Données projet'!$E$15+1,1))</f>
        <v>130.76477588601989</v>
      </c>
      <c r="EP20" s="59">
        <f t="shared" si="46"/>
        <v>94.034011511502172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8.526315789473685</v>
      </c>
      <c r="FE20" s="12">
        <f>IF('Données projet'!$A$218&gt;35,FE19+FD20-FM19,IF(A20&lt;'Données projet'!$A$218,$FB$205^A20,IF(A20='Données projet'!$A$218,'Données projet'!$B$218,FE19+FD20-FM19)))</f>
        <v>94.827540520682575</v>
      </c>
      <c r="FF20" s="17">
        <f>FE20*VLOOKUP('Données projet'!$B$16,Paramètres!$A$1:$I$89,3,0)*VLOOKUP('Données projet'!$B$16,Paramètres!$A$1:$I$89,5,0)</f>
        <v>43.146530936910573</v>
      </c>
      <c r="FG20" s="13">
        <f t="shared" si="47"/>
        <v>12.828924445088461</v>
      </c>
      <c r="FH20" s="20">
        <f t="shared" si="22"/>
        <v>97.490584790314983</v>
      </c>
      <c r="FI20" s="59">
        <f t="shared" si="23"/>
        <v>390.8239181236483</v>
      </c>
      <c r="FJ20" s="59">
        <f ca="1">AVERAGE(OFFSET($FI$3,0,0,'Données projet'!$E$16+1,1))-AVERAGE(OFFSET($H$3,0,0,'Données projet'!$E$16+1,1))</f>
        <v>279.43442619866738</v>
      </c>
      <c r="FK20" s="59">
        <f t="shared" si="48"/>
        <v>355.95192241448217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17.25</v>
      </c>
      <c r="N21" s="13">
        <f>IF('Données projet'!$A$36&gt;35,N20+M21-V20,IF(A21&lt;'Données projet'!$A$36,$K$205^A21,IF(A21='Données projet'!$A$36,'Données projet'!$B$36,N20+M21-V20)))</f>
        <v>116.5</v>
      </c>
      <c r="O21" s="13">
        <f>N21*VLOOKUP('Données projet'!$B$9,Paramètres!$A$1:$I$89,3,0)*VLOOKUP('Données projet'!$B$9,Paramètres!$A$1:$I$89,5,0)</f>
        <v>69.667000000000002</v>
      </c>
      <c r="P21" s="13">
        <f t="shared" si="33"/>
        <v>19.590738998763356</v>
      </c>
      <c r="Q21" s="20">
        <f t="shared" si="2"/>
        <v>155.45722875617952</v>
      </c>
      <c r="R21" s="59">
        <f t="shared" si="0"/>
        <v>448.79056208951283</v>
      </c>
      <c r="S21" s="59">
        <f ca="1">AVERAGE(OFFSET($R$3,0,0,'Données projet'!$E$9+1,1))-AVERAGE(OFFSET($H$3,0,0,'Données projet'!$E$9+1,1))</f>
        <v>227.89848316900191</v>
      </c>
      <c r="T21" s="59">
        <f t="shared" si="34"/>
        <v>239.85955661394541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4.7094949125195482</v>
      </c>
      <c r="AB21" s="21">
        <f>EXP(-LN(2)/2)*AB20+(1-EXP(-LN(2)/2))/(LN(2)/2)*V21*Y21*VLOOKUP('Données projet'!$B$9,Paramètres!$A$1:$I$89,3,0)*0.475*44/12</f>
        <v>3.7239120265645469</v>
      </c>
      <c r="AC21" s="22">
        <f t="shared" si="3"/>
        <v>8.4334069390840956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3.6111111111111112</v>
      </c>
      <c r="AI21" s="13">
        <f>IF('Données projet'!$A$62&gt;35,AI20+AH21-AQ20,IF(A21&lt;'Données projet'!$A$62,$AF$205^A21,IF(A21='Données projet'!$A$62,'Données projet'!$B$62,AI20+AH21-AQ20)))</f>
        <v>65.000000000000028</v>
      </c>
      <c r="AJ21" s="13">
        <f>AI21*VLOOKUP('Données projet'!$B$10,Paramètres!$A$1:$I$89,3,0)*VLOOKUP('Données projet'!$B$10,Paramètres!$A$1:$I$89,5,0)</f>
        <v>58.812000000000026</v>
      </c>
      <c r="AK21" s="13">
        <f t="shared" si="35"/>
        <v>16.86755663452599</v>
      </c>
      <c r="AL21" s="20">
        <f t="shared" si="4"/>
        <v>131.80856113846616</v>
      </c>
      <c r="AM21" s="59">
        <f t="shared" si="5"/>
        <v>425.14189447179945</v>
      </c>
      <c r="AN21" s="59">
        <f ca="1">AVERAGE(OFFSET($AM$3,0,0,'Données projet'!$E$10+1,1))-AVERAGE(OFFSET($H$3,0,0,'Données projet'!$E$10+1,1))</f>
        <v>215.7418266360167</v>
      </c>
      <c r="AO21" s="59">
        <f t="shared" si="36"/>
        <v>155.78420008229949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2.6904761904761907</v>
      </c>
      <c r="BD21" s="12">
        <f>IF('Données projet'!$A$88&gt;35,BD20+BC21-BL20,IF(A21&lt;'Données projet'!$A$88,$BA$205^A21,IF(A21='Données projet'!$A$88,'Données projet'!$B$88,BD20+BC21-BL20)))</f>
        <v>48.428571428571423</v>
      </c>
      <c r="BE21" s="13">
        <f>BD21*VLOOKUP('Données projet'!$B$11,Paramètres!$A$1:$I$89,3,0)*VLOOKUP('Données projet'!$B$11,Paramètres!$A$1:$I$89,5,0)</f>
        <v>49.106571428571428</v>
      </c>
      <c r="BF21" s="13">
        <f t="shared" si="37"/>
        <v>14.382786278286252</v>
      </c>
      <c r="BG21" s="20">
        <f t="shared" si="7"/>
        <v>110.57729800611047</v>
      </c>
      <c r="BH21" s="59">
        <f t="shared" si="8"/>
        <v>403.9106313394438</v>
      </c>
      <c r="BI21" s="59">
        <f ca="1">AVERAGE(OFFSET($BH$3,0,0,'Données projet'!$E$11+1,1))-AVERAGE(OFFSET($H$3,0,0,'Données projet'!$E$11+1,1))</f>
        <v>179.53921263314447</v>
      </c>
      <c r="BJ21" s="59">
        <f t="shared" si="38"/>
        <v>120.81513023281337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7.9</v>
      </c>
      <c r="BY21" s="12">
        <f>IF('Données projet'!$A$114&gt;35,BY20+BX21-CG20,IF(A21&lt;'Données projet'!$A$114,$BV$205^A21,IF(A21='Données projet'!$A$114,'Données projet'!$B$114,BY20+BX21-CG20)))</f>
        <v>95.233857990035276</v>
      </c>
      <c r="BZ21" s="13">
        <f>BY21*VLOOKUP('Données projet'!$B$12,Paramètres!$A$1:$I$89,3,0)*VLOOKUP('Données projet'!$B$12,Paramètres!$A$1:$I$89,5,0)</f>
        <v>44.569445539336513</v>
      </c>
      <c r="CA21" s="13">
        <f t="shared" si="39"/>
        <v>13.202049673437019</v>
      </c>
      <c r="CB21" s="20">
        <f t="shared" si="10"/>
        <v>100.61868749558056</v>
      </c>
      <c r="CC21" s="59">
        <f t="shared" si="11"/>
        <v>393.95202082891387</v>
      </c>
      <c r="CD21" s="59">
        <f ca="1">AVERAGE(OFFSET($CC$3,0,0,'Données projet'!$E$12+1,1))-AVERAGE(OFFSET($H$3,0,0,'Données projet'!$E$12+1,1))</f>
        <v>310.06530483941287</v>
      </c>
      <c r="CE21" s="59">
        <f t="shared" si="40"/>
        <v>170.13425794309376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13.25</v>
      </c>
      <c r="CT21" s="12">
        <f>IF('Données projet'!$A$140&gt;35,CT20+CS21-DB20,IF(A21&lt;'Données projet'!$A$140,$CQ$205^A21,IF(A21='Données projet'!$A$140,'Données projet'!$B$140,CT20+CS21-DB20)))</f>
        <v>92.5</v>
      </c>
      <c r="CU21" s="17">
        <f>CT21*VLOOKUP('Données projet'!$B$13,Paramètres!$A$1:$I$89,3,0)*VLOOKUP('Données projet'!$B$13,Paramètres!$A$1:$I$89,5,0)</f>
        <v>55.315000000000005</v>
      </c>
      <c r="CV21" s="13">
        <f t="shared" si="41"/>
        <v>15.978207841877614</v>
      </c>
      <c r="CW21" s="20">
        <f t="shared" si="13"/>
        <v>124.16900365793684</v>
      </c>
      <c r="CX21" s="59">
        <f t="shared" si="14"/>
        <v>417.50233699127017</v>
      </c>
      <c r="CY21" s="59">
        <f ca="1">AVERAGE(OFFSET($CX$3,0,0,'Données projet'!$E$13+1,1))-AVERAGE(OFFSET($H$3,0,0,'Données projet'!$E$13+1,1))</f>
        <v>168.08890945052406</v>
      </c>
      <c r="CZ21" s="59">
        <f t="shared" si="42"/>
        <v>182.52462557642343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2.8256969475117293</v>
      </c>
      <c r="DH21" s="21">
        <f>EXP(-LN(2)/2)*DH20+(1-EXP(-LN(2)/2))/(LN(2)/2)*DB21*DE21*VLOOKUP('Données projet'!$B$13,Paramètres!$A$1:$I$89,3,0)*0.475*44/12</f>
        <v>2.2343472159387279</v>
      </c>
      <c r="DI21" s="22">
        <f t="shared" si="15"/>
        <v>5.0600441634504572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8.526315789473685</v>
      </c>
      <c r="DO21" s="12">
        <f>IF('Données projet'!$A$166&gt;35,DO20+DN21-DW20,IF(A21&lt;'Données projet'!$A$166,$DL$205^A21,IF(A21='Données projet'!$A$166,'Données projet'!$B$166,DO20+DN21-DW20)))</f>
        <v>123.94378388749713</v>
      </c>
      <c r="DP21" s="17">
        <f>DO21*VLOOKUP('Données projet'!$B$14,Paramètres!$A$1:$I$89,3,0)*VLOOKUP('Données projet'!$B$14,Paramètres!$A$1:$I$89,5,0)</f>
        <v>69.284575193110896</v>
      </c>
      <c r="DQ21" s="13">
        <f t="shared" si="43"/>
        <v>19.495686293334202</v>
      </c>
      <c r="DR21" s="20">
        <f t="shared" si="16"/>
        <v>154.62562208889187</v>
      </c>
      <c r="DS21" s="59">
        <f t="shared" si="17"/>
        <v>447.95895542222519</v>
      </c>
      <c r="DT21" s="59">
        <f ca="1">AVERAGE(OFFSET($DS$3,0,0,'Données projet'!$E$14+1,1))-AVERAGE(OFFSET($H$3,0,0,'Données projet'!$E$14+1,1))</f>
        <v>355.23615781077405</v>
      </c>
      <c r="DU21" s="59">
        <f t="shared" si="44"/>
        <v>448.84541017639367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2.1523809523809527</v>
      </c>
      <c r="EJ21" s="12">
        <f>IF('Données projet'!$A$192&gt;35,EJ20+EI21-ER20,IF(A21&lt;'Données projet'!$A$192,$EG$205^A21,IF(A21='Données projet'!$A$192,'Données projet'!$B$192,EJ20+EI21-ER20)))</f>
        <v>38.74285714285714</v>
      </c>
      <c r="EK21" s="17">
        <f>EJ21*VLOOKUP('Données projet'!$B$15,Paramètres!$A$1:$I$89,3,0)*VLOOKUP('Données projet'!$B$15,Paramètres!$A$1:$I$89,5,0)</f>
        <v>41.702811428571422</v>
      </c>
      <c r="EL21" s="13">
        <f t="shared" si="45"/>
        <v>12.448876377373949</v>
      </c>
      <c r="EM21" s="20">
        <f t="shared" si="19"/>
        <v>94.314189595354847</v>
      </c>
      <c r="EN21" s="59">
        <f t="shared" si="20"/>
        <v>387.64752292868815</v>
      </c>
      <c r="EO21" s="59">
        <f ca="1">AVERAGE(OFFSET($EN$3,0,0,'Données projet'!$E$15+1,1))-AVERAGE(OFFSET($H$3,0,0,'Données projet'!$E$15+1,1))</f>
        <v>130.76477588601989</v>
      </c>
      <c r="EP21" s="59">
        <f t="shared" si="46"/>
        <v>94.034011511502172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8.526315789473685</v>
      </c>
      <c r="FE21" s="12">
        <f>IF('Données projet'!$A$218&gt;35,FE20+FD21-FM20,IF(A21&lt;'Données projet'!$A$218,$FB$205^A21,IF(A21='Données projet'!$A$218,'Données projet'!$B$218,FE20+FD21-FM20)))</f>
        <v>123.94378388749713</v>
      </c>
      <c r="FF21" s="17">
        <f>FE21*VLOOKUP('Données projet'!$B$16,Paramètres!$A$1:$I$89,3,0)*VLOOKUP('Données projet'!$B$16,Paramètres!$A$1:$I$89,5,0)</f>
        <v>56.394421668811198</v>
      </c>
      <c r="FG21" s="13">
        <f t="shared" si="47"/>
        <v>16.253403780823827</v>
      </c>
      <c r="FH21" s="20">
        <f t="shared" si="22"/>
        <v>126.52829599144765</v>
      </c>
      <c r="FI21" s="59">
        <f t="shared" si="23"/>
        <v>419.86162932478095</v>
      </c>
      <c r="FJ21" s="59">
        <f ca="1">AVERAGE(OFFSET($FI$3,0,0,'Données projet'!$E$16+1,1))-AVERAGE(OFFSET($H$3,0,0,'Données projet'!$E$16+1,1))</f>
        <v>279.43442619866738</v>
      </c>
      <c r="FK21" s="59">
        <f t="shared" si="48"/>
        <v>355.95192241448217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17.25</v>
      </c>
      <c r="N22" s="13">
        <f>IF('Données projet'!$A$36&gt;35,N21+M22-V21,IF(A22&lt;'Données projet'!$A$36,$K$205^A22,IF(A22='Données projet'!$A$36,'Données projet'!$B$36,N21+M22-V21)))</f>
        <v>133.75</v>
      </c>
      <c r="O22" s="13">
        <f>N22*VLOOKUP('Données projet'!$B$9,Paramètres!$A$1:$I$89,3,0)*VLOOKUP('Données projet'!$B$9,Paramètres!$A$1:$I$89,5,0)</f>
        <v>79.982500000000016</v>
      </c>
      <c r="P22" s="13">
        <f t="shared" si="33"/>
        <v>22.132905233204649</v>
      </c>
      <c r="Q22" s="20">
        <f t="shared" si="2"/>
        <v>177.85099744783145</v>
      </c>
      <c r="R22" s="59">
        <f t="shared" si="0"/>
        <v>471.18433078116476</v>
      </c>
      <c r="S22" s="59">
        <f ca="1">AVERAGE(OFFSET($R$3,0,0,'Données projet'!$E$9+1,1))-AVERAGE(OFFSET($H$3,0,0,'Données projet'!$E$9+1,1))</f>
        <v>227.89848316900191</v>
      </c>
      <c r="T22" s="59">
        <f t="shared" si="34"/>
        <v>239.85955661394541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4.5807135264751278</v>
      </c>
      <c r="AB22" s="21">
        <f>EXP(-LN(2)/2)*AB21+(1-EXP(-LN(2)/2))/(LN(2)/2)*V22*Y22*VLOOKUP('Données projet'!$B$9,Paramètres!$A$1:$I$89,3,0)*0.475*44/12</f>
        <v>2.63320344652593</v>
      </c>
      <c r="AC22" s="22">
        <f t="shared" si="3"/>
        <v>7.2139169730010577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3.6111111111111112</v>
      </c>
      <c r="AI22" s="13">
        <f>IF('Données projet'!$A$62&gt;35,AI21+AH22-AQ21,IF(A22&lt;'Données projet'!$A$62,$AF$205^A22,IF(A22='Données projet'!$A$62,'Données projet'!$B$62,AI21+AH22-AQ21)))</f>
        <v>68.611111111111143</v>
      </c>
      <c r="AJ22" s="13">
        <f>AI22*VLOOKUP('Données projet'!$B$10,Paramètres!$A$1:$I$89,3,0)*VLOOKUP('Données projet'!$B$10,Paramètres!$A$1:$I$89,5,0)</f>
        <v>62.079333333333359</v>
      </c>
      <c r="AK22" s="13">
        <f t="shared" si="35"/>
        <v>17.692942793486981</v>
      </c>
      <c r="AL22" s="20">
        <f t="shared" si="4"/>
        <v>138.93671425421209</v>
      </c>
      <c r="AM22" s="59">
        <f t="shared" si="5"/>
        <v>432.27004758754538</v>
      </c>
      <c r="AN22" s="59">
        <f ca="1">AVERAGE(OFFSET($AM$3,0,0,'Données projet'!$E$10+1,1))-AVERAGE(OFFSET($H$3,0,0,'Données projet'!$E$10+1,1))</f>
        <v>215.7418266360167</v>
      </c>
      <c r="AO22" s="59">
        <f t="shared" si="36"/>
        <v>155.78420008229949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2.6904761904761907</v>
      </c>
      <c r="BD22" s="12">
        <f>IF('Données projet'!$A$88&gt;35,BD21+BC22-BL21,IF(A22&lt;'Données projet'!$A$88,$BA$205^A22,IF(A22='Données projet'!$A$88,'Données projet'!$B$88,BD21+BC22-BL21)))</f>
        <v>51.119047619047613</v>
      </c>
      <c r="BE22" s="13">
        <f>BD22*VLOOKUP('Données projet'!$B$11,Paramètres!$A$1:$I$89,3,0)*VLOOKUP('Données projet'!$B$11,Paramètres!$A$1:$I$89,5,0)</f>
        <v>51.834714285714277</v>
      </c>
      <c r="BF22" s="13">
        <f t="shared" si="37"/>
        <v>15.086584284044363</v>
      </c>
      <c r="BG22" s="20">
        <f t="shared" si="7"/>
        <v>116.55459500899632</v>
      </c>
      <c r="BH22" s="59">
        <f t="shared" si="8"/>
        <v>409.88792834232964</v>
      </c>
      <c r="BI22" s="59">
        <f ca="1">AVERAGE(OFFSET($BH$3,0,0,'Données projet'!$E$11+1,1))-AVERAGE(OFFSET($H$3,0,0,'Données projet'!$E$11+1,1))</f>
        <v>179.53921263314447</v>
      </c>
      <c r="BJ22" s="59">
        <f t="shared" si="38"/>
        <v>120.81513023281337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7.9</v>
      </c>
      <c r="BY22" s="12">
        <f>IF('Données projet'!$A$114&gt;35,BY21+BX22-CG21,IF(A22&lt;'Données projet'!$A$114,$BV$205^A22,IF(A22='Données projet'!$A$114,'Données projet'!$B$114,BY21+BX22-CG21)))</f>
        <v>122.66600817840934</v>
      </c>
      <c r="BZ22" s="13">
        <f>BY22*VLOOKUP('Données projet'!$B$12,Paramètres!$A$1:$I$89,3,0)*VLOOKUP('Données projet'!$B$12,Paramètres!$A$1:$I$89,5,0)</f>
        <v>57.407691827495569</v>
      </c>
      <c r="CA22" s="13">
        <f t="shared" si="39"/>
        <v>16.511176981334152</v>
      </c>
      <c r="CB22" s="20">
        <f t="shared" si="10"/>
        <v>128.7420298420451</v>
      </c>
      <c r="CC22" s="59">
        <f t="shared" si="11"/>
        <v>422.07536317537841</v>
      </c>
      <c r="CD22" s="59">
        <f ca="1">AVERAGE(OFFSET($CC$3,0,0,'Données projet'!$E$12+1,1))-AVERAGE(OFFSET($H$3,0,0,'Données projet'!$E$12+1,1))</f>
        <v>310.06530483941287</v>
      </c>
      <c r="CE22" s="59">
        <f t="shared" si="40"/>
        <v>170.13425794309376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13.25</v>
      </c>
      <c r="CT22" s="12">
        <f>IF('Données projet'!$A$140&gt;35,CT21+CS22-DB21,IF(A22&lt;'Données projet'!$A$140,$CQ$205^A22,IF(A22='Données projet'!$A$140,'Données projet'!$B$140,CT21+CS22-DB21)))</f>
        <v>105.75</v>
      </c>
      <c r="CU22" s="17">
        <f>CT22*VLOOKUP('Données projet'!$B$13,Paramètres!$A$1:$I$89,3,0)*VLOOKUP('Données projet'!$B$13,Paramètres!$A$1:$I$89,5,0)</f>
        <v>63.238500000000009</v>
      </c>
      <c r="CV22" s="13">
        <f t="shared" si="41"/>
        <v>17.984541540394584</v>
      </c>
      <c r="CW22" s="20">
        <f t="shared" si="13"/>
        <v>141.46346401618726</v>
      </c>
      <c r="CX22" s="59">
        <f t="shared" si="14"/>
        <v>434.7967973495206</v>
      </c>
      <c r="CY22" s="59">
        <f ca="1">AVERAGE(OFFSET($CX$3,0,0,'Données projet'!$E$13+1,1))-AVERAGE(OFFSET($H$3,0,0,'Données projet'!$E$13+1,1))</f>
        <v>168.08890945052406</v>
      </c>
      <c r="CZ22" s="59">
        <f t="shared" si="42"/>
        <v>182.52462557642343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2.7484281158850767</v>
      </c>
      <c r="DH22" s="21">
        <f>EXP(-LN(2)/2)*DH21+(1-EXP(-LN(2)/2))/(LN(2)/2)*DB22*DE22*VLOOKUP('Données projet'!$B$13,Paramètres!$A$1:$I$89,3,0)*0.475*44/12</f>
        <v>1.5799220679155579</v>
      </c>
      <c r="DI22" s="22">
        <f t="shared" si="15"/>
        <v>4.3283501838006346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>
        <f>VLOOKUP(A22,'Données projet'!$A$165:$I$185,2,0)</f>
        <v>162</v>
      </c>
      <c r="DM22" s="12">
        <f>VLOOKUP(A22,'Données projet'!$A$165:$I$185,9,0)</f>
        <v>8.526315789473685</v>
      </c>
      <c r="DN22" s="12">
        <f t="array" ref="DN22">INDEX(DM:DM,MIN(IF(ISNUMBER(DM22:DM218),ROW(DM22:DM218),"")))</f>
        <v>8.526315789473685</v>
      </c>
      <c r="DO22" s="12">
        <f>IF('Données projet'!$A$166&gt;35,DO21+DN22-DW21,IF(A22&lt;'Données projet'!$A$166,$DL$205^A22,IF(A22='Données projet'!$A$166,'Données projet'!$B$166,DO21+DN22-DW21)))</f>
        <v>162</v>
      </c>
      <c r="DP22" s="17">
        <f>DO22*VLOOKUP('Données projet'!$B$14,Paramètres!$A$1:$I$89,3,0)*VLOOKUP('Données projet'!$B$14,Paramètres!$A$1:$I$89,5,0)</f>
        <v>90.557999999999993</v>
      </c>
      <c r="DQ22" s="13">
        <f t="shared" si="43"/>
        <v>24.699752708509138</v>
      </c>
      <c r="DR22" s="20">
        <f t="shared" si="16"/>
        <v>200.74058596732007</v>
      </c>
      <c r="DS22" s="59">
        <f t="shared" si="17"/>
        <v>494.07391930065342</v>
      </c>
      <c r="DT22" s="59">
        <f ca="1">AVERAGE(OFFSET($DS$3,0,0,'Données projet'!$E$14+1,1))-AVERAGE(OFFSET($H$3,0,0,'Données projet'!$E$14+1,1))</f>
        <v>355.23615781077405</v>
      </c>
      <c r="DU22" s="59">
        <f t="shared" si="44"/>
        <v>448.84541017639367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0.30800000000000005</v>
      </c>
      <c r="DZ22" s="16">
        <f>IF(ISNA(VLOOKUP(A22,'Données projet'!$A$165:$I$185,7,0)),0%,VLOOKUP(A22,'Données projet'!$A$165:$I$185,7,0))</f>
        <v>0.44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2.1523809523809527</v>
      </c>
      <c r="EJ22" s="12">
        <f>IF('Données projet'!$A$192&gt;35,EJ21+EI22-ER21,IF(A22&lt;'Données projet'!$A$192,$EG$205^A22,IF(A22='Données projet'!$A$192,'Données projet'!$B$192,EJ21+EI22-ER21)))</f>
        <v>40.895238095238092</v>
      </c>
      <c r="EK22" s="17">
        <f>EJ22*VLOOKUP('Données projet'!$B$15,Paramètres!$A$1:$I$89,3,0)*VLOOKUP('Données projet'!$B$15,Paramètres!$A$1:$I$89,5,0)</f>
        <v>44.019634285714275</v>
      </c>
      <c r="EL22" s="13">
        <f t="shared" si="45"/>
        <v>13.058041680869588</v>
      </c>
      <c r="EM22" s="20">
        <f t="shared" si="19"/>
        <v>99.410285641800229</v>
      </c>
      <c r="EN22" s="59">
        <f t="shared" si="20"/>
        <v>392.74361897513353</v>
      </c>
      <c r="EO22" s="59">
        <f ca="1">AVERAGE(OFFSET($EN$3,0,0,'Données projet'!$E$15+1,1))-AVERAGE(OFFSET($H$3,0,0,'Données projet'!$E$15+1,1))</f>
        <v>130.76477588601989</v>
      </c>
      <c r="EP22" s="59">
        <f t="shared" si="46"/>
        <v>94.034011511502172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>
        <f>VLOOKUP(A22,'Données projet'!$A$217:$I$237,2,0)</f>
        <v>162</v>
      </c>
      <c r="FC22" s="12">
        <f>VLOOKUP(A22,'Données projet'!$A$217:$I$237,9,0)</f>
        <v>8.526315789473685</v>
      </c>
      <c r="FD22" s="12">
        <f t="array" ref="FD22">INDEX(FC:FC,MIN(IF(ISNUMBER(FC22:FC218),ROW(FC22:FC218),"")))</f>
        <v>8.526315789473685</v>
      </c>
      <c r="FE22" s="12">
        <f>IF('Données projet'!$A$218&gt;35,FE21+FD22-FM21,IF(A22&lt;'Données projet'!$A$218,$FB$205^A22,IF(A22='Données projet'!$A$218,'Données projet'!$B$218,FE21+FD22-FM21)))</f>
        <v>162</v>
      </c>
      <c r="FF22" s="17">
        <f>FE22*VLOOKUP('Données projet'!$B$16,Paramètres!$A$1:$I$89,3,0)*VLOOKUP('Données projet'!$B$16,Paramètres!$A$1:$I$89,5,0)</f>
        <v>73.709999999999994</v>
      </c>
      <c r="FG22" s="13">
        <f t="shared" si="47"/>
        <v>20.591993942534767</v>
      </c>
      <c r="FH22" s="20">
        <f t="shared" si="22"/>
        <v>164.24263944991469</v>
      </c>
      <c r="FI22" s="59">
        <f t="shared" si="23"/>
        <v>457.57597278324801</v>
      </c>
      <c r="FJ22" s="59">
        <f ca="1">AVERAGE(OFFSET($FI$3,0,0,'Données projet'!$E$16+1,1))-AVERAGE(OFFSET($H$3,0,0,'Données projet'!$E$16+1,1))</f>
        <v>279.43442619866738</v>
      </c>
      <c r="FK22" s="59">
        <f t="shared" si="48"/>
        <v>355.95192241448217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0.30800000000000005</v>
      </c>
      <c r="FP22" s="16">
        <f>IF(ISNA(VLOOKUP(A22,'Données projet'!$A$217:$I$237,7,0)),0%,VLOOKUP(A22,'Données projet'!$A$217:$I$237,7,0))</f>
        <v>0.44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151</v>
      </c>
      <c r="L23" s="12">
        <f>VLOOKUP(A23,'Données projet'!$A$35:$I$55,9,0)</f>
        <v>17.25</v>
      </c>
      <c r="M23" s="12">
        <f t="array" ref="M23">INDEX(L:L,MIN(IF(ISNUMBER(L23:L219),ROW(L23:L219),"")))</f>
        <v>17.25</v>
      </c>
      <c r="N23" s="13">
        <f>IF('Données projet'!$A$36&gt;35,N22+M23-V22,IF(A23&lt;'Données projet'!$A$36,$K$205^A23,IF(A23='Données projet'!$A$36,'Données projet'!$B$36,N22+M23-V22)))</f>
        <v>151</v>
      </c>
      <c r="O23" s="13">
        <f>N23*VLOOKUP('Données projet'!$B$9,Paramètres!$A$1:$I$89,3,0)*VLOOKUP('Données projet'!$B$9,Paramètres!$A$1:$I$89,5,0)</f>
        <v>90.298000000000016</v>
      </c>
      <c r="P23" s="13">
        <f t="shared" si="33"/>
        <v>24.637081585210524</v>
      </c>
      <c r="Q23" s="20">
        <f t="shared" si="2"/>
        <v>200.17860042757502</v>
      </c>
      <c r="R23" s="59">
        <f t="shared" si="0"/>
        <v>493.51193376090833</v>
      </c>
      <c r="S23" s="59">
        <f ca="1">AVERAGE(OFFSET($R$3,0,0,'Données projet'!$E$9+1,1))-AVERAGE(OFFSET($H$3,0,0,'Données projet'!$E$9+1,1))</f>
        <v>227.89848316900191</v>
      </c>
      <c r="T23" s="59">
        <f t="shared" si="34"/>
        <v>239.85955661394541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34</v>
      </c>
      <c r="W23" s="16">
        <f>IF(ISNA(VLOOKUP(A23,'Données projet'!$A$35:$I$55,5,0)),0%,VLOOKUP(A23,'Données projet'!$A$35:$I$55,5,0)*VLOOKUP('Données projet'!$B$9,Paramètres!$A$1:$I$89,7,0))</f>
        <v>0.315</v>
      </c>
      <c r="X23" s="16">
        <f>IF(ISNA(VLOOKUP(A23,'Données projet'!$A$35:$I$55,6,0)),0%,VLOOKUP(A23,'Données projet'!$A$35:$I$55,6,0)*VLOOKUP('Données projet'!$B$9,Paramètres!$A$1:$I$89,7,0))</f>
        <v>7.5600000000000001E-2</v>
      </c>
      <c r="Y23" s="16">
        <f>IF(ISNA(VLOOKUP(A23,'Données projet'!$A$35:$I$55,7,0)),0%,VLOOKUP(A23,'Données projet'!$A$35:$I$55,7,0))</f>
        <v>0.13200000000000001</v>
      </c>
      <c r="Z23" s="21">
        <f>EXP(-LN(2)/35)*Z22+(1-EXP(-LN(2)/35))/(LN(2)/35)*V23*W23*VLOOKUP('Données projet'!$B$9,Paramètres!$A$1:$I$89,3,0)*0.475*44/12</f>
        <v>8.4960881800189689</v>
      </c>
      <c r="AA23" s="21">
        <f>EXP(-LN(2)/25)*AA22+(1-EXP(-LN(2)/25))/(LN(2)/25)*Calculateur!V23*Calculateur!X23*VLOOKUP('Données projet'!$B$9,Paramètres!$A$1:$I$89,3,0)*0.475*44/12</f>
        <v>6.4864862766662119</v>
      </c>
      <c r="AB23" s="21">
        <f>EXP(-LN(2)/2)*AB22+(1-EXP(-LN(2)/2))/(LN(2)/2)*V23*Y23*VLOOKUP('Données projet'!$B$9,Paramètres!$A$1:$I$89,3,0)*0.475*44/12</f>
        <v>4.9006682269589437</v>
      </c>
      <c r="AC23" s="22">
        <f t="shared" si="3"/>
        <v>19.883242683644127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3.6111111111111112</v>
      </c>
      <c r="AI23" s="13">
        <f>IF('Données projet'!$A$62&gt;35,AI22+AH23-AQ22,IF(A23&lt;'Données projet'!$A$62,$AF$205^A23,IF(A23='Données projet'!$A$62,'Données projet'!$B$62,AI22+AH23-AQ22)))</f>
        <v>72.222222222222257</v>
      </c>
      <c r="AJ23" s="13">
        <f>AI23*VLOOKUP('Données projet'!$B$10,Paramètres!$A$1:$I$89,3,0)*VLOOKUP('Données projet'!$B$10,Paramètres!$A$1:$I$89,5,0)</f>
        <v>65.346666666666692</v>
      </c>
      <c r="AK23" s="13">
        <f t="shared" si="35"/>
        <v>18.513285375546825</v>
      </c>
      <c r="AL23" s="20">
        <f t="shared" si="4"/>
        <v>146.05608314018855</v>
      </c>
      <c r="AM23" s="59">
        <f t="shared" si="5"/>
        <v>439.38941647352186</v>
      </c>
      <c r="AN23" s="59">
        <f ca="1">AVERAGE(OFFSET($AM$3,0,0,'Données projet'!$E$10+1,1))-AVERAGE(OFFSET($H$3,0,0,'Données projet'!$E$10+1,1))</f>
        <v>215.7418266360167</v>
      </c>
      <c r="AO23" s="59">
        <f t="shared" si="36"/>
        <v>155.78420008229949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2.6904761904761907</v>
      </c>
      <c r="BD23" s="12">
        <f>IF('Données projet'!$A$88&gt;35,BD22+BC23-BL22,IF(A23&lt;'Données projet'!$A$88,$BA$205^A23,IF(A23='Données projet'!$A$88,'Données projet'!$B$88,BD22+BC23-BL22)))</f>
        <v>53.809523809523803</v>
      </c>
      <c r="BE23" s="13">
        <f>BD23*VLOOKUP('Données projet'!$B$11,Paramètres!$A$1:$I$89,3,0)*VLOOKUP('Données projet'!$B$11,Paramètres!$A$1:$I$89,5,0)</f>
        <v>54.562857142857141</v>
      </c>
      <c r="BF23" s="13">
        <f t="shared" si="37"/>
        <v>15.786081685380697</v>
      </c>
      <c r="BG23" s="20">
        <f t="shared" si="7"/>
        <v>122.52440179251424</v>
      </c>
      <c r="BH23" s="59">
        <f t="shared" si="8"/>
        <v>415.85773512584757</v>
      </c>
      <c r="BI23" s="59">
        <f ca="1">AVERAGE(OFFSET($BH$3,0,0,'Données projet'!$E$11+1,1))-AVERAGE(OFFSET($H$3,0,0,'Données projet'!$E$11+1,1))</f>
        <v>179.53921263314447</v>
      </c>
      <c r="BJ23" s="59">
        <f t="shared" si="38"/>
        <v>120.81513023281337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158</v>
      </c>
      <c r="BW23" s="12">
        <f>VLOOKUP(A23,'Données projet'!$A$113:$I$133,9,0)</f>
        <v>7.9</v>
      </c>
      <c r="BX23" s="12">
        <f t="array" ref="BX23">INDEX(BW:BW,MIN(IF(ISNUMBER(BW23:BW219),ROW(BW23:BW219),"")))</f>
        <v>7.9</v>
      </c>
      <c r="BY23" s="12">
        <f>IF('Données projet'!$A$114&gt;35,BY22+BX23-CG22,IF(A23&lt;'Données projet'!$A$114,$BV$205^A23,IF(A23='Données projet'!$A$114,'Données projet'!$B$114,BY22+BX23-CG22)))</f>
        <v>158</v>
      </c>
      <c r="BZ23" s="13">
        <f>BY23*VLOOKUP('Données projet'!$B$12,Paramètres!$A$1:$I$89,3,0)*VLOOKUP('Données projet'!$B$12,Paramètres!$A$1:$I$89,5,0)</f>
        <v>73.944000000000003</v>
      </c>
      <c r="CA23" s="13">
        <f t="shared" si="39"/>
        <v>20.649745460165708</v>
      </c>
      <c r="CB23" s="20">
        <f t="shared" si="10"/>
        <v>164.75077334312192</v>
      </c>
      <c r="CC23" s="59">
        <f t="shared" si="11"/>
        <v>458.08410667645524</v>
      </c>
      <c r="CD23" s="59">
        <f ca="1">AVERAGE(OFFSET($CC$3,0,0,'Données projet'!$E$12+1,1))-AVERAGE(OFFSET($H$3,0,0,'Données projet'!$E$12+1,1))</f>
        <v>310.06530483941287</v>
      </c>
      <c r="CE23" s="59">
        <f t="shared" si="40"/>
        <v>170.13425794309376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31.6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0.30800000000000005</v>
      </c>
      <c r="CJ23" s="16">
        <f>IF(ISNA(VLOOKUP(A23,'Données projet'!$A$113:$I$133,7,0)),0%,VLOOKUP(A23,'Données projet'!$A$113:$I$133,7,0))</f>
        <v>0.44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6.018643926817755</v>
      </c>
      <c r="CM23" s="21">
        <f>EXP(-LN(2)/2)*CM22+(1-EXP(-LN(2)/2))/(LN(2)/2)*CG23*CJ23*VLOOKUP('Données projet'!$B$12,Paramètres!$A$1:$I$89,3,0)*0.475*44/12</f>
        <v>7.3675170807301358</v>
      </c>
      <c r="CN23" s="22">
        <f t="shared" si="12"/>
        <v>13.386161007547891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119</v>
      </c>
      <c r="CR23" s="12">
        <f>VLOOKUP(A23,'Données projet'!$A$139:$I$159,9,0)</f>
        <v>13.25</v>
      </c>
      <c r="CS23" s="12">
        <f t="array" ref="CS23">INDEX(CR:CR,MIN(IF(ISNUMBER(CR23:CR219),ROW(CR23:CR219),"")))</f>
        <v>13.25</v>
      </c>
      <c r="CT23" s="12">
        <f>IF('Données projet'!$A$140&gt;35,CT22+CS23-DB22,IF(A23&lt;'Données projet'!$A$140,$CQ$205^A23,IF(A23='Données projet'!$A$140,'Données projet'!$B$140,CT22+CS23-DB22)))</f>
        <v>119</v>
      </c>
      <c r="CU23" s="17">
        <f>CT23*VLOOKUP('Données projet'!$B$13,Paramètres!$A$1:$I$89,3,0)*VLOOKUP('Données projet'!$B$13,Paramètres!$A$1:$I$89,5,0)</f>
        <v>71.162000000000006</v>
      </c>
      <c r="CV23" s="13">
        <f t="shared" si="41"/>
        <v>19.961746043676346</v>
      </c>
      <c r="CW23" s="20">
        <f t="shared" si="13"/>
        <v>158.70719102606964</v>
      </c>
      <c r="CX23" s="59">
        <f t="shared" si="14"/>
        <v>452.04052435940298</v>
      </c>
      <c r="CY23" s="59">
        <f ca="1">AVERAGE(OFFSET($CX$3,0,0,'Données projet'!$E$13+1,1))-AVERAGE(OFFSET($H$3,0,0,'Données projet'!$E$13+1,1))</f>
        <v>168.08890945052406</v>
      </c>
      <c r="CZ23" s="59">
        <f t="shared" si="42"/>
        <v>182.52462557642343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22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0.25200000000000006</v>
      </c>
      <c r="DE23" s="16">
        <f>IF(ISNA(VLOOKUP(A23,'Données projet'!$A$139:$I$159,7,0)),0%,VLOOKUP(A23,'Données projet'!$A$139:$I$159,7,0))</f>
        <v>0.44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7.0539307588520241</v>
      </c>
      <c r="DH23" s="21">
        <f>EXP(-LN(2)/2)*DH22+(1-EXP(-LN(2)/2))/(LN(2)/2)*DB23*DE23*VLOOKUP('Données projet'!$B$13,Paramètres!$A$1:$I$89,3,0)*0.475*44/12</f>
        <v>7.6712587747229657</v>
      </c>
      <c r="DI23" s="22">
        <f t="shared" si="15"/>
        <v>14.725189533574991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28.833333333333332</v>
      </c>
      <c r="DO23" s="12">
        <f>IF('Données projet'!$A$166&gt;35,DO22+DN23-DW22,IF(A23&lt;'Données projet'!$A$166,$DL$205^A23,IF(A23='Données projet'!$A$166,'Données projet'!$B$166,DO22+DN23-DW22)))</f>
        <v>190.83333333333334</v>
      </c>
      <c r="DP23" s="17">
        <f>DO23*VLOOKUP('Données projet'!$B$14,Paramètres!$A$1:$I$89,3,0)*VLOOKUP('Données projet'!$B$14,Paramètres!$A$1:$I$89,5,0)</f>
        <v>106.67583333333334</v>
      </c>
      <c r="DQ23" s="13">
        <f t="shared" si="43"/>
        <v>28.546391754319739</v>
      </c>
      <c r="DR23" s="20">
        <f t="shared" si="16"/>
        <v>235.51204202766243</v>
      </c>
      <c r="DS23" s="59">
        <f t="shared" si="17"/>
        <v>528.84537536099572</v>
      </c>
      <c r="DT23" s="59">
        <f ca="1">AVERAGE(OFFSET($DS$3,0,0,'Données projet'!$E$14+1,1))-AVERAGE(OFFSET($H$3,0,0,'Données projet'!$E$14+1,1))</f>
        <v>355.23615781077405</v>
      </c>
      <c r="DU23" s="59">
        <f t="shared" si="44"/>
        <v>448.84541017639367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2.1523809523809527</v>
      </c>
      <c r="EJ23" s="12">
        <f>IF('Données projet'!$A$192&gt;35,EJ22+EI23-ER22,IF(A23&lt;'Données projet'!$A$192,$EG$205^A23,IF(A23='Données projet'!$A$192,'Données projet'!$B$192,EJ22+EI23-ER22)))</f>
        <v>43.047619047619044</v>
      </c>
      <c r="EK23" s="17">
        <f>EJ23*VLOOKUP('Données projet'!$B$15,Paramètres!$A$1:$I$89,3,0)*VLOOKUP('Données projet'!$B$15,Paramètres!$A$1:$I$89,5,0)</f>
        <v>46.336457142857135</v>
      </c>
      <c r="EL23" s="13">
        <f t="shared" si="45"/>
        <v>13.663484639350921</v>
      </c>
      <c r="EM23" s="20">
        <f t="shared" si="19"/>
        <v>104.49989860401234</v>
      </c>
      <c r="EN23" s="59">
        <f t="shared" si="20"/>
        <v>397.83323193734566</v>
      </c>
      <c r="EO23" s="59">
        <f ca="1">AVERAGE(OFFSET($EN$3,0,0,'Données projet'!$E$15+1,1))-AVERAGE(OFFSET($H$3,0,0,'Données projet'!$E$15+1,1))</f>
        <v>130.76477588601989</v>
      </c>
      <c r="EP23" s="59">
        <f t="shared" si="46"/>
        <v>94.034011511502172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28.833333333333332</v>
      </c>
      <c r="FE23" s="12">
        <f>IF('Données projet'!$A$218&gt;35,FE22+FD23-FM22,IF(A23&lt;'Données projet'!$A$218,$FB$205^A23,IF(A23='Données projet'!$A$218,'Données projet'!$B$218,FE22+FD23-FM22)))</f>
        <v>190.83333333333334</v>
      </c>
      <c r="FF23" s="17">
        <f>FE23*VLOOKUP('Données projet'!$B$16,Paramètres!$A$1:$I$89,3,0)*VLOOKUP('Données projet'!$B$16,Paramètres!$A$1:$I$89,5,0)</f>
        <v>86.82916666666668</v>
      </c>
      <c r="FG23" s="13">
        <f t="shared" si="47"/>
        <v>23.798907342245101</v>
      </c>
      <c r="FH23" s="20">
        <f t="shared" si="22"/>
        <v>192.67722889885468</v>
      </c>
      <c r="FI23" s="59">
        <f t="shared" si="23"/>
        <v>486.01056223218802</v>
      </c>
      <c r="FJ23" s="59">
        <f ca="1">AVERAGE(OFFSET($FI$3,0,0,'Données projet'!$E$16+1,1))-AVERAGE(OFFSET($H$3,0,0,'Données projet'!$E$16+1,1))</f>
        <v>279.43442619866738</v>
      </c>
      <c r="FK23" s="59">
        <f t="shared" si="48"/>
        <v>355.95192241448217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137</v>
      </c>
      <c r="O24" s="13">
        <f>N24*VLOOKUP('Données projet'!$B$9,Paramètres!$A$1:$I$89,3,0)*VLOOKUP('Données projet'!$B$9,Paramètres!$A$1:$I$89,5,0)</f>
        <v>81.926000000000002</v>
      </c>
      <c r="P24" s="13">
        <f t="shared" si="33"/>
        <v>22.607447146245146</v>
      </c>
      <c r="Q24" s="20">
        <f t="shared" si="2"/>
        <v>182.06242044637693</v>
      </c>
      <c r="R24" s="59">
        <f t="shared" si="0"/>
        <v>475.39575377971028</v>
      </c>
      <c r="S24" s="59">
        <f ca="1">AVERAGE(OFFSET($R$3,0,0,'Données projet'!$E$9+1,1))-AVERAGE(OFFSET($H$3,0,0,'Données projet'!$E$9+1,1))</f>
        <v>227.89848316900191</v>
      </c>
      <c r="T24" s="59">
        <f t="shared" si="34"/>
        <v>239.85955661394541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8.3294850729108969</v>
      </c>
      <c r="AA24" s="21">
        <f>EXP(-LN(2)/25)*AA23+(1-EXP(-LN(2)/25))/(LN(2)/25)*Calculateur!V24*Calculateur!X24*VLOOKUP('Données projet'!$B$9,Paramètres!$A$1:$I$89,3,0)*0.475*44/12</f>
        <v>6.3091129683212861</v>
      </c>
      <c r="AB24" s="21">
        <f>EXP(-LN(2)/2)*AB23+(1-EXP(-LN(2)/2))/(LN(2)/2)*V24*Y24*VLOOKUP('Données projet'!$B$9,Paramètres!$A$1:$I$89,3,0)*0.475*44/12</f>
        <v>3.465295735628124</v>
      </c>
      <c r="AC24" s="22">
        <f t="shared" si="3"/>
        <v>18.103893776860307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3.6111111111111112</v>
      </c>
      <c r="AI24" s="13">
        <f>IF('Données projet'!$A$62&gt;35,AI23+AH24-AQ23,IF(A24&lt;'Données projet'!$A$62,$AF$205^A24,IF(A24='Données projet'!$A$62,'Données projet'!$B$62,AI23+AH24-AQ23)))</f>
        <v>75.833333333333371</v>
      </c>
      <c r="AJ24" s="13">
        <f>AI24*VLOOKUP('Données projet'!$B$10,Paramètres!$A$1:$I$89,3,0)*VLOOKUP('Données projet'!$B$10,Paramètres!$A$1:$I$89,5,0)</f>
        <v>68.614000000000033</v>
      </c>
      <c r="AK24" s="13">
        <f t="shared" si="35"/>
        <v>19.328865335265945</v>
      </c>
      <c r="AL24" s="20">
        <f t="shared" si="4"/>
        <v>153.16715712558823</v>
      </c>
      <c r="AM24" s="59">
        <f t="shared" si="5"/>
        <v>446.50049045892155</v>
      </c>
      <c r="AN24" s="59">
        <f ca="1">AVERAGE(OFFSET($AM$3,0,0,'Données projet'!$E$10+1,1))-AVERAGE(OFFSET($H$3,0,0,'Données projet'!$E$10+1,1))</f>
        <v>215.7418266360167</v>
      </c>
      <c r="AO24" s="59">
        <f t="shared" si="36"/>
        <v>155.78420008229949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2.6904761904761907</v>
      </c>
      <c r="BD24" s="12">
        <f>IF('Données projet'!$A$88&gt;35,BD23+BC24-BL23,IF(A24&lt;'Données projet'!$A$88,$BA$205^A24,IF(A24='Données projet'!$A$88,'Données projet'!$B$88,BD23+BC24-BL23)))</f>
        <v>56.499999999999993</v>
      </c>
      <c r="BE24" s="13">
        <f>BD24*VLOOKUP('Données projet'!$B$11,Paramètres!$A$1:$I$89,3,0)*VLOOKUP('Données projet'!$B$11,Paramètres!$A$1:$I$89,5,0)</f>
        <v>57.29099999999999</v>
      </c>
      <c r="BF24" s="13">
        <f t="shared" si="37"/>
        <v>16.481518049262991</v>
      </c>
      <c r="BG24" s="20">
        <f t="shared" si="7"/>
        <v>128.48713560246634</v>
      </c>
      <c r="BH24" s="59">
        <f t="shared" si="8"/>
        <v>421.82046893579968</v>
      </c>
      <c r="BI24" s="59">
        <f ca="1">AVERAGE(OFFSET($BH$3,0,0,'Données projet'!$E$11+1,1))-AVERAGE(OFFSET($H$3,0,0,'Données projet'!$E$11+1,1))</f>
        <v>179.53921263314447</v>
      </c>
      <c r="BJ24" s="59">
        <f t="shared" si="38"/>
        <v>120.81513023281337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9.7266666666666648</v>
      </c>
      <c r="BY24" s="12">
        <f>IF('Données projet'!$A$114&gt;35,BY23+BX24-CG23,IF(A24&lt;'Données projet'!$A$114,$BV$205^A24,IF(A24='Données projet'!$A$114,'Données projet'!$B$114,BY23+BX24-CG23)))</f>
        <v>136.12666666666667</v>
      </c>
      <c r="BZ24" s="13">
        <f>BY24*VLOOKUP('Données projet'!$B$12,Paramètres!$A$1:$I$89,3,0)*VLOOKUP('Données projet'!$B$12,Paramètres!$A$1:$I$89,5,0)</f>
        <v>63.707280000000004</v>
      </c>
      <c r="CA24" s="13">
        <f t="shared" si="39"/>
        <v>18.102290126268148</v>
      </c>
      <c r="CB24" s="20">
        <f t="shared" si="10"/>
        <v>142.48500130325036</v>
      </c>
      <c r="CC24" s="59">
        <f t="shared" si="11"/>
        <v>435.8183346365837</v>
      </c>
      <c r="CD24" s="59">
        <f ca="1">AVERAGE(OFFSET($CC$3,0,0,'Données projet'!$E$12+1,1))-AVERAGE(OFFSET($H$3,0,0,'Données projet'!$E$12+1,1))</f>
        <v>310.06530483941287</v>
      </c>
      <c r="CE24" s="59">
        <f t="shared" si="40"/>
        <v>170.13425794309376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5.8540637921321954</v>
      </c>
      <c r="CM24" s="21">
        <f>EXP(-LN(2)/2)*CM23+(1-EXP(-LN(2)/2))/(LN(2)/2)*CG24*CJ24*VLOOKUP('Données projet'!$B$12,Paramètres!$A$1:$I$89,3,0)*0.475*44/12</f>
        <v>5.2096212882919959</v>
      </c>
      <c r="CN24" s="22">
        <f t="shared" si="12"/>
        <v>11.063685080424191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15</v>
      </c>
      <c r="CT24" s="12">
        <f>IF('Données projet'!$A$140&gt;35,CT23+CS24-DB23,IF(A24&lt;'Données projet'!$A$140,$CQ$205^A24,IF(A24='Données projet'!$A$140,'Données projet'!$B$140,CT23+CS24-DB23)))</f>
        <v>112</v>
      </c>
      <c r="CU24" s="17">
        <f>CT24*VLOOKUP('Données projet'!$B$13,Paramètres!$A$1:$I$89,3,0)*VLOOKUP('Données projet'!$B$13,Paramètres!$A$1:$I$89,5,0)</f>
        <v>66.976000000000013</v>
      </c>
      <c r="CV24" s="13">
        <f t="shared" si="41"/>
        <v>18.920572617446965</v>
      </c>
      <c r="CW24" s="20">
        <f t="shared" si="13"/>
        <v>149.60319730872013</v>
      </c>
      <c r="CX24" s="59">
        <f t="shared" si="14"/>
        <v>442.93653064205341</v>
      </c>
      <c r="CY24" s="59">
        <f ca="1">AVERAGE(OFFSET($CX$3,0,0,'Données projet'!$E$13+1,1))-AVERAGE(OFFSET($H$3,0,0,'Données projet'!$E$13+1,1))</f>
        <v>168.08890945052406</v>
      </c>
      <c r="CZ24" s="59">
        <f t="shared" si="42"/>
        <v>182.52462557642343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6.8610406513011188</v>
      </c>
      <c r="DH24" s="21">
        <f>EXP(-LN(2)/2)*DH23+(1-EXP(-LN(2)/2))/(LN(2)/2)*DB24*DE24*VLOOKUP('Données projet'!$B$13,Paramètres!$A$1:$I$89,3,0)*0.475*44/12</f>
        <v>5.4243990998434155</v>
      </c>
      <c r="DI24" s="22">
        <f t="shared" si="15"/>
        <v>12.285439751144533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28.833333333333332</v>
      </c>
      <c r="DO24" s="12">
        <f>IF('Données projet'!$A$166&gt;35,DO23+DN24-DW23,IF(A24&lt;'Données projet'!$A$166,$DL$205^A24,IF(A24='Données projet'!$A$166,'Données projet'!$B$166,DO23+DN24-DW23)))</f>
        <v>219.66666666666669</v>
      </c>
      <c r="DP24" s="17">
        <f>DO24*VLOOKUP('Données projet'!$B$14,Paramètres!$A$1:$I$89,3,0)*VLOOKUP('Données projet'!$B$14,Paramètres!$A$1:$I$89,5,0)</f>
        <v>122.79366666666668</v>
      </c>
      <c r="DQ24" s="13">
        <f t="shared" si="43"/>
        <v>32.32570088253398</v>
      </c>
      <c r="DR24" s="20">
        <f t="shared" si="16"/>
        <v>270.16623181485778</v>
      </c>
      <c r="DS24" s="59">
        <f t="shared" si="17"/>
        <v>563.4995651481911</v>
      </c>
      <c r="DT24" s="59">
        <f ca="1">AVERAGE(OFFSET($DS$3,0,0,'Données projet'!$E$14+1,1))-AVERAGE(OFFSET($H$3,0,0,'Données projet'!$E$14+1,1))</f>
        <v>355.23615781077405</v>
      </c>
      <c r="DU24" s="59">
        <f t="shared" si="44"/>
        <v>448.84541017639367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2.1523809523809527</v>
      </c>
      <c r="EJ24" s="12">
        <f>IF('Données projet'!$A$192&gt;35,EJ23+EI24-ER23,IF(A24&lt;'Données projet'!$A$192,$EG$205^A24,IF(A24='Données projet'!$A$192,'Données projet'!$B$192,EJ23+EI24-ER23)))</f>
        <v>45.199999999999996</v>
      </c>
      <c r="EK24" s="17">
        <f>EJ24*VLOOKUP('Données projet'!$B$15,Paramètres!$A$1:$I$89,3,0)*VLOOKUP('Données projet'!$B$15,Paramètres!$A$1:$I$89,5,0)</f>
        <v>48.653279999999995</v>
      </c>
      <c r="EL24" s="13">
        <f t="shared" si="45"/>
        <v>14.265412607603578</v>
      </c>
      <c r="EM24" s="20">
        <f t="shared" si="19"/>
        <v>109.58338962490956</v>
      </c>
      <c r="EN24" s="59">
        <f t="shared" si="20"/>
        <v>402.91672295824287</v>
      </c>
      <c r="EO24" s="59">
        <f ca="1">AVERAGE(OFFSET($EN$3,0,0,'Données projet'!$E$15+1,1))-AVERAGE(OFFSET($H$3,0,0,'Données projet'!$E$15+1,1))</f>
        <v>130.76477588601989</v>
      </c>
      <c r="EP24" s="59">
        <f t="shared" si="46"/>
        <v>94.034011511502172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28.833333333333332</v>
      </c>
      <c r="FE24" s="12">
        <f>IF('Données projet'!$A$218&gt;35,FE23+FD24-FM23,IF(A24&lt;'Données projet'!$A$218,$FB$205^A24,IF(A24='Données projet'!$A$218,'Données projet'!$B$218,FE23+FD24-FM23)))</f>
        <v>219.66666666666669</v>
      </c>
      <c r="FF24" s="17">
        <f>FE24*VLOOKUP('Données projet'!$B$16,Paramètres!$A$1:$I$89,3,0)*VLOOKUP('Données projet'!$B$16,Paramètres!$A$1:$I$89,5,0)</f>
        <v>99.948333333333352</v>
      </c>
      <c r="FG24" s="13">
        <f t="shared" si="47"/>
        <v>26.949688307284635</v>
      </c>
      <c r="FH24" s="20">
        <f t="shared" si="22"/>
        <v>221.01405435740966</v>
      </c>
      <c r="FI24" s="59">
        <f t="shared" si="23"/>
        <v>514.34738769074295</v>
      </c>
      <c r="FJ24" s="59">
        <f ca="1">AVERAGE(OFFSET($FI$3,0,0,'Données projet'!$E$16+1,1))-AVERAGE(OFFSET($H$3,0,0,'Données projet'!$E$16+1,1))</f>
        <v>279.43442619866738</v>
      </c>
      <c r="FK24" s="59">
        <f t="shared" si="48"/>
        <v>355.95192241448217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157</v>
      </c>
      <c r="O25" s="13">
        <f>N25*VLOOKUP('Données projet'!$B$9,Paramètres!$A$1:$I$89,3,0)*VLOOKUP('Données projet'!$B$9,Paramètres!$A$1:$I$89,5,0)</f>
        <v>93.885999999999996</v>
      </c>
      <c r="P25" s="13">
        <f t="shared" si="33"/>
        <v>25.500116461916402</v>
      </c>
      <c r="Q25" s="20">
        <f t="shared" si="2"/>
        <v>207.9308195045044</v>
      </c>
      <c r="R25" s="59">
        <f t="shared" si="0"/>
        <v>501.26415283783774</v>
      </c>
      <c r="S25" s="59">
        <f ca="1">AVERAGE(OFFSET($R$3,0,0,'Données projet'!$E$9+1,1))-AVERAGE(OFFSET($H$3,0,0,'Données projet'!$E$9+1,1))</f>
        <v>227.89848316900191</v>
      </c>
      <c r="T25" s="59">
        <f t="shared" si="34"/>
        <v>239.85955661394541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8.1661489511153533</v>
      </c>
      <c r="AA25" s="21">
        <f>EXP(-LN(2)/25)*AA24+(1-EXP(-LN(2)/25))/(LN(2)/25)*Calculateur!V25*Calculateur!X25*VLOOKUP('Données projet'!$B$9,Paramètres!$A$1:$I$89,3,0)*0.475*44/12</f>
        <v>6.1365899424207093</v>
      </c>
      <c r="AB25" s="21">
        <f>EXP(-LN(2)/2)*AB24+(1-EXP(-LN(2)/2))/(LN(2)/2)*V25*Y25*VLOOKUP('Données projet'!$B$9,Paramètres!$A$1:$I$89,3,0)*0.475*44/12</f>
        <v>2.4503341134794723</v>
      </c>
      <c r="AC25" s="22">
        <f t="shared" si="3"/>
        <v>16.753073007015534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3.6111111111111112</v>
      </c>
      <c r="AI25" s="13">
        <f>IF('Données projet'!$A$62&gt;35,AI24+AH25-AQ24,IF(A25&lt;'Données projet'!$A$62,$AF$205^A25,IF(A25='Données projet'!$A$62,'Données projet'!$B$62,AI24+AH25-AQ24)))</f>
        <v>79.444444444444485</v>
      </c>
      <c r="AJ25" s="13">
        <f>AI25*VLOOKUP('Données projet'!$B$10,Paramètres!$A$1:$I$89,3,0)*VLOOKUP('Données projet'!$B$10,Paramètres!$A$1:$I$89,5,0)</f>
        <v>71.881333333333359</v>
      </c>
      <c r="AK25" s="13">
        <f t="shared" si="35"/>
        <v>20.139935357673757</v>
      </c>
      <c r="AL25" s="20">
        <f t="shared" si="4"/>
        <v>160.27037630350409</v>
      </c>
      <c r="AM25" s="59">
        <f t="shared" si="5"/>
        <v>453.60370963683738</v>
      </c>
      <c r="AN25" s="59">
        <f ca="1">AVERAGE(OFFSET($AM$3,0,0,'Données projet'!$E$10+1,1))-AVERAGE(OFFSET($H$3,0,0,'Données projet'!$E$10+1,1))</f>
        <v>215.7418266360167</v>
      </c>
      <c r="AO25" s="59">
        <f t="shared" si="36"/>
        <v>155.78420008229949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2.6904761904761907</v>
      </c>
      <c r="BD25" s="12">
        <f>IF('Données projet'!$A$88&gt;35,BD24+BC25-BL24,IF(A25&lt;'Données projet'!$A$88,$BA$205^A25,IF(A25='Données projet'!$A$88,'Données projet'!$B$88,BD24+BC25-BL24)))</f>
        <v>59.190476190476183</v>
      </c>
      <c r="BE25" s="13">
        <f>BD25*VLOOKUP('Données projet'!$B$11,Paramètres!$A$1:$I$89,3,0)*VLOOKUP('Données projet'!$B$11,Paramètres!$A$1:$I$89,5,0)</f>
        <v>60.019142857142853</v>
      </c>
      <c r="BF25" s="13">
        <f t="shared" si="37"/>
        <v>17.17310883753035</v>
      </c>
      <c r="BG25" s="20">
        <f t="shared" si="7"/>
        <v>134.44317170155583</v>
      </c>
      <c r="BH25" s="59">
        <f t="shared" si="8"/>
        <v>427.77650503488917</v>
      </c>
      <c r="BI25" s="59">
        <f ca="1">AVERAGE(OFFSET($BH$3,0,0,'Données projet'!$E$11+1,1))-AVERAGE(OFFSET($H$3,0,0,'Données projet'!$E$11+1,1))</f>
        <v>179.53921263314447</v>
      </c>
      <c r="BJ25" s="59">
        <f t="shared" si="38"/>
        <v>120.81513023281337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9.7266666666666648</v>
      </c>
      <c r="BY25" s="12">
        <f>IF('Données projet'!$A$114&gt;35,BY24+BX25-CG24,IF(A25&lt;'Données projet'!$A$114,$BV$205^A25,IF(A25='Données projet'!$A$114,'Données projet'!$B$114,BY24+BX25-CG24)))</f>
        <v>145.85333333333332</v>
      </c>
      <c r="BZ25" s="13">
        <f>BY25*VLOOKUP('Données projet'!$B$12,Paramètres!$A$1:$I$89,3,0)*VLOOKUP('Données projet'!$B$12,Paramètres!$A$1:$I$89,5,0)</f>
        <v>68.259360000000001</v>
      </c>
      <c r="CA25" s="13">
        <f t="shared" si="39"/>
        <v>19.240563867673988</v>
      </c>
      <c r="CB25" s="20">
        <f t="shared" si="10"/>
        <v>152.39570073619885</v>
      </c>
      <c r="CC25" s="59">
        <f t="shared" si="11"/>
        <v>445.72903406953219</v>
      </c>
      <c r="CD25" s="59">
        <f ca="1">AVERAGE(OFFSET($CC$3,0,0,'Données projet'!$E$12+1,1))-AVERAGE(OFFSET($H$3,0,0,'Données projet'!$E$12+1,1))</f>
        <v>310.06530483941287</v>
      </c>
      <c r="CE25" s="59">
        <f t="shared" si="40"/>
        <v>170.13425794309376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5.6939841098845054</v>
      </c>
      <c r="CM25" s="21">
        <f>EXP(-LN(2)/2)*CM24+(1-EXP(-LN(2)/2))/(LN(2)/2)*CG25*CJ25*VLOOKUP('Données projet'!$B$12,Paramètres!$A$1:$I$89,3,0)*0.475*44/12</f>
        <v>3.6837585403650683</v>
      </c>
      <c r="CN25" s="22">
        <f t="shared" si="12"/>
        <v>9.3777426502495729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15</v>
      </c>
      <c r="CT25" s="12">
        <f>IF('Données projet'!$A$140&gt;35,CT24+CS25-DB24,IF(A25&lt;'Données projet'!$A$140,$CQ$205^A25,IF(A25='Données projet'!$A$140,'Données projet'!$B$140,CT24+CS25-DB24)))</f>
        <v>127</v>
      </c>
      <c r="CU25" s="17">
        <f>CT25*VLOOKUP('Données projet'!$B$13,Paramètres!$A$1:$I$89,3,0)*VLOOKUP('Données projet'!$B$13,Paramètres!$A$1:$I$89,5,0)</f>
        <v>75.945999999999998</v>
      </c>
      <c r="CV25" s="13">
        <f t="shared" si="41"/>
        <v>21.142979995226831</v>
      </c>
      <c r="CW25" s="20">
        <f t="shared" si="13"/>
        <v>169.09664015835338</v>
      </c>
      <c r="CX25" s="59">
        <f t="shared" si="14"/>
        <v>462.42997349168672</v>
      </c>
      <c r="CY25" s="59">
        <f ca="1">AVERAGE(OFFSET($CX$3,0,0,'Données projet'!$E$13+1,1))-AVERAGE(OFFSET($H$3,0,0,'Données projet'!$E$13+1,1))</f>
        <v>168.08890945052406</v>
      </c>
      <c r="CZ25" s="59">
        <f t="shared" si="42"/>
        <v>182.52462557642343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6.6734251338848427</v>
      </c>
      <c r="DH25" s="21">
        <f>EXP(-LN(2)/2)*DH24+(1-EXP(-LN(2)/2))/(LN(2)/2)*DB25*DE25*VLOOKUP('Données projet'!$B$13,Paramètres!$A$1:$I$89,3,0)*0.475*44/12</f>
        <v>3.8356293873614837</v>
      </c>
      <c r="DI25" s="22">
        <f t="shared" si="15"/>
        <v>10.509054521246327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28.833333333333332</v>
      </c>
      <c r="DO25" s="12">
        <f>IF('Données projet'!$A$166&gt;35,DO24+DN25-DW24,IF(A25&lt;'Données projet'!$A$166,$DL$205^A25,IF(A25='Données projet'!$A$166,'Données projet'!$B$166,DO24+DN25-DW24)))</f>
        <v>248.50000000000003</v>
      </c>
      <c r="DP25" s="17">
        <f>DO25*VLOOKUP('Données projet'!$B$14,Paramètres!$A$1:$I$89,3,0)*VLOOKUP('Données projet'!$B$14,Paramètres!$A$1:$I$89,5,0)</f>
        <v>138.91150000000002</v>
      </c>
      <c r="DQ25" s="13">
        <f t="shared" si="43"/>
        <v>36.047532265727178</v>
      </c>
      <c r="DR25" s="20">
        <f t="shared" si="16"/>
        <v>304.72031452947482</v>
      </c>
      <c r="DS25" s="59">
        <f t="shared" si="17"/>
        <v>598.05364786280813</v>
      </c>
      <c r="DT25" s="59">
        <f ca="1">AVERAGE(OFFSET($DS$3,0,0,'Données projet'!$E$14+1,1))-AVERAGE(OFFSET($H$3,0,0,'Données projet'!$E$14+1,1))</f>
        <v>355.23615781077405</v>
      </c>
      <c r="DU25" s="59">
        <f t="shared" si="44"/>
        <v>448.84541017639367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2.1523809523809527</v>
      </c>
      <c r="EJ25" s="12">
        <f>IF('Données projet'!$A$192&gt;35,EJ24+EI25-ER24,IF(A25&lt;'Données projet'!$A$192,$EG$205^A25,IF(A25='Données projet'!$A$192,'Données projet'!$B$192,EJ24+EI25-ER24)))</f>
        <v>47.352380952380948</v>
      </c>
      <c r="EK25" s="17">
        <f>EJ25*VLOOKUP('Données projet'!$B$15,Paramètres!$A$1:$I$89,3,0)*VLOOKUP('Données projet'!$B$15,Paramètres!$A$1:$I$89,5,0)</f>
        <v>50.970102857142848</v>
      </c>
      <c r="EL25" s="13">
        <f t="shared" si="45"/>
        <v>14.864012076460934</v>
      </c>
      <c r="EM25" s="20">
        <f t="shared" si="19"/>
        <v>114.66108350935991</v>
      </c>
      <c r="EN25" s="59">
        <f t="shared" si="20"/>
        <v>407.99441684269323</v>
      </c>
      <c r="EO25" s="59">
        <f ca="1">AVERAGE(OFFSET($EN$3,0,0,'Données projet'!$E$15+1,1))-AVERAGE(OFFSET($H$3,0,0,'Données projet'!$E$15+1,1))</f>
        <v>130.76477588601989</v>
      </c>
      <c r="EP25" s="59">
        <f t="shared" si="46"/>
        <v>94.034011511502172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28.833333333333332</v>
      </c>
      <c r="FE25" s="12">
        <f>IF('Données projet'!$A$218&gt;35,FE24+FD25-FM24,IF(A25&lt;'Données projet'!$A$218,$FB$205^A25,IF(A25='Données projet'!$A$218,'Données projet'!$B$218,FE24+FD25-FM24)))</f>
        <v>248.50000000000003</v>
      </c>
      <c r="FF25" s="17">
        <f>FE25*VLOOKUP('Données projet'!$B$16,Paramètres!$A$1:$I$89,3,0)*VLOOKUP('Données projet'!$B$16,Paramètres!$A$1:$I$89,5,0)</f>
        <v>113.06750000000001</v>
      </c>
      <c r="FG25" s="13">
        <f t="shared" si="47"/>
        <v>30.052550518186322</v>
      </c>
      <c r="FH25" s="20">
        <f t="shared" si="22"/>
        <v>249.26742131917453</v>
      </c>
      <c r="FI25" s="59">
        <f t="shared" si="23"/>
        <v>542.60075465250782</v>
      </c>
      <c r="FJ25" s="59">
        <f ca="1">AVERAGE(OFFSET($FI$3,0,0,'Données projet'!$E$16+1,1))-AVERAGE(OFFSET($H$3,0,0,'Données projet'!$E$16+1,1))</f>
        <v>279.43442619866738</v>
      </c>
      <c r="FK25" s="59">
        <f t="shared" si="48"/>
        <v>355.95192241448217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20</v>
      </c>
      <c r="N26" s="13">
        <f>IF('Données projet'!$A$36&gt;35,N25+M26-V25,IF(A26&lt;'Données projet'!$A$36,$K$205^A26,IF(A26='Données projet'!$A$36,'Données projet'!$B$36,N25+M26-V25)))</f>
        <v>177</v>
      </c>
      <c r="O26" s="13">
        <f>N26*VLOOKUP('Données projet'!$B$9,Paramètres!$A$1:$I$89,3,0)*VLOOKUP('Données projet'!$B$9,Paramètres!$A$1:$I$89,5,0)</f>
        <v>105.846</v>
      </c>
      <c r="P26" s="13">
        <f t="shared" si="33"/>
        <v>28.350087862757704</v>
      </c>
      <c r="Q26" s="20">
        <f t="shared" si="2"/>
        <v>233.72485302763633</v>
      </c>
      <c r="R26" s="59">
        <f t="shared" si="0"/>
        <v>527.05818636096967</v>
      </c>
      <c r="S26" s="59">
        <f ca="1">AVERAGE(OFFSET($R$3,0,0,'Données projet'!$E$9+1,1))-AVERAGE(OFFSET($H$3,0,0,'Données projet'!$E$9+1,1))</f>
        <v>227.89848316900191</v>
      </c>
      <c r="T26" s="59">
        <f t="shared" si="34"/>
        <v>239.85955661394541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8.006015751043023</v>
      </c>
      <c r="AA26" s="21">
        <f>EXP(-LN(2)/25)*AA25+(1-EXP(-LN(2)/25))/(LN(2)/25)*Calculateur!V26*Calculateur!X26*VLOOKUP('Données projet'!$B$9,Paramètres!$A$1:$I$89,3,0)*0.475*44/12</f>
        <v>5.968784567735975</v>
      </c>
      <c r="AB26" s="21">
        <f>EXP(-LN(2)/2)*AB25+(1-EXP(-LN(2)/2))/(LN(2)/2)*V26*Y26*VLOOKUP('Données projet'!$B$9,Paramètres!$A$1:$I$89,3,0)*0.475*44/12</f>
        <v>1.7326478678140622</v>
      </c>
      <c r="AC26" s="22">
        <f t="shared" si="3"/>
        <v>15.70744818659306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3.6111111111111112</v>
      </c>
      <c r="AI26" s="13">
        <f>IF('Données projet'!$A$62&gt;35,AI25+AH26-AQ25,IF(A26&lt;'Données projet'!$A$62,$AF$205^A26,IF(A26='Données projet'!$A$62,'Données projet'!$B$62,AI25+AH26-AQ25)))</f>
        <v>83.0555555555556</v>
      </c>
      <c r="AJ26" s="13">
        <f>AI26*VLOOKUP('Données projet'!$B$10,Paramètres!$A$1:$I$89,3,0)*VLOOKUP('Données projet'!$B$10,Paramètres!$A$1:$I$89,5,0)</f>
        <v>75.148666666666699</v>
      </c>
      <c r="AK26" s="13">
        <f t="shared" si="35"/>
        <v>20.946723857947642</v>
      </c>
      <c r="AL26" s="20">
        <f t="shared" si="4"/>
        <v>167.36613849703664</v>
      </c>
      <c r="AM26" s="59">
        <f t="shared" si="5"/>
        <v>460.69947183036993</v>
      </c>
      <c r="AN26" s="59">
        <f ca="1">AVERAGE(OFFSET($AM$3,0,0,'Données projet'!$E$10+1,1))-AVERAGE(OFFSET($H$3,0,0,'Données projet'!$E$10+1,1))</f>
        <v>215.7418266360167</v>
      </c>
      <c r="AO26" s="59">
        <f t="shared" si="36"/>
        <v>155.78420008229949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2.6904761904761907</v>
      </c>
      <c r="BD26" s="12">
        <f>IF('Données projet'!$A$88&gt;35,BD25+BC26-BL25,IF(A26&lt;'Données projet'!$A$88,$BA$205^A26,IF(A26='Données projet'!$A$88,'Données projet'!$B$88,BD25+BC26-BL25)))</f>
        <v>61.880952380952372</v>
      </c>
      <c r="BE26" s="13">
        <f>BD26*VLOOKUP('Données projet'!$B$11,Paramètres!$A$1:$I$89,3,0)*VLOOKUP('Données projet'!$B$11,Paramètres!$A$1:$I$89,5,0)</f>
        <v>62.747285714285709</v>
      </c>
      <c r="BF26" s="13">
        <f t="shared" si="37"/>
        <v>17.861048817377036</v>
      </c>
      <c r="BG26" s="20">
        <f t="shared" si="7"/>
        <v>140.39284930931262</v>
      </c>
      <c r="BH26" s="59">
        <f t="shared" si="8"/>
        <v>433.72618264264594</v>
      </c>
      <c r="BI26" s="59">
        <f ca="1">AVERAGE(OFFSET($BH$3,0,0,'Données projet'!$E$11+1,1))-AVERAGE(OFFSET($H$3,0,0,'Données projet'!$E$11+1,1))</f>
        <v>179.53921263314447</v>
      </c>
      <c r="BJ26" s="59">
        <f t="shared" si="38"/>
        <v>120.81513023281337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9.7266666666666648</v>
      </c>
      <c r="BY26" s="12">
        <f>IF('Données projet'!$A$114&gt;35,BY25+BX26-CG25,IF(A26&lt;'Données projet'!$A$114,$BV$205^A26,IF(A26='Données projet'!$A$114,'Données projet'!$B$114,BY25+BX26-CG25)))</f>
        <v>155.57999999999998</v>
      </c>
      <c r="BZ26" s="13">
        <f>BY26*VLOOKUP('Données projet'!$B$12,Paramètres!$A$1:$I$89,3,0)*VLOOKUP('Données projet'!$B$12,Paramètres!$A$1:$I$89,5,0)</f>
        <v>72.81143999999999</v>
      </c>
      <c r="CA26" s="13">
        <f t="shared" si="39"/>
        <v>20.370029094457095</v>
      </c>
      <c r="CB26" s="20">
        <f t="shared" si="10"/>
        <v>162.29105867284608</v>
      </c>
      <c r="CC26" s="59">
        <f t="shared" si="11"/>
        <v>455.62439200617939</v>
      </c>
      <c r="CD26" s="59">
        <f ca="1">AVERAGE(OFFSET($CC$3,0,0,'Données projet'!$E$12+1,1))-AVERAGE(OFFSET($H$3,0,0,'Données projet'!$E$12+1,1))</f>
        <v>310.06530483941287</v>
      </c>
      <c r="CE26" s="59">
        <f t="shared" si="40"/>
        <v>170.13425794309376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5.5382818149661031</v>
      </c>
      <c r="CM26" s="21">
        <f>EXP(-LN(2)/2)*CM25+(1-EXP(-LN(2)/2))/(LN(2)/2)*CG26*CJ26*VLOOKUP('Données projet'!$B$12,Paramètres!$A$1:$I$89,3,0)*0.475*44/12</f>
        <v>2.6048106441459984</v>
      </c>
      <c r="CN26" s="22">
        <f t="shared" si="12"/>
        <v>8.1430924591121006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15</v>
      </c>
      <c r="CT26" s="12">
        <f>IF('Données projet'!$A$140&gt;35,CT25+CS26-DB25,IF(A26&lt;'Données projet'!$A$140,$CQ$205^A26,IF(A26='Données projet'!$A$140,'Données projet'!$B$140,CT25+CS26-DB25)))</f>
        <v>142</v>
      </c>
      <c r="CU26" s="17">
        <f>CT26*VLOOKUP('Données projet'!$B$13,Paramètres!$A$1:$I$89,3,0)*VLOOKUP('Données projet'!$B$13,Paramètres!$A$1:$I$89,5,0)</f>
        <v>84.916000000000011</v>
      </c>
      <c r="CV26" s="13">
        <f t="shared" si="41"/>
        <v>23.33496813320572</v>
      </c>
      <c r="CW26" s="20">
        <f t="shared" si="13"/>
        <v>188.53710283199996</v>
      </c>
      <c r="CX26" s="59">
        <f t="shared" si="14"/>
        <v>481.87043616533327</v>
      </c>
      <c r="CY26" s="59">
        <f ca="1">AVERAGE(OFFSET($CX$3,0,0,'Données projet'!$E$13+1,1))-AVERAGE(OFFSET($H$3,0,0,'Données projet'!$E$13+1,1))</f>
        <v>168.08890945052406</v>
      </c>
      <c r="CZ26" s="59">
        <f t="shared" si="42"/>
        <v>182.52462557642343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6.4909399726585866</v>
      </c>
      <c r="DH26" s="21">
        <f>EXP(-LN(2)/2)*DH25+(1-EXP(-LN(2)/2))/(LN(2)/2)*DB26*DE26*VLOOKUP('Données projet'!$B$13,Paramètres!$A$1:$I$89,3,0)*0.475*44/12</f>
        <v>2.7121995499217082</v>
      </c>
      <c r="DI26" s="22">
        <f t="shared" si="15"/>
        <v>9.2031395225802939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28.833333333333332</v>
      </c>
      <c r="DO26" s="12">
        <f>IF('Données projet'!$A$166&gt;35,DO25+DN26-DW25,IF(A26&lt;'Données projet'!$A$166,$DL$205^A26,IF(A26='Données projet'!$A$166,'Données projet'!$B$166,DO25+DN26-DW25)))</f>
        <v>277.33333333333337</v>
      </c>
      <c r="DP26" s="17">
        <f>DO26*VLOOKUP('Données projet'!$B$14,Paramètres!$A$1:$I$89,3,0)*VLOOKUP('Données projet'!$B$14,Paramètres!$A$1:$I$89,5,0)</f>
        <v>155.02933333333334</v>
      </c>
      <c r="DQ26" s="13">
        <f t="shared" si="43"/>
        <v>39.719316712120367</v>
      </c>
      <c r="DR26" s="20">
        <f t="shared" si="16"/>
        <v>339.1872321624985</v>
      </c>
      <c r="DS26" s="59">
        <f t="shared" si="17"/>
        <v>632.52056549583176</v>
      </c>
      <c r="DT26" s="59">
        <f ca="1">AVERAGE(OFFSET($DS$3,0,0,'Données projet'!$E$14+1,1))-AVERAGE(OFFSET($H$3,0,0,'Données projet'!$E$14+1,1))</f>
        <v>355.23615781077405</v>
      </c>
      <c r="DU26" s="59">
        <f t="shared" si="44"/>
        <v>448.84541017639367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2.1523809523809527</v>
      </c>
      <c r="EJ26" s="12">
        <f>IF('Données projet'!$A$192&gt;35,EJ25+EI26-ER25,IF(A26&lt;'Données projet'!$A$192,$EG$205^A26,IF(A26='Données projet'!$A$192,'Données projet'!$B$192,EJ25+EI26-ER25)))</f>
        <v>49.504761904761899</v>
      </c>
      <c r="EK26" s="17">
        <f>EJ26*VLOOKUP('Données projet'!$B$15,Paramètres!$A$1:$I$89,3,0)*VLOOKUP('Données projet'!$B$15,Paramètres!$A$1:$I$89,5,0)</f>
        <v>53.286925714285708</v>
      </c>
      <c r="EL26" s="13">
        <f t="shared" si="45"/>
        <v>15.459451624714088</v>
      </c>
      <c r="EM26" s="20">
        <f t="shared" si="19"/>
        <v>119.73327386542462</v>
      </c>
      <c r="EN26" s="59">
        <f t="shared" si="20"/>
        <v>413.06660719875794</v>
      </c>
      <c r="EO26" s="59">
        <f ca="1">AVERAGE(OFFSET($EN$3,0,0,'Données projet'!$E$15+1,1))-AVERAGE(OFFSET($H$3,0,0,'Données projet'!$E$15+1,1))</f>
        <v>130.76477588601989</v>
      </c>
      <c r="EP26" s="59">
        <f t="shared" si="46"/>
        <v>94.034011511502172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28.833333333333332</v>
      </c>
      <c r="FE26" s="12">
        <f>IF('Données projet'!$A$218&gt;35,FE25+FD26-FM25,IF(A26&lt;'Données projet'!$A$218,$FB$205^A26,IF(A26='Données projet'!$A$218,'Données projet'!$B$218,FE25+FD26-FM25)))</f>
        <v>277.33333333333337</v>
      </c>
      <c r="FF26" s="17">
        <f>FE26*VLOOKUP('Données projet'!$B$16,Paramètres!$A$1:$I$89,3,0)*VLOOKUP('Données projet'!$B$16,Paramètres!$A$1:$I$89,5,0)</f>
        <v>126.18666666666668</v>
      </c>
      <c r="FG26" s="13">
        <f t="shared" si="47"/>
        <v>33.113688982636383</v>
      </c>
      <c r="FH26" s="20">
        <f t="shared" si="22"/>
        <v>277.44811942253614</v>
      </c>
      <c r="FI26" s="59">
        <f t="shared" si="23"/>
        <v>570.7814527558694</v>
      </c>
      <c r="FJ26" s="59">
        <f ca="1">AVERAGE(OFFSET($FI$3,0,0,'Données projet'!$E$16+1,1))-AVERAGE(OFFSET($H$3,0,0,'Données projet'!$E$16+1,1))</f>
        <v>279.43442619866738</v>
      </c>
      <c r="FK26" s="59">
        <f t="shared" si="48"/>
        <v>355.95192241448217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197</v>
      </c>
      <c r="L27" s="12">
        <f>VLOOKUP(A27,'Données projet'!$A$35:$I$55,9,0)</f>
        <v>20</v>
      </c>
      <c r="M27" s="12">
        <f t="array" ref="M27">INDEX(L:L,MIN(IF(ISNUMBER(L27:L223),ROW(L27:L223),"")))</f>
        <v>20</v>
      </c>
      <c r="N27" s="13">
        <f>IF('Données projet'!$A$36&gt;35,N26+M27-V26,IF(A27&lt;'Données projet'!$A$36,$K$205^A27,IF(A27='Données projet'!$A$36,'Données projet'!$B$36,N26+M27-V26)))</f>
        <v>197</v>
      </c>
      <c r="O27" s="13">
        <f>N27*VLOOKUP('Données projet'!$B$9,Paramètres!$A$1:$I$89,3,0)*VLOOKUP('Données projet'!$B$9,Paramètres!$A$1:$I$89,5,0)</f>
        <v>117.80600000000001</v>
      </c>
      <c r="P27" s="13">
        <f t="shared" si="33"/>
        <v>31.162736572430632</v>
      </c>
      <c r="Q27" s="20">
        <f t="shared" si="2"/>
        <v>259.45388286365005</v>
      </c>
      <c r="R27" s="59">
        <f t="shared" si="0"/>
        <v>552.78721619698331</v>
      </c>
      <c r="S27" s="59">
        <f ca="1">AVERAGE(OFFSET($R$3,0,0,'Données projet'!$E$9+1,1))-AVERAGE(OFFSET($H$3,0,0,'Données projet'!$E$9+1,1))</f>
        <v>227.89848316900191</v>
      </c>
      <c r="T27" s="59">
        <f t="shared" si="34"/>
        <v>239.85955661394541</v>
      </c>
      <c r="U27" s="15">
        <f>IF(ISNA(VLOOKUP(A27,'Données projet'!$A$35:$I$55,3,0)),0,VLOOKUP(A27,'Données projet'!$A$35:$I$55,3,0))</f>
        <v>3</v>
      </c>
      <c r="V27" s="15">
        <f>IF(ISNA(VLOOKUP(A27,'Données projet'!$A$35:$I$55,4,0)),0,VLOOKUP(A27,'Données projet'!$A$35:$I$55,4,0))</f>
        <v>43</v>
      </c>
      <c r="W27" s="16">
        <f>IF(ISNA(VLOOKUP(A27,'Données projet'!$A$35:$I$55,5,0)),0%,VLOOKUP(A27,'Données projet'!$A$35:$I$55,5,0)*VLOOKUP('Données projet'!$B$9,Paramètres!$A$1:$I$89,7,0))</f>
        <v>0.315</v>
      </c>
      <c r="X27" s="16">
        <f>IF(ISNA(VLOOKUP(A27,'Données projet'!$A$35:$I$55,6,0)),0%,VLOOKUP(A27,'Données projet'!$A$35:$I$55,6,0)*VLOOKUP('Données projet'!$B$9,Paramètres!$A$1:$I$89,7,0))</f>
        <v>7.5600000000000001E-2</v>
      </c>
      <c r="Y27" s="16">
        <f>IF(ISNA(VLOOKUP(A27,'Données projet'!$A$35:$I$55,7,0)),0%,VLOOKUP(A27,'Données projet'!$A$35:$I$55,7,0))</f>
        <v>0.13200000000000001</v>
      </c>
      <c r="Z27" s="21">
        <f>EXP(-LN(2)/35)*Z26+(1-EXP(-LN(2)/35))/(LN(2)/35)*V27*W27*VLOOKUP('Données projet'!$B$9,Paramètres!$A$1:$I$89,3,0)*0.475*44/12</f>
        <v>18.59407536361179</v>
      </c>
      <c r="AA27" s="21">
        <f>EXP(-LN(2)/25)*AA26+(1-EXP(-LN(2)/25))/(LN(2)/25)*Calculateur!V27*Calculateur!X27*VLOOKUP('Données projet'!$B$9,Paramètres!$A$1:$I$89,3,0)*0.475*44/12</f>
        <v>8.3742267194305402</v>
      </c>
      <c r="AB27" s="21">
        <f>EXP(-LN(2)/2)*AB26+(1-EXP(-LN(2)/2))/(LN(2)/2)*V27*Y27*VLOOKUP('Données projet'!$B$9,Paramètres!$A$1:$I$89,3,0)*0.475*44/12</f>
        <v>5.0682442681543485</v>
      </c>
      <c r="AC27" s="22">
        <f t="shared" si="3"/>
        <v>32.036546351196677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3.6111111111111112</v>
      </c>
      <c r="AI27" s="13">
        <f>IF('Données projet'!$A$62&gt;35,AI26+AH27-AQ26,IF(A27&lt;'Données projet'!$A$62,$AF$205^A27,IF(A27='Données projet'!$A$62,'Données projet'!$B$62,AI26+AH27-AQ26)))</f>
        <v>86.666666666666714</v>
      </c>
      <c r="AJ27" s="13">
        <f>AI27*VLOOKUP('Données projet'!$B$10,Paramètres!$A$1:$I$89,3,0)*VLOOKUP('Données projet'!$B$10,Paramètres!$A$1:$I$89,5,0)</f>
        <v>78.416000000000039</v>
      </c>
      <c r="AK27" s="13">
        <f t="shared" si="35"/>
        <v>21.749438265868008</v>
      </c>
      <c r="AL27" s="20">
        <f t="shared" si="4"/>
        <v>174.45480497972017</v>
      </c>
      <c r="AM27" s="59">
        <f t="shared" si="5"/>
        <v>467.78813831305348</v>
      </c>
      <c r="AN27" s="59">
        <f ca="1">AVERAGE(OFFSET($AM$3,0,0,'Données projet'!$E$10+1,1))-AVERAGE(OFFSET($H$3,0,0,'Données projet'!$E$10+1,1))</f>
        <v>215.7418266360167</v>
      </c>
      <c r="AO27" s="59">
        <f t="shared" si="36"/>
        <v>155.78420008229949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2.6904761904761907</v>
      </c>
      <c r="BD27" s="12">
        <f>IF('Données projet'!$A$88&gt;35,BD26+BC27-BL26,IF(A27&lt;'Données projet'!$A$88,$BA$205^A27,IF(A27='Données projet'!$A$88,'Données projet'!$B$88,BD26+BC27-BL26)))</f>
        <v>64.571428571428569</v>
      </c>
      <c r="BE27" s="13">
        <f>BD27*VLOOKUP('Données projet'!$B$11,Paramètres!$A$1:$I$89,3,0)*VLOOKUP('Données projet'!$B$11,Paramètres!$A$1:$I$89,5,0)</f>
        <v>65.47542857142858</v>
      </c>
      <c r="BF27" s="13">
        <f t="shared" si="37"/>
        <v>18.545514861972247</v>
      </c>
      <c r="BG27" s="20">
        <f t="shared" si="7"/>
        <v>146.33647647983977</v>
      </c>
      <c r="BH27" s="59">
        <f t="shared" si="8"/>
        <v>439.66980981317306</v>
      </c>
      <c r="BI27" s="59">
        <f ca="1">AVERAGE(OFFSET($BH$3,0,0,'Données projet'!$E$11+1,1))-AVERAGE(OFFSET($H$3,0,0,'Données projet'!$E$11+1,1))</f>
        <v>179.53921263314447</v>
      </c>
      <c r="BJ27" s="59">
        <f t="shared" si="38"/>
        <v>120.81513023281337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9.7266666666666648</v>
      </c>
      <c r="BY27" s="12">
        <f>IF('Données projet'!$A$114&gt;35,BY26+BX27-CG26,IF(A27&lt;'Données projet'!$A$114,$BV$205^A27,IF(A27='Données projet'!$A$114,'Données projet'!$B$114,BY26+BX27-CG26)))</f>
        <v>165.30666666666664</v>
      </c>
      <c r="BZ27" s="13">
        <f>BY27*VLOOKUP('Données projet'!$B$12,Paramètres!$A$1:$I$89,3,0)*VLOOKUP('Données projet'!$B$12,Paramètres!$A$1:$I$89,5,0)</f>
        <v>77.363519999999994</v>
      </c>
      <c r="CA27" s="13">
        <f t="shared" si="39"/>
        <v>21.49129919730564</v>
      </c>
      <c r="CB27" s="20">
        <f t="shared" si="10"/>
        <v>172.17214343530728</v>
      </c>
      <c r="CC27" s="59">
        <f t="shared" si="11"/>
        <v>465.50547676864062</v>
      </c>
      <c r="CD27" s="59">
        <f ca="1">AVERAGE(OFFSET($CC$3,0,0,'Données projet'!$E$12+1,1))-AVERAGE(OFFSET($H$3,0,0,'Données projet'!$E$12+1,1))</f>
        <v>310.06530483941287</v>
      </c>
      <c r="CE27" s="59">
        <f t="shared" si="40"/>
        <v>170.13425794309376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5.386837207490272</v>
      </c>
      <c r="CM27" s="21">
        <f>EXP(-LN(2)/2)*CM26+(1-EXP(-LN(2)/2))/(LN(2)/2)*CG27*CJ27*VLOOKUP('Données projet'!$B$12,Paramètres!$A$1:$I$89,3,0)*0.475*44/12</f>
        <v>1.8418792701825346</v>
      </c>
      <c r="CN27" s="22">
        <f t="shared" si="12"/>
        <v>7.2287164776728066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>
        <f>VLOOKUP(A27,'Données projet'!$A$139:$I$159,2,0)</f>
        <v>157</v>
      </c>
      <c r="CR27" s="12">
        <f>VLOOKUP(A27,'Données projet'!$A$139:$I$159,9,0)</f>
        <v>15</v>
      </c>
      <c r="CS27" s="12">
        <f t="array" ref="CS27">INDEX(CR:CR,MIN(IF(ISNUMBER(CR27:CR223),ROW(CR27:CR223),"")))</f>
        <v>15</v>
      </c>
      <c r="CT27" s="12">
        <f>IF('Données projet'!$A$140&gt;35,CT26+CS27-DB26,IF(A27&lt;'Données projet'!$A$140,$CQ$205^A27,IF(A27='Données projet'!$A$140,'Données projet'!$B$140,CT26+CS27-DB26)))</f>
        <v>157</v>
      </c>
      <c r="CU27" s="17">
        <f>CT27*VLOOKUP('Données projet'!$B$13,Paramètres!$A$1:$I$89,3,0)*VLOOKUP('Données projet'!$B$13,Paramètres!$A$1:$I$89,5,0)</f>
        <v>93.885999999999996</v>
      </c>
      <c r="CV27" s="13">
        <f t="shared" si="41"/>
        <v>25.500116461916402</v>
      </c>
      <c r="CW27" s="20">
        <f t="shared" si="13"/>
        <v>207.9308195045044</v>
      </c>
      <c r="CX27" s="59">
        <f t="shared" si="14"/>
        <v>501.26415283783774</v>
      </c>
      <c r="CY27" s="59">
        <f ca="1">AVERAGE(OFFSET($CX$3,0,0,'Données projet'!$E$13+1,1))-AVERAGE(OFFSET($H$3,0,0,'Données projet'!$E$13+1,1))</f>
        <v>168.08890945052406</v>
      </c>
      <c r="CZ27" s="59">
        <f t="shared" si="42"/>
        <v>182.52462557642343</v>
      </c>
      <c r="DA27" s="15">
        <f>IF(ISNA(VLOOKUP(A27,'Données projet'!$A$139:$I$159,3,0)),0,VLOOKUP(A27,'Données projet'!$A$139:$I$159,3,0))</f>
        <v>3</v>
      </c>
      <c r="DB27" s="15">
        <f>IF(ISNA(VLOOKUP(A27,'Données projet'!$A$139:$I$159,4,0)),0,VLOOKUP(A27,'Données projet'!$A$139:$I$159,4,0))</f>
        <v>31</v>
      </c>
      <c r="DC27" s="16">
        <f>IF(ISNA(VLOOKUP(A27,'Données projet'!$A$139:$I$159,5,0)),0%,VLOOKUP(A27,'Données projet'!$A$139:$I$159,5,0)*VLOOKUP('Données projet'!$B$13,Paramètres!$A$1:$I$89,7,0))</f>
        <v>0.315</v>
      </c>
      <c r="DD27" s="16">
        <f>IF(ISNA(VLOOKUP(A27,'Données projet'!$A$139:$I$159,6,0)),0%,VLOOKUP(A27,'Données projet'!$A$139:$I$159,6,0)*VLOOKUP('Données projet'!$B$13,Paramètres!$A$1:$I$89,7,0))</f>
        <v>7.5600000000000001E-2</v>
      </c>
      <c r="DE27" s="16">
        <f>IF(ISNA(VLOOKUP(A27,'Données projet'!$A$139:$I$159,7,0)),0%,VLOOKUP(A27,'Données projet'!$A$139:$I$159,7,0))</f>
        <v>0.13200000000000001</v>
      </c>
      <c r="DF27" s="21">
        <f>EXP(-LN(2)/35)*DF26+(1-EXP(-LN(2)/35))/(LN(2)/35)*DB27*DC27*VLOOKUP('Données projet'!$B$13,Paramètres!$A$1:$I$89,3,0)*0.475*44/12</f>
        <v>7.7464333406055319</v>
      </c>
      <c r="DG27" s="21">
        <f>EXP(-LN(2)/25)*DG26+(1-EXP(-LN(2)/25))/(LN(2)/25)*Calculateur!DB27*Calculateur!DD27*VLOOKUP('Données projet'!$B$13,Paramètres!$A$1:$I$89,3,0)*0.475*44/12</f>
        <v>8.1652687211835939</v>
      </c>
      <c r="DH27" s="21">
        <f>EXP(-LN(2)/2)*DH26+(1-EXP(-LN(2)/2))/(LN(2)/2)*DB27*DE27*VLOOKUP('Données projet'!$B$13,Paramètres!$A$1:$I$89,3,0)*0.475*44/12</f>
        <v>4.6884052414447641</v>
      </c>
      <c r="DI27" s="22">
        <f t="shared" si="15"/>
        <v>20.600107303233891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28.833333333333332</v>
      </c>
      <c r="DO27" s="12">
        <f>IF('Données projet'!$A$166&gt;35,DO26+DN27-DW26,IF(A27&lt;'Données projet'!$A$166,$DL$205^A27,IF(A27='Données projet'!$A$166,'Données projet'!$B$166,DO26+DN27-DW26)))</f>
        <v>306.16666666666669</v>
      </c>
      <c r="DP27" s="17">
        <f>DO27*VLOOKUP('Données projet'!$B$14,Paramètres!$A$1:$I$89,3,0)*VLOOKUP('Données projet'!$B$14,Paramètres!$A$1:$I$89,5,0)</f>
        <v>171.14716666666669</v>
      </c>
      <c r="DQ27" s="13">
        <f t="shared" si="43"/>
        <v>43.346850105371793</v>
      </c>
      <c r="DR27" s="20">
        <f t="shared" si="16"/>
        <v>373.57707921130037</v>
      </c>
      <c r="DS27" s="59">
        <f t="shared" si="17"/>
        <v>666.91041254463369</v>
      </c>
      <c r="DT27" s="59">
        <f ca="1">AVERAGE(OFFSET($DS$3,0,0,'Données projet'!$E$14+1,1))-AVERAGE(OFFSET($H$3,0,0,'Données projet'!$E$14+1,1))</f>
        <v>355.23615781077405</v>
      </c>
      <c r="DU27" s="59">
        <f t="shared" si="44"/>
        <v>448.84541017639367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2.1523809523809527</v>
      </c>
      <c r="EJ27" s="12">
        <f>IF('Données projet'!$A$192&gt;35,EJ26+EI27-ER26,IF(A27&lt;'Données projet'!$A$192,$EG$205^A27,IF(A27='Données projet'!$A$192,'Données projet'!$B$192,EJ26+EI27-ER26)))</f>
        <v>51.657142857142851</v>
      </c>
      <c r="EK27" s="17">
        <f>EJ27*VLOOKUP('Données projet'!$B$15,Paramètres!$A$1:$I$89,3,0)*VLOOKUP('Données projet'!$B$15,Paramètres!$A$1:$I$89,5,0)</f>
        <v>55.603748571428561</v>
      </c>
      <c r="EL27" s="13">
        <f t="shared" si="45"/>
        <v>16.051884343160296</v>
      </c>
      <c r="EM27" s="20">
        <f t="shared" si="19"/>
        <v>124.80022732624228</v>
      </c>
      <c r="EN27" s="59">
        <f t="shared" si="20"/>
        <v>418.13356065957561</v>
      </c>
      <c r="EO27" s="59">
        <f ca="1">AVERAGE(OFFSET($EN$3,0,0,'Données projet'!$E$15+1,1))-AVERAGE(OFFSET($H$3,0,0,'Données projet'!$E$15+1,1))</f>
        <v>130.76477588601989</v>
      </c>
      <c r="EP27" s="59">
        <f t="shared" si="46"/>
        <v>94.034011511502172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28.833333333333332</v>
      </c>
      <c r="FE27" s="12">
        <f>IF('Données projet'!$A$218&gt;35,FE26+FD27-FM26,IF(A27&lt;'Données projet'!$A$218,$FB$205^A27,IF(A27='Données projet'!$A$218,'Données projet'!$B$218,FE26+FD27-FM26)))</f>
        <v>306.16666666666669</v>
      </c>
      <c r="FF27" s="17">
        <f>FE27*VLOOKUP('Données projet'!$B$16,Paramètres!$A$1:$I$89,3,0)*VLOOKUP('Données projet'!$B$16,Paramètres!$A$1:$I$89,5,0)</f>
        <v>139.30583333333334</v>
      </c>
      <c r="FG27" s="13">
        <f t="shared" si="47"/>
        <v>36.137935684282191</v>
      </c>
      <c r="FH27" s="20">
        <f t="shared" si="22"/>
        <v>305.56456437234704</v>
      </c>
      <c r="FI27" s="59">
        <f t="shared" si="23"/>
        <v>598.89789770568041</v>
      </c>
      <c r="FJ27" s="59">
        <f ca="1">AVERAGE(OFFSET($FI$3,0,0,'Données projet'!$E$16+1,1))-AVERAGE(OFFSET($H$3,0,0,'Données projet'!$E$16+1,1))</f>
        <v>279.43442619866738</v>
      </c>
      <c r="FK27" s="59">
        <f t="shared" si="48"/>
        <v>355.95192241448217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19.75</v>
      </c>
      <c r="N28" s="13">
        <f>IF('Données projet'!$A$36&gt;35,N27+M28-V27,IF(A28&lt;'Données projet'!$A$36,$K$205^A28,IF(A28='Données projet'!$A$36,'Données projet'!$B$36,N27+M28-V27)))</f>
        <v>173.75</v>
      </c>
      <c r="O28" s="13">
        <f>N28*VLOOKUP('Données projet'!$B$9,Paramètres!$A$1:$I$89,3,0)*VLOOKUP('Données projet'!$B$9,Paramètres!$A$1:$I$89,5,0)</f>
        <v>103.9025</v>
      </c>
      <c r="P28" s="13">
        <f t="shared" si="33"/>
        <v>27.889632783106542</v>
      </c>
      <c r="Q28" s="20">
        <f t="shared" si="2"/>
        <v>229.5379645972439</v>
      </c>
      <c r="R28" s="59">
        <f t="shared" si="0"/>
        <v>522.87129793057716</v>
      </c>
      <c r="S28" s="59">
        <f ca="1">AVERAGE(OFFSET($R$3,0,0,'Données projet'!$E$9+1,1))-AVERAGE(OFFSET($H$3,0,0,'Données projet'!$E$9+1,1))</f>
        <v>227.89848316900191</v>
      </c>
      <c r="T28" s="59">
        <f t="shared" si="34"/>
        <v>239.85955661394541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18.229456886997479</v>
      </c>
      <c r="AA28" s="21">
        <f>EXP(-LN(2)/25)*AA27+(1-EXP(-LN(2)/25))/(LN(2)/25)*Calculateur!V28*Calculateur!X28*VLOOKUP('Données projet'!$B$9,Paramètres!$A$1:$I$89,3,0)*0.475*44/12</f>
        <v>8.1452330494062686</v>
      </c>
      <c r="AB28" s="21">
        <f>EXP(-LN(2)/2)*AB27+(1-EXP(-LN(2)/2))/(LN(2)/2)*V28*Y28*VLOOKUP('Données projet'!$B$9,Paramètres!$A$1:$I$89,3,0)*0.475*44/12</f>
        <v>3.5837898907217909</v>
      </c>
      <c r="AC28" s="22">
        <f t="shared" si="3"/>
        <v>29.958479827125537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3.6111111111111112</v>
      </c>
      <c r="AI28" s="13">
        <f>IF('Données projet'!$A$62&gt;35,AI27+AH28-AQ27,IF(A28&lt;'Données projet'!$A$62,$AF$205^A28,IF(A28='Données projet'!$A$62,'Données projet'!$B$62,AI27+AH28-AQ27)))</f>
        <v>90.277777777777828</v>
      </c>
      <c r="AJ28" s="13">
        <f>AI28*VLOOKUP('Données projet'!$B$10,Paramètres!$A$1:$I$89,3,0)*VLOOKUP('Données projet'!$B$10,Paramètres!$A$1:$I$89,5,0)</f>
        <v>81.68333333333338</v>
      </c>
      <c r="AK28" s="13">
        <f t="shared" si="35"/>
        <v>22.548267747439127</v>
      </c>
      <c r="AL28" s="20">
        <f t="shared" si="4"/>
        <v>181.53670521567878</v>
      </c>
      <c r="AM28" s="59">
        <f t="shared" si="5"/>
        <v>474.87003854901207</v>
      </c>
      <c r="AN28" s="59">
        <f ca="1">AVERAGE(OFFSET($AM$3,0,0,'Données projet'!$E$10+1,1))-AVERAGE(OFFSET($H$3,0,0,'Données projet'!$E$10+1,1))</f>
        <v>215.7418266360167</v>
      </c>
      <c r="AO28" s="59">
        <f t="shared" si="36"/>
        <v>155.78420008229949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2.6904761904761907</v>
      </c>
      <c r="BD28" s="12">
        <f>IF('Données projet'!$A$88&gt;35,BD27+BC28-BL27,IF(A28&lt;'Données projet'!$A$88,$BA$205^A28,IF(A28='Données projet'!$A$88,'Données projet'!$B$88,BD27+BC28-BL27)))</f>
        <v>67.261904761904759</v>
      </c>
      <c r="BE28" s="13">
        <f>BD28*VLOOKUP('Données projet'!$B$11,Paramètres!$A$1:$I$89,3,0)*VLOOKUP('Données projet'!$B$11,Paramètres!$A$1:$I$89,5,0)</f>
        <v>68.203571428571436</v>
      </c>
      <c r="BF28" s="13">
        <f t="shared" si="37"/>
        <v>19.226668271157425</v>
      </c>
      <c r="BG28" s="20">
        <f t="shared" si="7"/>
        <v>152.27433414369443</v>
      </c>
      <c r="BH28" s="59">
        <f t="shared" si="8"/>
        <v>445.60766747702775</v>
      </c>
      <c r="BI28" s="59">
        <f ca="1">AVERAGE(OFFSET($BH$3,0,0,'Données projet'!$E$11+1,1))-AVERAGE(OFFSET($H$3,0,0,'Données projet'!$E$11+1,1))</f>
        <v>179.53921263314447</v>
      </c>
      <c r="BJ28" s="59">
        <f t="shared" si="38"/>
        <v>120.81513023281337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9.7266666666666648</v>
      </c>
      <c r="BY28" s="12">
        <f>IF('Données projet'!$A$114&gt;35,BY27+BX28-CG27,IF(A28&lt;'Données projet'!$A$114,$BV$205^A28,IF(A28='Données projet'!$A$114,'Données projet'!$B$114,BY27+BX28-CG27)))</f>
        <v>175.0333333333333</v>
      </c>
      <c r="BZ28" s="13">
        <f>BY28*VLOOKUP('Données projet'!$B$12,Paramètres!$A$1:$I$89,3,0)*VLOOKUP('Données projet'!$B$12,Paramètres!$A$1:$I$89,5,0)</f>
        <v>81.915599999999984</v>
      </c>
      <c r="CA28" s="13">
        <f t="shared" si="39"/>
        <v>22.604911305192747</v>
      </c>
      <c r="CB28" s="20">
        <f t="shared" si="10"/>
        <v>182.03989052321063</v>
      </c>
      <c r="CC28" s="59">
        <f t="shared" si="11"/>
        <v>475.37322385654397</v>
      </c>
      <c r="CD28" s="59">
        <f ca="1">AVERAGE(OFFSET($CC$3,0,0,'Données projet'!$E$12+1,1))-AVERAGE(OFFSET($H$3,0,0,'Données projet'!$E$12+1,1))</f>
        <v>310.06530483941287</v>
      </c>
      <c r="CE28" s="59">
        <f t="shared" si="40"/>
        <v>170.13425794309376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5.2395338607699937</v>
      </c>
      <c r="CM28" s="21">
        <f>EXP(-LN(2)/2)*CM27+(1-EXP(-LN(2)/2))/(LN(2)/2)*CG28*CJ28*VLOOKUP('Données projet'!$B$12,Paramètres!$A$1:$I$89,3,0)*0.475*44/12</f>
        <v>1.3024053220729994</v>
      </c>
      <c r="CN28" s="22">
        <f t="shared" si="12"/>
        <v>6.5419391828429934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16</v>
      </c>
      <c r="CT28" s="12">
        <f>IF('Données projet'!$A$140&gt;35,CT27+CS28-DB27,IF(A28&lt;'Données projet'!$A$140,$CQ$205^A28,IF(A28='Données projet'!$A$140,'Données projet'!$B$140,CT27+CS28-DB27)))</f>
        <v>142</v>
      </c>
      <c r="CU28" s="17">
        <f>CT28*VLOOKUP('Données projet'!$B$13,Paramètres!$A$1:$I$89,3,0)*VLOOKUP('Données projet'!$B$13,Paramètres!$A$1:$I$89,5,0)</f>
        <v>84.916000000000011</v>
      </c>
      <c r="CV28" s="13">
        <f t="shared" si="41"/>
        <v>23.33496813320572</v>
      </c>
      <c r="CW28" s="20">
        <f t="shared" si="13"/>
        <v>188.53710283199996</v>
      </c>
      <c r="CX28" s="59">
        <f t="shared" si="14"/>
        <v>481.87043616533327</v>
      </c>
      <c r="CY28" s="59">
        <f ca="1">AVERAGE(OFFSET($CX$3,0,0,'Données projet'!$E$13+1,1))-AVERAGE(OFFSET($H$3,0,0,'Données projet'!$E$13+1,1))</f>
        <v>168.08890945052406</v>
      </c>
      <c r="CZ28" s="59">
        <f t="shared" si="42"/>
        <v>182.52462557642343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7.5945305076540546</v>
      </c>
      <c r="DG28" s="21">
        <f>EXP(-LN(2)/25)*DG27+(1-EXP(-LN(2)/25))/(LN(2)/25)*Calculateur!DB28*Calculateur!DD28*VLOOKUP('Données projet'!$B$13,Paramètres!$A$1:$I$89,3,0)*0.475*44/12</f>
        <v>7.9419890186100082</v>
      </c>
      <c r="DH28" s="21">
        <f>EXP(-LN(2)/2)*DH27+(1-EXP(-LN(2)/2))/(LN(2)/2)*DB28*DE28*VLOOKUP('Données projet'!$B$13,Paramètres!$A$1:$I$89,3,0)*0.475*44/12</f>
        <v>3.3152031391761456</v>
      </c>
      <c r="DI28" s="22">
        <f t="shared" si="15"/>
        <v>18.851722665440207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>
        <f>VLOOKUP(A28,'Données projet'!$A$165:$I$185,2,0)</f>
        <v>335</v>
      </c>
      <c r="DM28" s="12">
        <f>VLOOKUP(A28,'Données projet'!$A$165:$I$185,9,0)</f>
        <v>28.833333333333332</v>
      </c>
      <c r="DN28" s="12">
        <f t="array" ref="DN28">INDEX(DM:DM,MIN(IF(ISNUMBER(DM28:DM224),ROW(DM28:DM224),"")))</f>
        <v>28.833333333333332</v>
      </c>
      <c r="DO28" s="12">
        <f>IF('Données projet'!$A$166&gt;35,DO27+DN28-DW27,IF(A28&lt;'Données projet'!$A$166,$DL$205^A28,IF(A28='Données projet'!$A$166,'Données projet'!$B$166,DO27+DN28-DW27)))</f>
        <v>335</v>
      </c>
      <c r="DP28" s="17">
        <f>DO28*VLOOKUP('Données projet'!$B$14,Paramètres!$A$1:$I$89,3,0)*VLOOKUP('Données projet'!$B$14,Paramètres!$A$1:$I$89,5,0)</f>
        <v>187.26500000000001</v>
      </c>
      <c r="DQ28" s="13">
        <f t="shared" si="43"/>
        <v>46.934773872544483</v>
      </c>
      <c r="DR28" s="20">
        <f t="shared" si="16"/>
        <v>407.89793949468162</v>
      </c>
      <c r="DS28" s="59">
        <f t="shared" si="17"/>
        <v>701.23127282801488</v>
      </c>
      <c r="DT28" s="59">
        <f ca="1">AVERAGE(OFFSET($DS$3,0,0,'Données projet'!$E$14+1,1))-AVERAGE(OFFSET($H$3,0,0,'Données projet'!$E$14+1,1))</f>
        <v>355.23615781077405</v>
      </c>
      <c r="DU28" s="59">
        <f t="shared" si="44"/>
        <v>448.84541017639367</v>
      </c>
      <c r="DV28" s="15">
        <f>IF(ISNA(VLOOKUP(A28,'Données projet'!$A$165:$I$185,3,0)),0,VLOOKUP(A28,'Données projet'!$A$165:$I$185,3,0))</f>
        <v>1</v>
      </c>
      <c r="DW28" s="15">
        <f>IF(ISNA(VLOOKUP(A28,'Données projet'!$A$165:$I$185,4,0)),0,VLOOKUP(A28,'Données projet'!$A$165:$I$185,4,0))</f>
        <v>54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0.30800000000000005</v>
      </c>
      <c r="DZ28" s="16">
        <f>IF(ISNA(VLOOKUP(A28,'Données projet'!$A$165:$I$185,7,0)),0%,VLOOKUP(A28,'Données projet'!$A$165:$I$185,7,0))</f>
        <v>0.44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12.284890293662819</v>
      </c>
      <c r="EC28" s="21">
        <f>EXP(-LN(2)/2)*EC27+(1-EXP(-LN(2)/2))/(LN(2)/2)*DW28*DZ28*VLOOKUP('Données projet'!$B$14,Paramètres!$A$1:$I$89,3,0)*0.475*44/12</f>
        <v>15.038128218578914</v>
      </c>
      <c r="ED28" s="22">
        <f t="shared" si="18"/>
        <v>27.323018512241731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2.1523809523809527</v>
      </c>
      <c r="EJ28" s="12">
        <f>IF('Données projet'!$A$192&gt;35,EJ27+EI28-ER27,IF(A28&lt;'Données projet'!$A$192,$EG$205^A28,IF(A28='Données projet'!$A$192,'Données projet'!$B$192,EJ27+EI28-ER27)))</f>
        <v>53.809523809523803</v>
      </c>
      <c r="EK28" s="17">
        <f>EJ28*VLOOKUP('Données projet'!$B$15,Paramètres!$A$1:$I$89,3,0)*VLOOKUP('Données projet'!$B$15,Paramètres!$A$1:$I$89,5,0)</f>
        <v>57.920571428571414</v>
      </c>
      <c r="EL28" s="13">
        <f t="shared" si="45"/>
        <v>16.641449843259174</v>
      </c>
      <c r="EM28" s="20">
        <f t="shared" si="19"/>
        <v>129.86218704843824</v>
      </c>
      <c r="EN28" s="59">
        <f t="shared" si="20"/>
        <v>423.19552038177153</v>
      </c>
      <c r="EO28" s="59">
        <f ca="1">AVERAGE(OFFSET($EN$3,0,0,'Données projet'!$E$15+1,1))-AVERAGE(OFFSET($H$3,0,0,'Données projet'!$E$15+1,1))</f>
        <v>130.76477588601989</v>
      </c>
      <c r="EP28" s="59">
        <f t="shared" si="46"/>
        <v>94.034011511502172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>
        <f>VLOOKUP(A28,'Données projet'!$A$217:$I$237,2,0)</f>
        <v>335</v>
      </c>
      <c r="FC28" s="12">
        <f>VLOOKUP(A28,'Données projet'!$A$217:$I$237,9,0)</f>
        <v>28.833333333333332</v>
      </c>
      <c r="FD28" s="12">
        <f t="array" ref="FD28">INDEX(FC:FC,MIN(IF(ISNUMBER(FC28:FC224),ROW(FC28:FC224),"")))</f>
        <v>28.833333333333332</v>
      </c>
      <c r="FE28" s="12">
        <f>IF('Données projet'!$A$218&gt;35,FE27+FD28-FM27,IF(A28&lt;'Données projet'!$A$218,$FB$205^A28,IF(A28='Données projet'!$A$218,'Données projet'!$B$218,FE27+FD28-FM27)))</f>
        <v>335</v>
      </c>
      <c r="FF28" s="17">
        <f>FE28*VLOOKUP('Données projet'!$B$16,Paramètres!$A$1:$I$89,3,0)*VLOOKUP('Données projet'!$B$16,Paramètres!$A$1:$I$89,5,0)</f>
        <v>152.42499999999998</v>
      </c>
      <c r="FG28" s="13">
        <f t="shared" si="47"/>
        <v>39.129160145183121</v>
      </c>
      <c r="FH28" s="20">
        <f t="shared" si="22"/>
        <v>333.62349558619394</v>
      </c>
      <c r="FI28" s="59">
        <f t="shared" si="23"/>
        <v>626.9568289195272</v>
      </c>
      <c r="FJ28" s="59">
        <f ca="1">AVERAGE(OFFSET($FI$3,0,0,'Données projet'!$E$16+1,1))-AVERAGE(OFFSET($H$3,0,0,'Données projet'!$E$16+1,1))</f>
        <v>279.43442619866738</v>
      </c>
      <c r="FK28" s="59">
        <f t="shared" si="48"/>
        <v>355.95192241448217</v>
      </c>
      <c r="FL28" s="15">
        <f>IF(ISNA(VLOOKUP(A28,'Données projet'!$A$217:$I$237,3,0)),0,VLOOKUP(A28,'Données projet'!$A$217:$I$237,3,0))</f>
        <v>1</v>
      </c>
      <c r="FM28" s="15">
        <f>IF(ISNA(VLOOKUP(A28,'Données projet'!$A$217:$I$237,4,0)),0,VLOOKUP(A28,'Données projet'!$A$217:$I$237,4,0))</f>
        <v>54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0.30800000000000005</v>
      </c>
      <c r="FP28" s="16">
        <f>IF(ISNA(VLOOKUP(A28,'Données projet'!$A$217:$I$237,7,0)),0%,VLOOKUP(A28,'Données projet'!$A$217:$I$237,7,0))</f>
        <v>0.44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9.9993293087953177</v>
      </c>
      <c r="FS28" s="21">
        <f>EXP(-LN(2)/2)*FS27+(1-EXP(-LN(2)/2))/(LN(2)/2)*FM28*FP28*VLOOKUP('Données projet'!$B$16,Paramètres!$A$1:$I$89,3,0)*0.475*44/12</f>
        <v>12.240336922099116</v>
      </c>
      <c r="FT28" s="22">
        <f t="shared" si="24"/>
        <v>22.239666230894436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19.75</v>
      </c>
      <c r="N29" s="13">
        <f>IF('Données projet'!$A$36&gt;35,N28+M29-V28,IF(A29&lt;'Données projet'!$A$36,$K$205^A29,IF(A29='Données projet'!$A$36,'Données projet'!$B$36,N28+M29-V28)))</f>
        <v>193.5</v>
      </c>
      <c r="O29" s="13">
        <f>N29*VLOOKUP('Données projet'!$B$9,Paramètres!$A$1:$I$89,3,0)*VLOOKUP('Données projet'!$B$9,Paramètres!$A$1:$I$89,5,0)</f>
        <v>115.71300000000001</v>
      </c>
      <c r="P29" s="13">
        <f t="shared" si="33"/>
        <v>30.673019842466044</v>
      </c>
      <c r="Q29" s="20">
        <f t="shared" si="2"/>
        <v>254.95565122562834</v>
      </c>
      <c r="R29" s="59">
        <f t="shared" si="0"/>
        <v>548.2889845589616</v>
      </c>
      <c r="S29" s="59">
        <f ca="1">AVERAGE(OFFSET($R$3,0,0,'Données projet'!$E$9+1,1))-AVERAGE(OFFSET($H$3,0,0,'Données projet'!$E$9+1,1))</f>
        <v>227.89848316900191</v>
      </c>
      <c r="T29" s="59">
        <f t="shared" si="34"/>
        <v>239.85955661394541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17.871988356314262</v>
      </c>
      <c r="AA29" s="21">
        <f>EXP(-LN(2)/25)*AA28+(1-EXP(-LN(2)/25))/(LN(2)/25)*Calculateur!V29*Calculateur!X29*VLOOKUP('Données projet'!$B$9,Paramètres!$A$1:$I$89,3,0)*0.475*44/12</f>
        <v>7.9225012233310643</v>
      </c>
      <c r="AB29" s="21">
        <f>EXP(-LN(2)/2)*AB28+(1-EXP(-LN(2)/2))/(LN(2)/2)*V29*Y29*VLOOKUP('Données projet'!$B$9,Paramètres!$A$1:$I$89,3,0)*0.475*44/12</f>
        <v>2.5341221340771747</v>
      </c>
      <c r="AC29" s="22">
        <f t="shared" si="3"/>
        <v>28.328611713722502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3.6111111111111112</v>
      </c>
      <c r="AI29" s="13">
        <f>IF('Données projet'!$A$62&gt;35,AI28+AH29-AQ28,IF(A29&lt;'Données projet'!$A$62,$AF$205^A29,IF(A29='Données projet'!$A$62,'Données projet'!$B$62,AI28+AH29-AQ28)))</f>
        <v>93.888888888888943</v>
      </c>
      <c r="AJ29" s="13">
        <f>AI29*VLOOKUP('Données projet'!$B$10,Paramètres!$A$1:$I$89,3,0)*VLOOKUP('Données projet'!$B$10,Paramètres!$A$1:$I$89,5,0)</f>
        <v>84.95066666666672</v>
      </c>
      <c r="AK29" s="13">
        <f t="shared" si="35"/>
        <v>23.343385478792882</v>
      </c>
      <c r="AL29" s="20">
        <f t="shared" si="4"/>
        <v>188.61214082000879</v>
      </c>
      <c r="AM29" s="59">
        <f t="shared" si="5"/>
        <v>481.9454741533421</v>
      </c>
      <c r="AN29" s="59">
        <f ca="1">AVERAGE(OFFSET($AM$3,0,0,'Données projet'!$E$10+1,1))-AVERAGE(OFFSET($H$3,0,0,'Données projet'!$E$10+1,1))</f>
        <v>215.7418266360167</v>
      </c>
      <c r="AO29" s="59">
        <f t="shared" si="36"/>
        <v>155.78420008229949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2.6904761904761907</v>
      </c>
      <c r="BD29" s="12">
        <f>IF('Données projet'!$A$88&gt;35,BD28+BC29-BL28,IF(A29&lt;'Données projet'!$A$88,$BA$205^A29,IF(A29='Données projet'!$A$88,'Données projet'!$B$88,BD28+BC29-BL28)))</f>
        <v>69.952380952380949</v>
      </c>
      <c r="BE29" s="13">
        <f>BD29*VLOOKUP('Données projet'!$B$11,Paramètres!$A$1:$I$89,3,0)*VLOOKUP('Données projet'!$B$11,Paramètres!$A$1:$I$89,5,0)</f>
        <v>70.931714285714293</v>
      </c>
      <c r="BF29" s="13">
        <f t="shared" si="37"/>
        <v>19.904656710379786</v>
      </c>
      <c r="BG29" s="20">
        <f t="shared" si="7"/>
        <v>158.20667948486386</v>
      </c>
      <c r="BH29" s="59">
        <f t="shared" si="8"/>
        <v>451.54001281819717</v>
      </c>
      <c r="BI29" s="59">
        <f ca="1">AVERAGE(OFFSET($BH$3,0,0,'Données projet'!$E$11+1,1))-AVERAGE(OFFSET($H$3,0,0,'Données projet'!$E$11+1,1))</f>
        <v>179.53921263314447</v>
      </c>
      <c r="BJ29" s="59">
        <f t="shared" si="38"/>
        <v>120.81513023281337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9.7266666666666648</v>
      </c>
      <c r="BY29" s="12">
        <f>IF('Données projet'!$A$114&gt;35,BY28+BX29-CG28,IF(A29&lt;'Données projet'!$A$114,$BV$205^A29,IF(A29='Données projet'!$A$114,'Données projet'!$B$114,BY28+BX29-CG28)))</f>
        <v>184.75999999999996</v>
      </c>
      <c r="BZ29" s="13">
        <f>BY29*VLOOKUP('Données projet'!$B$12,Paramètres!$A$1:$I$89,3,0)*VLOOKUP('Données projet'!$B$12,Paramètres!$A$1:$I$89,5,0)</f>
        <v>86.467679999999987</v>
      </c>
      <c r="CA29" s="13">
        <f t="shared" si="39"/>
        <v>23.711339478562756</v>
      </c>
      <c r="CB29" s="20">
        <f t="shared" si="10"/>
        <v>191.89512559183012</v>
      </c>
      <c r="CC29" s="59">
        <f t="shared" si="11"/>
        <v>485.22845892516341</v>
      </c>
      <c r="CD29" s="59">
        <f ca="1">AVERAGE(OFFSET($CC$3,0,0,'Données projet'!$E$12+1,1))-AVERAGE(OFFSET($H$3,0,0,'Données projet'!$E$12+1,1))</f>
        <v>310.06530483941287</v>
      </c>
      <c r="CE29" s="59">
        <f t="shared" si="40"/>
        <v>170.13425794309376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5.0962585318121274</v>
      </c>
      <c r="CM29" s="21">
        <f>EXP(-LN(2)/2)*CM28+(1-EXP(-LN(2)/2))/(LN(2)/2)*CG29*CJ29*VLOOKUP('Données projet'!$B$12,Paramètres!$A$1:$I$89,3,0)*0.475*44/12</f>
        <v>0.92093963509126742</v>
      </c>
      <c r="CN29" s="22">
        <f t="shared" si="12"/>
        <v>6.0171981669033947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16</v>
      </c>
      <c r="CT29" s="12">
        <f>IF('Données projet'!$A$140&gt;35,CT28+CS29-DB28,IF(A29&lt;'Données projet'!$A$140,$CQ$205^A29,IF(A29='Données projet'!$A$140,'Données projet'!$B$140,CT28+CS29-DB28)))</f>
        <v>158</v>
      </c>
      <c r="CU29" s="17">
        <f>CT29*VLOOKUP('Données projet'!$B$13,Paramètres!$A$1:$I$89,3,0)*VLOOKUP('Données projet'!$B$13,Paramètres!$A$1:$I$89,5,0)</f>
        <v>94.484000000000009</v>
      </c>
      <c r="CV29" s="13">
        <f t="shared" si="41"/>
        <v>25.643578691511802</v>
      </c>
      <c r="CW29" s="20">
        <f t="shared" si="13"/>
        <v>209.22219955438308</v>
      </c>
      <c r="CX29" s="59">
        <f t="shared" si="14"/>
        <v>502.55553288771637</v>
      </c>
      <c r="CY29" s="59">
        <f ca="1">AVERAGE(OFFSET($CX$3,0,0,'Données projet'!$E$13+1,1))-AVERAGE(OFFSET($H$3,0,0,'Données projet'!$E$13+1,1))</f>
        <v>168.08890945052406</v>
      </c>
      <c r="CZ29" s="59">
        <f t="shared" si="42"/>
        <v>182.52462557642343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7.445606396605176</v>
      </c>
      <c r="DG29" s="21">
        <f>EXP(-LN(2)/25)*DG28+(1-EXP(-LN(2)/25))/(LN(2)/25)*Calculateur!DB29*Calculateur!DD29*VLOOKUP('Données projet'!$B$13,Paramètres!$A$1:$I$89,3,0)*0.475*44/12</f>
        <v>7.7248149112450664</v>
      </c>
      <c r="DH29" s="21">
        <f>EXP(-LN(2)/2)*DH28+(1-EXP(-LN(2)/2))/(LN(2)/2)*DB29*DE29*VLOOKUP('Données projet'!$B$13,Paramètres!$A$1:$I$89,3,0)*0.475*44/12</f>
        <v>2.3442026207223825</v>
      </c>
      <c r="DI29" s="22">
        <f t="shared" si="15"/>
        <v>17.514623928572625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28</v>
      </c>
      <c r="DO29" s="12">
        <f>IF('Données projet'!$A$166&gt;35,DO28+DN29-DW28,IF(A29&lt;'Données projet'!$A$166,$DL$205^A29,IF(A29='Données projet'!$A$166,'Données projet'!$B$166,DO28+DN29-DW28)))</f>
        <v>309</v>
      </c>
      <c r="DP29" s="17">
        <f>DO29*VLOOKUP('Données projet'!$B$14,Paramètres!$A$1:$I$89,3,0)*VLOOKUP('Données projet'!$B$14,Paramètres!$A$1:$I$89,5,0)</f>
        <v>172.73100000000002</v>
      </c>
      <c r="DQ29" s="13">
        <f t="shared" si="43"/>
        <v>43.701108252019125</v>
      </c>
      <c r="DR29" s="20">
        <f t="shared" si="16"/>
        <v>376.9525885389333</v>
      </c>
      <c r="DS29" s="59">
        <f t="shared" si="17"/>
        <v>670.28592187226661</v>
      </c>
      <c r="DT29" s="59">
        <f ca="1">AVERAGE(OFFSET($DS$3,0,0,'Données projet'!$E$14+1,1))-AVERAGE(OFFSET($H$3,0,0,'Données projet'!$E$14+1,1))</f>
        <v>355.23615781077405</v>
      </c>
      <c r="DU29" s="59">
        <f t="shared" si="44"/>
        <v>448.84541017639367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11.948959322548307</v>
      </c>
      <c r="EC29" s="21">
        <f>EXP(-LN(2)/2)*EC28+(1-EXP(-LN(2)/2))/(LN(2)/2)*DW29*DZ29*VLOOKUP('Données projet'!$B$14,Paramètres!$A$1:$I$89,3,0)*0.475*44/12</f>
        <v>10.633562439709927</v>
      </c>
      <c r="ED29" s="22">
        <f t="shared" si="18"/>
        <v>22.582521762258231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2.1523809523809527</v>
      </c>
      <c r="EJ29" s="12">
        <f>IF('Données projet'!$A$192&gt;35,EJ28+EI29-ER28,IF(A29&lt;'Données projet'!$A$192,$EG$205^A29,IF(A29='Données projet'!$A$192,'Données projet'!$B$192,EJ28+EI29-ER28)))</f>
        <v>55.961904761904755</v>
      </c>
      <c r="EK29" s="17">
        <f>EJ29*VLOOKUP('Données projet'!$B$15,Paramètres!$A$1:$I$89,3,0)*VLOOKUP('Données projet'!$B$15,Paramètres!$A$1:$I$89,5,0)</f>
        <v>60.237394285714281</v>
      </c>
      <c r="EL29" s="13">
        <f t="shared" si="45"/>
        <v>17.2282759353572</v>
      </c>
      <c r="EM29" s="20">
        <f t="shared" si="19"/>
        <v>134.91937563503282</v>
      </c>
      <c r="EN29" s="59">
        <f t="shared" si="20"/>
        <v>428.25270896836616</v>
      </c>
      <c r="EO29" s="59">
        <f ca="1">AVERAGE(OFFSET($EN$3,0,0,'Données projet'!$E$15+1,1))-AVERAGE(OFFSET($H$3,0,0,'Données projet'!$E$15+1,1))</f>
        <v>130.76477588601989</v>
      </c>
      <c r="EP29" s="59">
        <f t="shared" si="46"/>
        <v>94.034011511502172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28</v>
      </c>
      <c r="FE29" s="12">
        <f>IF('Données projet'!$A$218&gt;35,FE28+FD29-FM28,IF(A29&lt;'Données projet'!$A$218,$FB$205^A29,IF(A29='Données projet'!$A$218,'Données projet'!$B$218,FE28+FD29-FM28)))</f>
        <v>309</v>
      </c>
      <c r="FF29" s="17">
        <f>FE29*VLOOKUP('Données projet'!$B$16,Paramètres!$A$1:$I$89,3,0)*VLOOKUP('Données projet'!$B$16,Paramètres!$A$1:$I$89,5,0)</f>
        <v>140.595</v>
      </c>
      <c r="FG29" s="13">
        <f t="shared" si="47"/>
        <v>36.433277977621927</v>
      </c>
      <c r="FH29" s="20">
        <f t="shared" si="22"/>
        <v>308.32425081102485</v>
      </c>
      <c r="FI29" s="59">
        <f t="shared" si="23"/>
        <v>601.65758414435822</v>
      </c>
      <c r="FJ29" s="59">
        <f ca="1">AVERAGE(OFFSET($FI$3,0,0,'Données projet'!$E$16+1,1))-AVERAGE(OFFSET($H$3,0,0,'Données projet'!$E$16+1,1))</f>
        <v>279.43442619866738</v>
      </c>
      <c r="FK29" s="59">
        <f t="shared" si="48"/>
        <v>355.95192241448217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9.7258971230044349</v>
      </c>
      <c r="FS29" s="21">
        <f>EXP(-LN(2)/2)*FS28+(1-EXP(-LN(2)/2))/(LN(2)/2)*FM29*FP29*VLOOKUP('Données projet'!$B$16,Paramètres!$A$1:$I$89,3,0)*0.475*44/12</f>
        <v>8.6552252416243594</v>
      </c>
      <c r="FT29" s="22">
        <f t="shared" si="24"/>
        <v>18.381122364628794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19.75</v>
      </c>
      <c r="N30" s="13">
        <f>IF('Données projet'!$A$36&gt;35,N29+M30-V29,IF(A30&lt;'Données projet'!$A$36,$K$205^A30,IF(A30='Données projet'!$A$36,'Données projet'!$B$36,N29+M30-V29)))</f>
        <v>213.25</v>
      </c>
      <c r="O30" s="13">
        <f>N30*VLOOKUP('Données projet'!$B$9,Paramètres!$A$1:$I$89,3,0)*VLOOKUP('Données projet'!$B$9,Paramètres!$A$1:$I$89,5,0)</f>
        <v>127.5235</v>
      </c>
      <c r="P30" s="13">
        <f t="shared" si="33"/>
        <v>33.423473895208211</v>
      </c>
      <c r="Q30" s="20">
        <f t="shared" si="2"/>
        <v>280.31597953415428</v>
      </c>
      <c r="R30" s="59">
        <f t="shared" si="0"/>
        <v>573.64931286748765</v>
      </c>
      <c r="S30" s="59">
        <f ca="1">AVERAGE(OFFSET($R$3,0,0,'Données projet'!$E$9+1,1))-AVERAGE(OFFSET($H$3,0,0,'Données projet'!$E$9+1,1))</f>
        <v>227.89848316900191</v>
      </c>
      <c r="T30" s="59">
        <f t="shared" si="34"/>
        <v>239.85955661394541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17.521529565483469</v>
      </c>
      <c r="AA30" s="21">
        <f>EXP(-LN(2)/25)*AA29+(1-EXP(-LN(2)/25))/(LN(2)/25)*Calculateur!V30*Calculateur!X30*VLOOKUP('Données projet'!$B$9,Paramètres!$A$1:$I$89,3,0)*0.475*44/12</f>
        <v>7.7058600107528443</v>
      </c>
      <c r="AB30" s="21">
        <f>EXP(-LN(2)/2)*AB29+(1-EXP(-LN(2)/2))/(LN(2)/2)*V30*Y30*VLOOKUP('Données projet'!$B$9,Paramètres!$A$1:$I$89,3,0)*0.475*44/12</f>
        <v>1.7918949453608957</v>
      </c>
      <c r="AC30" s="22">
        <f t="shared" si="3"/>
        <v>27.019284521597207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3.6111111111111112</v>
      </c>
      <c r="AI30" s="13">
        <f>IF('Données projet'!$A$62&gt;35,AI29+AH30-AQ29,IF(A30&lt;'Données projet'!$A$62,$AF$205^A30,IF(A30='Données projet'!$A$62,'Données projet'!$B$62,AI29+AH30-AQ29)))</f>
        <v>97.500000000000057</v>
      </c>
      <c r="AJ30" s="13">
        <f>AI30*VLOOKUP('Données projet'!$B$10,Paramètres!$A$1:$I$89,3,0)*VLOOKUP('Données projet'!$B$10,Paramètres!$A$1:$I$89,5,0)</f>
        <v>88.218000000000046</v>
      </c>
      <c r="AK30" s="13">
        <f t="shared" si="35"/>
        <v>24.134950560421608</v>
      </c>
      <c r="AL30" s="20">
        <f t="shared" si="4"/>
        <v>195.68138889273436</v>
      </c>
      <c r="AM30" s="59">
        <f t="shared" si="5"/>
        <v>489.01472222606765</v>
      </c>
      <c r="AN30" s="59">
        <f ca="1">AVERAGE(OFFSET($AM$3,0,0,'Données projet'!$E$10+1,1))-AVERAGE(OFFSET($H$3,0,0,'Données projet'!$E$10+1,1))</f>
        <v>215.7418266360167</v>
      </c>
      <c r="AO30" s="59">
        <f t="shared" si="36"/>
        <v>155.78420008229949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2.6904761904761907</v>
      </c>
      <c r="BD30" s="12">
        <f>IF('Données projet'!$A$88&gt;35,BD29+BC30-BL29,IF(A30&lt;'Données projet'!$A$88,$BA$205^A30,IF(A30='Données projet'!$A$88,'Données projet'!$B$88,BD29+BC30-BL29)))</f>
        <v>72.642857142857139</v>
      </c>
      <c r="BE30" s="13">
        <f>BD30*VLOOKUP('Données projet'!$B$11,Paramètres!$A$1:$I$89,3,0)*VLOOKUP('Données projet'!$B$11,Paramètres!$A$1:$I$89,5,0)</f>
        <v>73.659857142857149</v>
      </c>
      <c r="BF30" s="13">
        <f t="shared" si="37"/>
        <v>20.579615842938225</v>
      </c>
      <c r="BG30" s="20">
        <f t="shared" si="7"/>
        <v>164.1337487835936</v>
      </c>
      <c r="BH30" s="59">
        <f t="shared" si="8"/>
        <v>457.46708211692692</v>
      </c>
      <c r="BI30" s="59">
        <f ca="1">AVERAGE(OFFSET($BH$3,0,0,'Données projet'!$E$11+1,1))-AVERAGE(OFFSET($H$3,0,0,'Données projet'!$E$11+1,1))</f>
        <v>179.53921263314447</v>
      </c>
      <c r="BJ30" s="59">
        <f t="shared" si="38"/>
        <v>120.81513023281337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9.7266666666666648</v>
      </c>
      <c r="BY30" s="12">
        <f>IF('Données projet'!$A$114&gt;35,BY29+BX30-CG29,IF(A30&lt;'Données projet'!$A$114,$BV$205^A30,IF(A30='Données projet'!$A$114,'Données projet'!$B$114,BY29+BX30-CG29)))</f>
        <v>194.48666666666662</v>
      </c>
      <c r="BZ30" s="13">
        <f>BY30*VLOOKUP('Données projet'!$B$12,Paramètres!$A$1:$I$89,3,0)*VLOOKUP('Données projet'!$B$12,Paramètres!$A$1:$I$89,5,0)</f>
        <v>91.019759999999977</v>
      </c>
      <c r="CA30" s="13">
        <f t="shared" si="39"/>
        <v>24.811005045045178</v>
      </c>
      <c r="CB30" s="20">
        <f t="shared" si="10"/>
        <v>201.73858245345363</v>
      </c>
      <c r="CC30" s="59">
        <f t="shared" si="11"/>
        <v>495.07191578678692</v>
      </c>
      <c r="CD30" s="59">
        <f ca="1">AVERAGE(OFFSET($CC$3,0,0,'Données projet'!$E$12+1,1))-AVERAGE(OFFSET($H$3,0,0,'Données projet'!$E$12+1,1))</f>
        <v>310.06530483941287</v>
      </c>
      <c r="CE30" s="59">
        <f t="shared" si="40"/>
        <v>170.13425794309376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4.956901074259136</v>
      </c>
      <c r="CM30" s="21">
        <f>EXP(-LN(2)/2)*CM29+(1-EXP(-LN(2)/2))/(LN(2)/2)*CG30*CJ30*VLOOKUP('Données projet'!$B$12,Paramètres!$A$1:$I$89,3,0)*0.475*44/12</f>
        <v>0.65120266103649982</v>
      </c>
      <c r="CN30" s="22">
        <f t="shared" si="12"/>
        <v>5.6081037352956358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16</v>
      </c>
      <c r="CT30" s="12">
        <f>IF('Données projet'!$A$140&gt;35,CT29+CS30-DB29,IF(A30&lt;'Données projet'!$A$140,$CQ$205^A30,IF(A30='Données projet'!$A$140,'Données projet'!$B$140,CT29+CS30-DB29)))</f>
        <v>174</v>
      </c>
      <c r="CU30" s="17">
        <f>CT30*VLOOKUP('Données projet'!$B$13,Paramètres!$A$1:$I$89,3,0)*VLOOKUP('Données projet'!$B$13,Paramètres!$A$1:$I$89,5,0)</f>
        <v>104.05200000000001</v>
      </c>
      <c r="CV30" s="13">
        <f t="shared" si="41"/>
        <v>27.925087771564417</v>
      </c>
      <c r="CW30" s="20">
        <f t="shared" si="13"/>
        <v>229.86009453547467</v>
      </c>
      <c r="CX30" s="59">
        <f t="shared" si="14"/>
        <v>523.19342786880793</v>
      </c>
      <c r="CY30" s="59">
        <f ca="1">AVERAGE(OFFSET($CX$3,0,0,'Données projet'!$E$13+1,1))-AVERAGE(OFFSET($H$3,0,0,'Données projet'!$E$13+1,1))</f>
        <v>168.08890945052406</v>
      </c>
      <c r="CZ30" s="59">
        <f t="shared" si="42"/>
        <v>182.52462557642343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7.2996025965392271</v>
      </c>
      <c r="DG30" s="21">
        <f>EXP(-LN(2)/25)*DG29+(1-EXP(-LN(2)/25))/(LN(2)/25)*Calculateur!DB30*Calculateur!DD30*VLOOKUP('Données projet'!$B$13,Paramètres!$A$1:$I$89,3,0)*0.475*44/12</f>
        <v>7.5135794412667094</v>
      </c>
      <c r="DH30" s="21">
        <f>EXP(-LN(2)/2)*DH29+(1-EXP(-LN(2)/2))/(LN(2)/2)*DB30*DE30*VLOOKUP('Données projet'!$B$13,Paramètres!$A$1:$I$89,3,0)*0.475*44/12</f>
        <v>1.657601569588073</v>
      </c>
      <c r="DI30" s="22">
        <f t="shared" si="15"/>
        <v>16.470783607394011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28</v>
      </c>
      <c r="DO30" s="12">
        <f>IF('Données projet'!$A$166&gt;35,DO29+DN30-DW29,IF(A30&lt;'Données projet'!$A$166,$DL$205^A30,IF(A30='Données projet'!$A$166,'Données projet'!$B$166,DO29+DN30-DW29)))</f>
        <v>337</v>
      </c>
      <c r="DP30" s="17">
        <f>DO30*VLOOKUP('Données projet'!$B$14,Paramètres!$A$1:$I$89,3,0)*VLOOKUP('Données projet'!$B$14,Paramètres!$A$1:$I$89,5,0)</f>
        <v>188.38300000000001</v>
      </c>
      <c r="DQ30" s="13">
        <f t="shared" si="43"/>
        <v>47.182279474248382</v>
      </c>
      <c r="DR30" s="20">
        <f t="shared" si="16"/>
        <v>410.27619508431599</v>
      </c>
      <c r="DS30" s="59">
        <f t="shared" si="17"/>
        <v>703.60952841764924</v>
      </c>
      <c r="DT30" s="59">
        <f ca="1">AVERAGE(OFFSET($DS$3,0,0,'Données projet'!$E$14+1,1))-AVERAGE(OFFSET($H$3,0,0,'Données projet'!$E$14+1,1))</f>
        <v>355.23615781077405</v>
      </c>
      <c r="DU30" s="59">
        <f t="shared" si="44"/>
        <v>448.84541017639367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11.622214401504761</v>
      </c>
      <c r="EC30" s="21">
        <f>EXP(-LN(2)/2)*EC29+(1-EXP(-LN(2)/2))/(LN(2)/2)*DW30*DZ30*VLOOKUP('Données projet'!$B$14,Paramètres!$A$1:$I$89,3,0)*0.475*44/12</f>
        <v>7.5190641092894577</v>
      </c>
      <c r="ED30" s="22">
        <f t="shared" si="18"/>
        <v>19.141278510794219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2.1523809523809527</v>
      </c>
      <c r="EJ30" s="12">
        <f>IF('Données projet'!$A$192&gt;35,EJ29+EI30-ER29,IF(A30&lt;'Données projet'!$A$192,$EG$205^A30,IF(A30='Données projet'!$A$192,'Données projet'!$B$192,EJ29+EI30-ER29)))</f>
        <v>58.114285714285707</v>
      </c>
      <c r="EK30" s="17">
        <f>EJ30*VLOOKUP('Données projet'!$B$15,Paramètres!$A$1:$I$89,3,0)*VLOOKUP('Données projet'!$B$15,Paramètres!$A$1:$I$89,5,0)</f>
        <v>62.554217142857134</v>
      </c>
      <c r="EL30" s="13">
        <f t="shared" si="45"/>
        <v>17.8124800414618</v>
      </c>
      <c r="EM30" s="20">
        <f t="shared" si="19"/>
        <v>139.97199759602213</v>
      </c>
      <c r="EN30" s="59">
        <f t="shared" si="20"/>
        <v>433.30533092935548</v>
      </c>
      <c r="EO30" s="59">
        <f ca="1">AVERAGE(OFFSET($EN$3,0,0,'Données projet'!$E$15+1,1))-AVERAGE(OFFSET($H$3,0,0,'Données projet'!$E$15+1,1))</f>
        <v>130.76477588601989</v>
      </c>
      <c r="EP30" s="59">
        <f t="shared" si="46"/>
        <v>94.034011511502172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28</v>
      </c>
      <c r="FE30" s="12">
        <f>IF('Données projet'!$A$218&gt;35,FE29+FD30-FM29,IF(A30&lt;'Données projet'!$A$218,$FB$205^A30,IF(A30='Données projet'!$A$218,'Données projet'!$B$218,FE29+FD30-FM29)))</f>
        <v>337</v>
      </c>
      <c r="FF30" s="17">
        <f>FE30*VLOOKUP('Données projet'!$B$16,Paramètres!$A$1:$I$89,3,0)*VLOOKUP('Données projet'!$B$16,Paramètres!$A$1:$I$89,5,0)</f>
        <v>153.33499999999998</v>
      </c>
      <c r="FG30" s="13">
        <f t="shared" si="47"/>
        <v>39.33550366251211</v>
      </c>
      <c r="FH30" s="20">
        <f t="shared" si="22"/>
        <v>335.56779387887519</v>
      </c>
      <c r="FI30" s="59">
        <f t="shared" si="23"/>
        <v>628.90112721220851</v>
      </c>
      <c r="FJ30" s="59">
        <f ca="1">AVERAGE(OFFSET($FI$3,0,0,'Données projet'!$E$16+1,1))-AVERAGE(OFFSET($H$3,0,0,'Données projet'!$E$16+1,1))</f>
        <v>279.43442619866738</v>
      </c>
      <c r="FK30" s="59">
        <f t="shared" si="48"/>
        <v>355.95192241448217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9.4599419547131784</v>
      </c>
      <c r="FS30" s="21">
        <f>EXP(-LN(2)/2)*FS29+(1-EXP(-LN(2)/2))/(LN(2)/2)*FM30*FP30*VLOOKUP('Données projet'!$B$16,Paramètres!$A$1:$I$89,3,0)*0.475*44/12</f>
        <v>6.120168461049559</v>
      </c>
      <c r="FT30" s="22">
        <f t="shared" si="24"/>
        <v>15.580110415762737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233</v>
      </c>
      <c r="L31" s="12">
        <f>VLOOKUP(A31,'Données projet'!$A$35:$I$55,9,0)</f>
        <v>19.75</v>
      </c>
      <c r="M31" s="12">
        <f t="array" ref="M31">INDEX(L:L,MIN(IF(ISNUMBER(L31:L227),ROW(L31:L227),"")))</f>
        <v>19.75</v>
      </c>
      <c r="N31" s="13">
        <f>IF('Données projet'!$A$36&gt;35,N30+M31-V30,IF(A31&lt;'Données projet'!$A$36,$K$205^A31,IF(A31='Données projet'!$A$36,'Données projet'!$B$36,N30+M31-V30)))</f>
        <v>233</v>
      </c>
      <c r="O31" s="13">
        <f>N31*VLOOKUP('Données projet'!$B$9,Paramètres!$A$1:$I$89,3,0)*VLOOKUP('Données projet'!$B$9,Paramètres!$A$1:$I$89,5,0)</f>
        <v>139.334</v>
      </c>
      <c r="P31" s="13">
        <f t="shared" si="33"/>
        <v>36.144391930570897</v>
      </c>
      <c r="Q31" s="20">
        <f t="shared" si="2"/>
        <v>305.62486594574432</v>
      </c>
      <c r="R31" s="59">
        <f t="shared" si="0"/>
        <v>598.95819927907769</v>
      </c>
      <c r="S31" s="59">
        <f ca="1">AVERAGE(OFFSET($R$3,0,0,'Données projet'!$E$9+1,1))-AVERAGE(OFFSET($H$3,0,0,'Données projet'!$E$9+1,1))</f>
        <v>227.89848316900191</v>
      </c>
      <c r="T31" s="59">
        <f t="shared" si="34"/>
        <v>239.85955661394541</v>
      </c>
      <c r="U31" s="15">
        <f>IF(ISNA(VLOOKUP(A31,'Données projet'!$A$35:$I$55,3,0)),0,VLOOKUP(A31,'Données projet'!$A$35:$I$55,3,0))</f>
        <v>4</v>
      </c>
      <c r="V31" s="15">
        <f>IF(ISNA(VLOOKUP(A31,'Données projet'!$A$35:$I$55,4,0)),0,VLOOKUP(A31,'Données projet'!$A$35:$I$55,4,0))</f>
        <v>41</v>
      </c>
      <c r="W31" s="16">
        <f>IF(ISNA(VLOOKUP(A31,'Données projet'!$A$35:$I$55,5,0)),0%,VLOOKUP(A31,'Données projet'!$A$35:$I$55,5,0)*VLOOKUP('Données projet'!$B$9,Paramètres!$A$1:$I$89,7,0))</f>
        <v>0.315</v>
      </c>
      <c r="X31" s="16">
        <f>IF(ISNA(VLOOKUP(A31,'Données projet'!$A$35:$I$55,6,0)),0%,VLOOKUP(A31,'Données projet'!$A$35:$I$55,6,0)*VLOOKUP('Données projet'!$B$9,Paramètres!$A$1:$I$89,7,0))</f>
        <v>7.5600000000000001E-2</v>
      </c>
      <c r="Y31" s="16">
        <f>IF(ISNA(VLOOKUP(A31,'Données projet'!$A$35:$I$55,7,0)),0%,VLOOKUP(A31,'Données projet'!$A$35:$I$55,7,0))</f>
        <v>0.13200000000000001</v>
      </c>
      <c r="Z31" s="21">
        <f>EXP(-LN(2)/35)*Z30+(1-EXP(-LN(2)/35))/(LN(2)/35)*V31*W31*VLOOKUP('Données projet'!$B$9,Paramètres!$A$1:$I$89,3,0)*0.475*44/12</f>
        <v>27.423225863099105</v>
      </c>
      <c r="AA31" s="21">
        <f>EXP(-LN(2)/25)*AA30+(1-EXP(-LN(2)/25))/(LN(2)/25)*Calculateur!V31*Calculateur!X31*VLOOKUP('Données projet'!$B$9,Paramètres!$A$1:$I$89,3,0)*0.475*44/12</f>
        <v>9.9443292370821208</v>
      </c>
      <c r="AB31" s="21">
        <f>EXP(-LN(2)/2)*AB30+(1-EXP(-LN(2)/2))/(LN(2)/2)*V31*Y31*VLOOKUP('Données projet'!$B$9,Paramètres!$A$1:$I$89,3,0)*0.475*44/12</f>
        <v>4.9313905011781021</v>
      </c>
      <c r="AC31" s="22">
        <f t="shared" si="3"/>
        <v>42.298945601359328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3.6111111111111112</v>
      </c>
      <c r="AI31" s="13">
        <f>IF('Données projet'!$A$62&gt;35,AI30+AH31-AQ30,IF(A31&lt;'Données projet'!$A$62,$AF$205^A31,IF(A31='Données projet'!$A$62,'Données projet'!$B$62,AI30+AH31-AQ30)))</f>
        <v>101.11111111111117</v>
      </c>
      <c r="AJ31" s="13">
        <f>AI31*VLOOKUP('Données projet'!$B$10,Paramètres!$A$1:$I$89,3,0)*VLOOKUP('Données projet'!$B$10,Paramètres!$A$1:$I$89,5,0)</f>
        <v>91.485333333333386</v>
      </c>
      <c r="AK31" s="13">
        <f t="shared" si="35"/>
        <v>24.923109639848377</v>
      </c>
      <c r="AL31" s="20">
        <f t="shared" si="4"/>
        <v>202.74470484495825</v>
      </c>
      <c r="AM31" s="59">
        <f t="shared" si="5"/>
        <v>496.07803817829154</v>
      </c>
      <c r="AN31" s="59">
        <f ca="1">AVERAGE(OFFSET($AM$3,0,0,'Données projet'!$E$10+1,1))-AVERAGE(OFFSET($H$3,0,0,'Données projet'!$E$10+1,1))</f>
        <v>215.7418266360167</v>
      </c>
      <c r="AO31" s="59">
        <f t="shared" si="36"/>
        <v>155.78420008229949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2.6904761904761907</v>
      </c>
      <c r="BD31" s="12">
        <f>IF('Données projet'!$A$88&gt;35,BD30+BC31-BL30,IF(A31&lt;'Données projet'!$A$88,$BA$205^A31,IF(A31='Données projet'!$A$88,'Données projet'!$B$88,BD30+BC31-BL30)))</f>
        <v>75.333333333333329</v>
      </c>
      <c r="BE31" s="13">
        <f>BD31*VLOOKUP('Données projet'!$B$11,Paramètres!$A$1:$I$89,3,0)*VLOOKUP('Données projet'!$B$11,Paramètres!$A$1:$I$89,5,0)</f>
        <v>76.388000000000005</v>
      </c>
      <c r="BF31" s="13">
        <f t="shared" si="37"/>
        <v>21.251670713617155</v>
      </c>
      <c r="BG31" s="20">
        <f t="shared" si="7"/>
        <v>170.05575982621656</v>
      </c>
      <c r="BH31" s="59">
        <f t="shared" si="8"/>
        <v>463.38909315954987</v>
      </c>
      <c r="BI31" s="59">
        <f ca="1">AVERAGE(OFFSET($BH$3,0,0,'Données projet'!$E$11+1,1))-AVERAGE(OFFSET($H$3,0,0,'Données projet'!$E$11+1,1))</f>
        <v>179.53921263314447</v>
      </c>
      <c r="BJ31" s="59">
        <f t="shared" si="38"/>
        <v>120.81513023281337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9.7266666666666648</v>
      </c>
      <c r="BY31" s="12">
        <f>IF('Données projet'!$A$114&gt;35,BY30+BX31-CG30,IF(A31&lt;'Données projet'!$A$114,$BV$205^A31,IF(A31='Données projet'!$A$114,'Données projet'!$B$114,BY30+BX31-CG30)))</f>
        <v>204.21333333333328</v>
      </c>
      <c r="BZ31" s="13">
        <f>BY31*VLOOKUP('Données projet'!$B$12,Paramètres!$A$1:$I$89,3,0)*VLOOKUP('Données projet'!$B$12,Paramètres!$A$1:$I$89,5,0)</f>
        <v>95.571839999999966</v>
      </c>
      <c r="CA31" s="13">
        <f t="shared" si="39"/>
        <v>25.904284808769916</v>
      </c>
      <c r="CB31" s="20">
        <f t="shared" si="10"/>
        <v>211.57091737527421</v>
      </c>
      <c r="CC31" s="59">
        <f t="shared" si="11"/>
        <v>504.90425070860749</v>
      </c>
      <c r="CD31" s="59">
        <f ca="1">AVERAGE(OFFSET($CC$3,0,0,'Données projet'!$E$12+1,1))-AVERAGE(OFFSET($H$3,0,0,'Données projet'!$E$12+1,1))</f>
        <v>310.06530483941287</v>
      </c>
      <c r="CE31" s="59">
        <f t="shared" si="40"/>
        <v>170.13425794309376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4.8213543537114214</v>
      </c>
      <c r="CM31" s="21">
        <f>EXP(-LN(2)/2)*CM30+(1-EXP(-LN(2)/2))/(LN(2)/2)*CG31*CJ31*VLOOKUP('Données projet'!$B$12,Paramètres!$A$1:$I$89,3,0)*0.475*44/12</f>
        <v>0.46046981754563376</v>
      </c>
      <c r="CN31" s="22">
        <f t="shared" si="12"/>
        <v>5.2818241712570551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>
        <f>VLOOKUP(A31,'Données projet'!$A$139:$I$159,2,0)</f>
        <v>190</v>
      </c>
      <c r="CR31" s="12">
        <f>VLOOKUP(A31,'Données projet'!$A$139:$I$159,9,0)</f>
        <v>16</v>
      </c>
      <c r="CS31" s="12">
        <f t="array" ref="CS31">INDEX(CR:CR,MIN(IF(ISNUMBER(CR31:CR227),ROW(CR31:CR227),"")))</f>
        <v>16</v>
      </c>
      <c r="CT31" s="12">
        <f>IF('Données projet'!$A$140&gt;35,CT30+CS31-DB30,IF(A31&lt;'Données projet'!$A$140,$CQ$205^A31,IF(A31='Données projet'!$A$140,'Données projet'!$B$140,CT30+CS31-DB30)))</f>
        <v>190</v>
      </c>
      <c r="CU31" s="17">
        <f>CT31*VLOOKUP('Données projet'!$B$13,Paramètres!$A$1:$I$89,3,0)*VLOOKUP('Données projet'!$B$13,Paramètres!$A$1:$I$89,5,0)</f>
        <v>113.62</v>
      </c>
      <c r="CV31" s="13">
        <f t="shared" si="41"/>
        <v>30.182270904187739</v>
      </c>
      <c r="CW31" s="20">
        <f t="shared" si="13"/>
        <v>250.45562182479364</v>
      </c>
      <c r="CX31" s="59">
        <f t="shared" si="14"/>
        <v>543.78895515812701</v>
      </c>
      <c r="CY31" s="59">
        <f ca="1">AVERAGE(OFFSET($CX$3,0,0,'Données projet'!$E$13+1,1))-AVERAGE(OFFSET($H$3,0,0,'Données projet'!$E$13+1,1))</f>
        <v>168.08890945052406</v>
      </c>
      <c r="CZ31" s="59">
        <f t="shared" si="42"/>
        <v>182.52462557642343</v>
      </c>
      <c r="DA31" s="15">
        <f>IF(ISNA(VLOOKUP(A31,'Données projet'!$A$139:$I$159,3,0)),0,VLOOKUP(A31,'Données projet'!$A$139:$I$159,3,0))</f>
        <v>4</v>
      </c>
      <c r="DB31" s="15">
        <f>IF(ISNA(VLOOKUP(A31,'Données projet'!$A$139:$I$159,4,0)),0,VLOOKUP(A31,'Données projet'!$A$139:$I$159,4,0))</f>
        <v>35</v>
      </c>
      <c r="DC31" s="16">
        <f>IF(ISNA(VLOOKUP(A31,'Données projet'!$A$139:$I$159,5,0)),0%,VLOOKUP(A31,'Données projet'!$A$139:$I$159,5,0)*VLOOKUP('Données projet'!$B$13,Paramètres!$A$1:$I$89,7,0))</f>
        <v>0.315</v>
      </c>
      <c r="DD31" s="16">
        <f>IF(ISNA(VLOOKUP(A31,'Données projet'!$A$139:$I$159,6,0)),0%,VLOOKUP(A31,'Données projet'!$A$139:$I$159,6,0)*VLOOKUP('Données projet'!$B$13,Paramètres!$A$1:$I$89,7,0))</f>
        <v>7.5600000000000001E-2</v>
      </c>
      <c r="DE31" s="16">
        <f>IF(ISNA(VLOOKUP(A31,'Données projet'!$A$139:$I$159,7,0)),0%,VLOOKUP(A31,'Données projet'!$A$139:$I$159,7,0))</f>
        <v>0.13200000000000001</v>
      </c>
      <c r="DF31" s="21">
        <f>EXP(-LN(2)/35)*DF30+(1-EXP(-LN(2)/35))/(LN(2)/35)*DB31*DC31*VLOOKUP('Données projet'!$B$13,Paramètres!$A$1:$I$89,3,0)*0.475*44/12</f>
        <v>15.902434968429164</v>
      </c>
      <c r="DG31" s="21">
        <f>EXP(-LN(2)/25)*DG30+(1-EXP(-LN(2)/25))/(LN(2)/25)*Calculateur!DB31*Calculateur!DD31*VLOOKUP('Données projet'!$B$13,Paramètres!$A$1:$I$89,3,0)*0.475*44/12</f>
        <v>9.3988890717986848</v>
      </c>
      <c r="DH31" s="21">
        <f>EXP(-LN(2)/2)*DH30+(1-EXP(-LN(2)/2))/(LN(2)/2)*DB31*DE31*VLOOKUP('Données projet'!$B$13,Paramètres!$A$1:$I$89,3,0)*0.475*44/12</f>
        <v>4.3001874126754105</v>
      </c>
      <c r="DI31" s="22">
        <f t="shared" si="15"/>
        <v>29.601511452903257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28</v>
      </c>
      <c r="DO31" s="12">
        <f>IF('Données projet'!$A$166&gt;35,DO30+DN31-DW30,IF(A31&lt;'Données projet'!$A$166,$DL$205^A31,IF(A31='Données projet'!$A$166,'Données projet'!$B$166,DO30+DN31-DW30)))</f>
        <v>365</v>
      </c>
      <c r="DP31" s="17">
        <f>DO31*VLOOKUP('Données projet'!$B$14,Paramètres!$A$1:$I$89,3,0)*VLOOKUP('Données projet'!$B$14,Paramètres!$A$1:$I$89,5,0)</f>
        <v>204.035</v>
      </c>
      <c r="DQ31" s="13">
        <f t="shared" si="43"/>
        <v>50.629905099971396</v>
      </c>
      <c r="DR31" s="20">
        <f t="shared" si="16"/>
        <v>443.54137638245015</v>
      </c>
      <c r="DS31" s="59">
        <f t="shared" si="17"/>
        <v>736.87470971578341</v>
      </c>
      <c r="DT31" s="59">
        <f ca="1">AVERAGE(OFFSET($DS$3,0,0,'Données projet'!$E$14+1,1))-AVERAGE(OFFSET($H$3,0,0,'Données projet'!$E$14+1,1))</f>
        <v>355.23615781077405</v>
      </c>
      <c r="DU31" s="59">
        <f t="shared" si="44"/>
        <v>448.84541017639367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11.304404337509922</v>
      </c>
      <c r="EC31" s="21">
        <f>EXP(-LN(2)/2)*EC30+(1-EXP(-LN(2)/2))/(LN(2)/2)*DW31*DZ31*VLOOKUP('Données projet'!$B$14,Paramètres!$A$1:$I$89,3,0)*0.475*44/12</f>
        <v>5.3167812198549642</v>
      </c>
      <c r="ED31" s="22">
        <f t="shared" si="18"/>
        <v>16.621185557364885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2.1523809523809527</v>
      </c>
      <c r="EJ31" s="12">
        <f>IF('Données projet'!$A$192&gt;35,EJ30+EI31-ER30,IF(A31&lt;'Données projet'!$A$192,$EG$205^A31,IF(A31='Données projet'!$A$192,'Données projet'!$B$192,EJ30+EI31-ER30)))</f>
        <v>60.266666666666659</v>
      </c>
      <c r="EK31" s="17">
        <f>EJ31*VLOOKUP('Données projet'!$B$15,Paramètres!$A$1:$I$89,3,0)*VLOOKUP('Données projet'!$B$15,Paramètres!$A$1:$I$89,5,0)</f>
        <v>64.871039999999979</v>
      </c>
      <c r="EL31" s="13">
        <f t="shared" si="45"/>
        <v>18.394170392831658</v>
      </c>
      <c r="EM31" s="20">
        <f t="shared" si="19"/>
        <v>145.02024143418177</v>
      </c>
      <c r="EN31" s="59">
        <f t="shared" si="20"/>
        <v>438.35357476751506</v>
      </c>
      <c r="EO31" s="59">
        <f ca="1">AVERAGE(OFFSET($EN$3,0,0,'Données projet'!$E$15+1,1))-AVERAGE(OFFSET($H$3,0,0,'Données projet'!$E$15+1,1))</f>
        <v>130.76477588601989</v>
      </c>
      <c r="EP31" s="59">
        <f t="shared" si="46"/>
        <v>94.034011511502172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28</v>
      </c>
      <c r="FE31" s="12">
        <f>IF('Données projet'!$A$218&gt;35,FE30+FD31-FM30,IF(A31&lt;'Données projet'!$A$218,$FB$205^A31,IF(A31='Données projet'!$A$218,'Données projet'!$B$218,FE30+FD31-FM30)))</f>
        <v>365</v>
      </c>
      <c r="FF31" s="17">
        <f>FE31*VLOOKUP('Données projet'!$B$16,Paramètres!$A$1:$I$89,3,0)*VLOOKUP('Données projet'!$B$16,Paramètres!$A$1:$I$89,5,0)</f>
        <v>166.07499999999999</v>
      </c>
      <c r="FG31" s="13">
        <f t="shared" si="47"/>
        <v>42.209762641492027</v>
      </c>
      <c r="FH31" s="20">
        <f t="shared" si="22"/>
        <v>362.76262826726526</v>
      </c>
      <c r="FI31" s="59">
        <f t="shared" si="23"/>
        <v>656.09596160059857</v>
      </c>
      <c r="FJ31" s="59">
        <f ca="1">AVERAGE(OFFSET($FI$3,0,0,'Données projet'!$E$16+1,1))-AVERAGE(OFFSET($H$3,0,0,'Données projet'!$E$16+1,1))</f>
        <v>279.43442619866738</v>
      </c>
      <c r="FK31" s="59">
        <f t="shared" si="48"/>
        <v>355.95192241448217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9.2012593444848196</v>
      </c>
      <c r="FS31" s="21">
        <f>EXP(-LN(2)/2)*FS30+(1-EXP(-LN(2)/2))/(LN(2)/2)*FM31*FP31*VLOOKUP('Données projet'!$B$16,Paramètres!$A$1:$I$89,3,0)*0.475*44/12</f>
        <v>4.3276126208121806</v>
      </c>
      <c r="FT31" s="22">
        <f t="shared" si="24"/>
        <v>13.528871965297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18.666666666666668</v>
      </c>
      <c r="N32" s="13">
        <f>IF('Données projet'!$A$36&gt;35,N31+M32-V31,IF(A32&lt;'Données projet'!$A$36,$K$205^A32,IF(A32='Données projet'!$A$36,'Données projet'!$B$36,N31+M32-V31)))</f>
        <v>210.66666666666666</v>
      </c>
      <c r="O32" s="13">
        <f>N32*VLOOKUP('Données projet'!$B$9,Paramètres!$A$1:$I$89,3,0)*VLOOKUP('Données projet'!$B$9,Paramètres!$A$1:$I$89,5,0)</f>
        <v>125.97866666666667</v>
      </c>
      <c r="P32" s="13">
        <f t="shared" si="33"/>
        <v>33.065454810766525</v>
      </c>
      <c r="Q32" s="20">
        <f t="shared" si="2"/>
        <v>277.00184490652941</v>
      </c>
      <c r="R32" s="59">
        <f t="shared" si="0"/>
        <v>570.33517823986267</v>
      </c>
      <c r="S32" s="59">
        <f ca="1">AVERAGE(OFFSET($R$3,0,0,'Données projet'!$E$9+1,1))-AVERAGE(OFFSET($H$3,0,0,'Données projet'!$E$9+1,1))</f>
        <v>227.89848316900191</v>
      </c>
      <c r="T32" s="59">
        <f t="shared" si="34"/>
        <v>239.85955661394541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26.885473130439902</v>
      </c>
      <c r="AA32" s="21">
        <f>EXP(-LN(2)/25)*AA31+(1-EXP(-LN(2)/25))/(LN(2)/25)*Calculateur!V32*Calculateur!X32*VLOOKUP('Données projet'!$B$9,Paramètres!$A$1:$I$89,3,0)*0.475*44/12</f>
        <v>9.6724010311445632</v>
      </c>
      <c r="AB32" s="21">
        <f>EXP(-LN(2)/2)*AB31+(1-EXP(-LN(2)/2))/(LN(2)/2)*V32*Y32*VLOOKUP('Données projet'!$B$9,Paramètres!$A$1:$I$89,3,0)*0.475*44/12</f>
        <v>3.4870196640619633</v>
      </c>
      <c r="AC32" s="22">
        <f t="shared" si="3"/>
        <v>40.044893825646426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3.6111111111111112</v>
      </c>
      <c r="AI32" s="13">
        <f>IF('Données projet'!$A$62&gt;35,AI31+AH32-AQ31,IF(A32&lt;'Données projet'!$A$62,$AF$205^A32,IF(A32='Données projet'!$A$62,'Données projet'!$B$62,AI31+AH32-AQ31)))</f>
        <v>104.72222222222229</v>
      </c>
      <c r="AJ32" s="13">
        <f>AI32*VLOOKUP('Données projet'!$B$10,Paramètres!$A$1:$I$89,3,0)*VLOOKUP('Données projet'!$B$10,Paramètres!$A$1:$I$89,5,0)</f>
        <v>94.752666666666727</v>
      </c>
      <c r="AK32" s="13">
        <f t="shared" si="35"/>
        <v>25.707998295973415</v>
      </c>
      <c r="AL32" s="20">
        <f t="shared" si="4"/>
        <v>209.80232480993155</v>
      </c>
      <c r="AM32" s="59">
        <f t="shared" si="5"/>
        <v>503.13565814326489</v>
      </c>
      <c r="AN32" s="59">
        <f ca="1">AVERAGE(OFFSET($AM$3,0,0,'Données projet'!$E$10+1,1))-AVERAGE(OFFSET($H$3,0,0,'Données projet'!$E$10+1,1))</f>
        <v>215.7418266360167</v>
      </c>
      <c r="AO32" s="59">
        <f t="shared" si="36"/>
        <v>155.78420008229949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2.6904761904761907</v>
      </c>
      <c r="BD32" s="12">
        <f>IF('Données projet'!$A$88&gt;35,BD31+BC32-BL31,IF(A32&lt;'Données projet'!$A$88,$BA$205^A32,IF(A32='Données projet'!$A$88,'Données projet'!$B$88,BD31+BC32-BL31)))</f>
        <v>78.023809523809518</v>
      </c>
      <c r="BE32" s="13">
        <f>BD32*VLOOKUP('Données projet'!$B$11,Paramètres!$A$1:$I$89,3,0)*VLOOKUP('Données projet'!$B$11,Paramètres!$A$1:$I$89,5,0)</f>
        <v>79.116142857142862</v>
      </c>
      <c r="BF32" s="13">
        <f t="shared" si="37"/>
        <v>21.920936929103938</v>
      </c>
      <c r="BG32" s="20">
        <f t="shared" si="7"/>
        <v>175.97291396104652</v>
      </c>
      <c r="BH32" s="59">
        <f t="shared" si="8"/>
        <v>469.30624729437983</v>
      </c>
      <c r="BI32" s="59">
        <f ca="1">AVERAGE(OFFSET($BH$3,0,0,'Données projet'!$E$11+1,1))-AVERAGE(OFFSET($H$3,0,0,'Données projet'!$E$11+1,1))</f>
        <v>179.53921263314447</v>
      </c>
      <c r="BJ32" s="59">
        <f t="shared" si="38"/>
        <v>120.81513023281337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9.7266666666666648</v>
      </c>
      <c r="BY32" s="12">
        <f>IF('Données projet'!$A$114&gt;35,BY31+BX32-CG31,IF(A32&lt;'Données projet'!$A$114,$BV$205^A32,IF(A32='Données projet'!$A$114,'Données projet'!$B$114,BY31+BX32-CG31)))</f>
        <v>213.93999999999994</v>
      </c>
      <c r="BZ32" s="13">
        <f>BY32*VLOOKUP('Données projet'!$B$12,Paramètres!$A$1:$I$89,3,0)*VLOOKUP('Données projet'!$B$12,Paramètres!$A$1:$I$89,5,0)</f>
        <v>100.12391999999997</v>
      </c>
      <c r="CA32" s="13">
        <f t="shared" si="39"/>
        <v>26.991517651331367</v>
      </c>
      <c r="CB32" s="20">
        <f t="shared" si="10"/>
        <v>221.39272057606874</v>
      </c>
      <c r="CC32" s="59">
        <f t="shared" si="11"/>
        <v>514.72605390940203</v>
      </c>
      <c r="CD32" s="59">
        <f ca="1">AVERAGE(OFFSET($CC$3,0,0,'Données projet'!$E$12+1,1))-AVERAGE(OFFSET($H$3,0,0,'Données projet'!$E$12+1,1))</f>
        <v>310.06530483941287</v>
      </c>
      <c r="CE32" s="59">
        <f t="shared" si="40"/>
        <v>170.13425794309376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4.6895141653651766</v>
      </c>
      <c r="CM32" s="21">
        <f>EXP(-LN(2)/2)*CM31+(1-EXP(-LN(2)/2))/(LN(2)/2)*CG32*CJ32*VLOOKUP('Données projet'!$B$12,Paramètres!$A$1:$I$89,3,0)*0.475*44/12</f>
        <v>0.32560133051824997</v>
      </c>
      <c r="CN32" s="22">
        <f t="shared" si="12"/>
        <v>5.0151154958834265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14.833333333333334</v>
      </c>
      <c r="CT32" s="12">
        <f>IF('Données projet'!$A$140&gt;35,CT31+CS32-DB31,IF(A32&lt;'Données projet'!$A$140,$CQ$205^A32,IF(A32='Données projet'!$A$140,'Données projet'!$B$140,CT31+CS32-DB31)))</f>
        <v>169.83333333333334</v>
      </c>
      <c r="CU32" s="17">
        <f>CT32*VLOOKUP('Données projet'!$B$13,Paramètres!$A$1:$I$89,3,0)*VLOOKUP('Données projet'!$B$13,Paramètres!$A$1:$I$89,5,0)</f>
        <v>101.56033333333333</v>
      </c>
      <c r="CV32" s="13">
        <f t="shared" si="41"/>
        <v>27.333389821325063</v>
      </c>
      <c r="CW32" s="20">
        <f t="shared" si="13"/>
        <v>224.48990116103005</v>
      </c>
      <c r="CX32" s="59">
        <f t="shared" si="14"/>
        <v>517.82323449436331</v>
      </c>
      <c r="CY32" s="59">
        <f ca="1">AVERAGE(OFFSET($CX$3,0,0,'Données projet'!$E$13+1,1))-AVERAGE(OFFSET($H$3,0,0,'Données projet'!$E$13+1,1))</f>
        <v>168.08890945052406</v>
      </c>
      <c r="CZ32" s="59">
        <f t="shared" si="42"/>
        <v>182.52462557642343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15.59059791822585</v>
      </c>
      <c r="DG32" s="21">
        <f>EXP(-LN(2)/25)*DG31+(1-EXP(-LN(2)/25))/(LN(2)/25)*Calculateur!DB32*Calculateur!DD32*VLOOKUP('Données projet'!$B$13,Paramètres!$A$1:$I$89,3,0)*0.475*44/12</f>
        <v>9.1418759558642542</v>
      </c>
      <c r="DH32" s="21">
        <f>EXP(-LN(2)/2)*DH31+(1-EXP(-LN(2)/2))/(LN(2)/2)*DB32*DE32*VLOOKUP('Données projet'!$B$13,Paramètres!$A$1:$I$89,3,0)*0.475*44/12</f>
        <v>3.0406916798758177</v>
      </c>
      <c r="DI32" s="22">
        <f t="shared" si="15"/>
        <v>27.773165553965921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28</v>
      </c>
      <c r="DO32" s="12">
        <f>IF('Données projet'!$A$166&gt;35,DO31+DN32-DW31,IF(A32&lt;'Données projet'!$A$166,$DL$205^A32,IF(A32='Données projet'!$A$166,'Données projet'!$B$166,DO31+DN32-DW31)))</f>
        <v>393</v>
      </c>
      <c r="DP32" s="17">
        <f>DO32*VLOOKUP('Données projet'!$B$14,Paramètres!$A$1:$I$89,3,0)*VLOOKUP('Données projet'!$B$14,Paramètres!$A$1:$I$89,5,0)</f>
        <v>219.68700000000001</v>
      </c>
      <c r="DQ32" s="13">
        <f t="shared" si="43"/>
        <v>54.046851081096591</v>
      </c>
      <c r="DR32" s="20">
        <f t="shared" si="16"/>
        <v>476.75312396624321</v>
      </c>
      <c r="DS32" s="59">
        <f t="shared" si="17"/>
        <v>770.08645729957652</v>
      </c>
      <c r="DT32" s="59">
        <f ca="1">AVERAGE(OFFSET($DS$3,0,0,'Données projet'!$E$14+1,1))-AVERAGE(OFFSET($H$3,0,0,'Données projet'!$E$14+1,1))</f>
        <v>355.23615781077405</v>
      </c>
      <c r="DU32" s="59">
        <f t="shared" si="44"/>
        <v>448.84541017639367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10.995284806427925</v>
      </c>
      <c r="EC32" s="21">
        <f>EXP(-LN(2)/2)*EC31+(1-EXP(-LN(2)/2))/(LN(2)/2)*DW32*DZ32*VLOOKUP('Données projet'!$B$14,Paramètres!$A$1:$I$89,3,0)*0.475*44/12</f>
        <v>3.7595320546447297</v>
      </c>
      <c r="ED32" s="22">
        <f t="shared" si="18"/>
        <v>14.754816861072655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2.1523809523809527</v>
      </c>
      <c r="EJ32" s="12">
        <f>IF('Données projet'!$A$192&gt;35,EJ31+EI32-ER31,IF(A32&lt;'Données projet'!$A$192,$EG$205^A32,IF(A32='Données projet'!$A$192,'Données projet'!$B$192,EJ31+EI32-ER31)))</f>
        <v>62.41904761904761</v>
      </c>
      <c r="EK32" s="17">
        <f>EJ32*VLOOKUP('Données projet'!$B$15,Paramètres!$A$1:$I$89,3,0)*VLOOKUP('Données projet'!$B$15,Paramètres!$A$1:$I$89,5,0)</f>
        <v>67.187862857142846</v>
      </c>
      <c r="EL32" s="13">
        <f t="shared" si="45"/>
        <v>18.973447051675304</v>
      </c>
      <c r="EM32" s="20">
        <f t="shared" si="19"/>
        <v>150.06428142452492</v>
      </c>
      <c r="EN32" s="59">
        <f t="shared" si="20"/>
        <v>443.39761475785826</v>
      </c>
      <c r="EO32" s="59">
        <f ca="1">AVERAGE(OFFSET($EN$3,0,0,'Données projet'!$E$15+1,1))-AVERAGE(OFFSET($H$3,0,0,'Données projet'!$E$15+1,1))</f>
        <v>130.76477588601989</v>
      </c>
      <c r="EP32" s="59">
        <f t="shared" si="46"/>
        <v>94.034011511502172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28</v>
      </c>
      <c r="FE32" s="12">
        <f>IF('Données projet'!$A$218&gt;35,FE31+FD32-FM31,IF(A32&lt;'Données projet'!$A$218,$FB$205^A32,IF(A32='Données projet'!$A$218,'Données projet'!$B$218,FE31+FD32-FM31)))</f>
        <v>393</v>
      </c>
      <c r="FF32" s="17">
        <f>FE32*VLOOKUP('Données projet'!$B$16,Paramètres!$A$1:$I$89,3,0)*VLOOKUP('Données projet'!$B$16,Paramètres!$A$1:$I$89,5,0)</f>
        <v>178.815</v>
      </c>
      <c r="FG32" s="13">
        <f t="shared" si="47"/>
        <v>45.058444236634422</v>
      </c>
      <c r="FH32" s="20">
        <f t="shared" si="22"/>
        <v>389.91291537880488</v>
      </c>
      <c r="FI32" s="59">
        <f t="shared" si="23"/>
        <v>683.24624871213814</v>
      </c>
      <c r="FJ32" s="59">
        <f ca="1">AVERAGE(OFFSET($FI$3,0,0,'Données projet'!$E$16+1,1))-AVERAGE(OFFSET($H$3,0,0,'Données projet'!$E$16+1,1))</f>
        <v>279.43442619866738</v>
      </c>
      <c r="FK32" s="59">
        <f t="shared" si="48"/>
        <v>355.95192241448217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8.9496504238366832</v>
      </c>
      <c r="FS32" s="21">
        <f>EXP(-LN(2)/2)*FS31+(1-EXP(-LN(2)/2))/(LN(2)/2)*FM32*FP32*VLOOKUP('Données projet'!$B$16,Paramètres!$A$1:$I$89,3,0)*0.475*44/12</f>
        <v>3.0600842305247804</v>
      </c>
      <c r="FT32" s="22">
        <f t="shared" si="24"/>
        <v>12.009734654361463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18.666666666666668</v>
      </c>
      <c r="N33" s="13">
        <f>IF('Données projet'!$A$36&gt;35,N32+M33-V32,IF(A33&lt;'Données projet'!$A$36,$K$205^A33,IF(A33='Données projet'!$A$36,'Données projet'!$B$36,N32+M33-V32)))</f>
        <v>229.33333333333331</v>
      </c>
      <c r="O33" s="13">
        <f>N33*VLOOKUP('Données projet'!$B$9,Paramètres!$A$1:$I$89,3,0)*VLOOKUP('Données projet'!$B$9,Paramètres!$A$1:$I$89,5,0)</f>
        <v>137.14133333333334</v>
      </c>
      <c r="P33" s="13">
        <f t="shared" si="33"/>
        <v>35.641340873670629</v>
      </c>
      <c r="Q33" s="20">
        <f t="shared" si="2"/>
        <v>300.92982424386526</v>
      </c>
      <c r="R33" s="59">
        <f t="shared" si="0"/>
        <v>594.26315757719863</v>
      </c>
      <c r="S33" s="59">
        <f ca="1">AVERAGE(OFFSET($R$3,0,0,'Données projet'!$E$9+1,1))-AVERAGE(OFFSET($H$3,0,0,'Données projet'!$E$9+1,1))</f>
        <v>227.89848316900191</v>
      </c>
      <c r="T33" s="59">
        <f t="shared" si="34"/>
        <v>239.85955661394541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26.358265400871364</v>
      </c>
      <c r="AA33" s="21">
        <f>EXP(-LN(2)/25)*AA32+(1-EXP(-LN(2)/25))/(LN(2)/25)*Calculateur!V33*Calculateur!X33*VLOOKUP('Données projet'!$B$9,Paramètres!$A$1:$I$89,3,0)*0.475*44/12</f>
        <v>9.4079087162984507</v>
      </c>
      <c r="AB33" s="21">
        <f>EXP(-LN(2)/2)*AB32+(1-EXP(-LN(2)/2))/(LN(2)/2)*V33*Y33*VLOOKUP('Données projet'!$B$9,Paramètres!$A$1:$I$89,3,0)*0.475*44/12</f>
        <v>2.4656952505890515</v>
      </c>
      <c r="AC33" s="22">
        <f t="shared" si="3"/>
        <v>38.231869367758861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3.6111111111111112</v>
      </c>
      <c r="AI33" s="13">
        <f>IF('Données projet'!$A$62&gt;35,AI32+AH33-AQ32,IF(A33&lt;'Données projet'!$A$62,$AF$205^A33,IF(A33='Données projet'!$A$62,'Données projet'!$B$62,AI32+AH33-AQ32)))</f>
        <v>108.3333333333334</v>
      </c>
      <c r="AJ33" s="13">
        <f>AI33*VLOOKUP('Données projet'!$B$10,Paramètres!$A$1:$I$89,3,0)*VLOOKUP('Données projet'!$B$10,Paramètres!$A$1:$I$89,5,0)</f>
        <v>98.020000000000053</v>
      </c>
      <c r="AK33" s="13">
        <f t="shared" si="35"/>
        <v>26.489742227111556</v>
      </c>
      <c r="AL33" s="20">
        <f t="shared" si="4"/>
        <v>216.85446771221939</v>
      </c>
      <c r="AM33" s="59">
        <f t="shared" si="5"/>
        <v>510.1878010455527</v>
      </c>
      <c r="AN33" s="59">
        <f ca="1">AVERAGE(OFFSET($AM$3,0,0,'Données projet'!$E$10+1,1))-AVERAGE(OFFSET($H$3,0,0,'Données projet'!$E$10+1,1))</f>
        <v>215.7418266360167</v>
      </c>
      <c r="AO33" s="59">
        <f t="shared" si="36"/>
        <v>155.78420008229949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2.6904761904761907</v>
      </c>
      <c r="BD33" s="12">
        <f>IF('Données projet'!$A$88&gt;35,BD32+BC33-BL32,IF(A33&lt;'Données projet'!$A$88,$BA$205^A33,IF(A33='Données projet'!$A$88,'Données projet'!$B$88,BD32+BC33-BL32)))</f>
        <v>80.714285714285708</v>
      </c>
      <c r="BE33" s="13">
        <f>BD33*VLOOKUP('Données projet'!$B$11,Paramètres!$A$1:$I$89,3,0)*VLOOKUP('Données projet'!$B$11,Paramètres!$A$1:$I$89,5,0)</f>
        <v>81.844285714285718</v>
      </c>
      <c r="BF33" s="13">
        <f t="shared" si="37"/>
        <v>22.587521671015683</v>
      </c>
      <c r="BG33" s="20">
        <f t="shared" si="7"/>
        <v>181.88539786273327</v>
      </c>
      <c r="BH33" s="59">
        <f t="shared" si="8"/>
        <v>475.21873119606659</v>
      </c>
      <c r="BI33" s="59">
        <f ca="1">AVERAGE(OFFSET($BH$3,0,0,'Données projet'!$E$11+1,1))-AVERAGE(OFFSET($H$3,0,0,'Données projet'!$E$11+1,1))</f>
        <v>179.53921263314447</v>
      </c>
      <c r="BJ33" s="59">
        <f t="shared" si="38"/>
        <v>120.81513023281337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223.66666666666666</v>
      </c>
      <c r="BW33" s="12">
        <f>VLOOKUP(A33,'Données projet'!$A$113:$I$133,9,0)</f>
        <v>9.7266666666666648</v>
      </c>
      <c r="BX33" s="12">
        <f t="array" ref="BX33">INDEX(BW:BW,MIN(IF(ISNUMBER(BW33:BW229),ROW(BW33:BW229),"")))</f>
        <v>9.7266666666666648</v>
      </c>
      <c r="BY33" s="12">
        <f>IF('Données projet'!$A$114&gt;35,BY32+BX33-CG32,IF(A33&lt;'Données projet'!$A$114,$BV$205^A33,IF(A33='Données projet'!$A$114,'Données projet'!$B$114,BY32+BX33-CG32)))</f>
        <v>223.6666666666666</v>
      </c>
      <c r="BZ33" s="13">
        <f>BY33*VLOOKUP('Données projet'!$B$12,Paramètres!$A$1:$I$89,3,0)*VLOOKUP('Données projet'!$B$12,Paramètres!$A$1:$I$89,5,0)</f>
        <v>104.67599999999996</v>
      </c>
      <c r="CA33" s="13">
        <f t="shared" si="39"/>
        <v>28.07300989838113</v>
      </c>
      <c r="CB33" s="20">
        <f t="shared" si="10"/>
        <v>231.20452557301368</v>
      </c>
      <c r="CC33" s="59">
        <f t="shared" si="11"/>
        <v>524.53785890634697</v>
      </c>
      <c r="CD33" s="59">
        <f ca="1">AVERAGE(OFFSET($CC$3,0,0,'Données projet'!$E$12+1,1))-AVERAGE(OFFSET($H$3,0,0,'Données projet'!$E$12+1,1))</f>
        <v>310.06530483941287</v>
      </c>
      <c r="CE33" s="59">
        <f t="shared" si="40"/>
        <v>170.13425794309376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36.4</v>
      </c>
      <c r="CH33" s="16">
        <f>IF(ISNA(VLOOKUP(A33,'Données projet'!$A$113:$I$133,5,0)),0%,VLOOKUP(A33,'Données projet'!$A$113:$I$133,5,0)*VLOOKUP('Données projet'!$B$12,Paramètres!$A$1:$I$89,7,0))</f>
        <v>0.38500000000000001</v>
      </c>
      <c r="CI33" s="16">
        <f>IF(ISNA(VLOOKUP(A33,'Données projet'!$A$113:$I$133,6,0)),0%,VLOOKUP(A33,'Données projet'!$A$113:$I$133,6,0)*VLOOKUP('Données projet'!$B$12,Paramètres!$A$1:$I$89,7,0))</f>
        <v>9.240000000000001E-2</v>
      </c>
      <c r="CJ33" s="16">
        <f>IF(ISNA(VLOOKUP(A33,'Données projet'!$A$113:$I$133,7,0)),0%,VLOOKUP(A33,'Données projet'!$A$113:$I$133,7,0))</f>
        <v>0.13200000000000001</v>
      </c>
      <c r="CK33" s="21">
        <f>EXP(-LN(2)/35)*CK32+(1-EXP(-LN(2)/35))/(LN(2)/35)*CG33*CH33*VLOOKUP('Données projet'!$B$12,Paramètres!$A$1:$I$89,3,0)*0.475*44/12</f>
        <v>8.7003419623519065</v>
      </c>
      <c r="CL33" s="21">
        <f>EXP(-LN(2)/25)*CL32+(1-EXP(-LN(2)/25))/(LN(2)/25)*Calculateur!CG33*Calculateur!CI33*VLOOKUP('Données projet'!$B$12,Paramètres!$A$1:$I$89,3,0)*0.475*44/12</f>
        <v>6.6411396501318603</v>
      </c>
      <c r="CM33" s="21">
        <f>EXP(-LN(2)/2)*CM32+(1-EXP(-LN(2)/2))/(LN(2)/2)*CG33*CJ33*VLOOKUP('Données projet'!$B$12,Paramètres!$A$1:$I$89,3,0)*0.475*44/12</f>
        <v>2.776224988569433</v>
      </c>
      <c r="CN33" s="22">
        <f t="shared" si="12"/>
        <v>18.1177066010532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14.833333333333334</v>
      </c>
      <c r="CT33" s="12">
        <f>IF('Données projet'!$A$140&gt;35,CT32+CS33-DB32,IF(A33&lt;'Données projet'!$A$140,$CQ$205^A33,IF(A33='Données projet'!$A$140,'Données projet'!$B$140,CT32+CS33-DB32)))</f>
        <v>184.66666666666669</v>
      </c>
      <c r="CU33" s="17">
        <f>CT33*VLOOKUP('Données projet'!$B$13,Paramètres!$A$1:$I$89,3,0)*VLOOKUP('Données projet'!$B$13,Paramètres!$A$1:$I$89,5,0)</f>
        <v>110.43066666666668</v>
      </c>
      <c r="CV33" s="13">
        <f t="shared" si="41"/>
        <v>29.43242991113809</v>
      </c>
      <c r="CW33" s="20">
        <f t="shared" si="13"/>
        <v>243.5948932063433</v>
      </c>
      <c r="CX33" s="59">
        <f t="shared" si="14"/>
        <v>536.92822653967664</v>
      </c>
      <c r="CY33" s="59">
        <f ca="1">AVERAGE(OFFSET($CX$3,0,0,'Données projet'!$E$13+1,1))-AVERAGE(OFFSET($H$3,0,0,'Données projet'!$E$13+1,1))</f>
        <v>168.08890945052406</v>
      </c>
      <c r="CZ33" s="59">
        <f t="shared" si="42"/>
        <v>182.52462557642343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15.284875802375202</v>
      </c>
      <c r="DG33" s="21">
        <f>EXP(-LN(2)/25)*DG32+(1-EXP(-LN(2)/25))/(LN(2)/25)*Calculateur!DB33*Calculateur!DD33*VLOOKUP('Données projet'!$B$13,Paramètres!$A$1:$I$89,3,0)*0.475*44/12</f>
        <v>8.8918908771007832</v>
      </c>
      <c r="DH33" s="21">
        <f>EXP(-LN(2)/2)*DH32+(1-EXP(-LN(2)/2))/(LN(2)/2)*DB33*DE33*VLOOKUP('Données projet'!$B$13,Paramètres!$A$1:$I$89,3,0)*0.475*44/12</f>
        <v>2.1500937063377057</v>
      </c>
      <c r="DI33" s="22">
        <f t="shared" si="15"/>
        <v>26.326860385813692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421</v>
      </c>
      <c r="DM33" s="12">
        <f>VLOOKUP(A33,'Données projet'!$A$165:$I$185,9,0)</f>
        <v>28</v>
      </c>
      <c r="DN33" s="12">
        <f t="array" ref="DN33">INDEX(DM:DM,MIN(IF(ISNUMBER(DM33:DM229),ROW(DM33:DM229),"")))</f>
        <v>28</v>
      </c>
      <c r="DO33" s="12">
        <f>IF('Données projet'!$A$166&gt;35,DO32+DN33-DW32,IF(A33&lt;'Données projet'!$A$166,$DL$205^A33,IF(A33='Données projet'!$A$166,'Données projet'!$B$166,DO32+DN33-DW32)))</f>
        <v>421</v>
      </c>
      <c r="DP33" s="17">
        <f>DO33*VLOOKUP('Données projet'!$B$14,Paramètres!$A$1:$I$89,3,0)*VLOOKUP('Données projet'!$B$14,Paramètres!$A$1:$I$89,5,0)</f>
        <v>235.339</v>
      </c>
      <c r="DQ33" s="13">
        <f t="shared" si="43"/>
        <v>57.43555185051494</v>
      </c>
      <c r="DR33" s="20">
        <f t="shared" si="16"/>
        <v>509.91567780631357</v>
      </c>
      <c r="DS33" s="59">
        <f t="shared" si="17"/>
        <v>803.24901113964688</v>
      </c>
      <c r="DT33" s="59">
        <f ca="1">AVERAGE(OFFSET($DS$3,0,0,'Données projet'!$E$14+1,1))-AVERAGE(OFFSET($H$3,0,0,'Données projet'!$E$14+1,1))</f>
        <v>355.23615781077405</v>
      </c>
      <c r="DU33" s="59">
        <f t="shared" si="44"/>
        <v>448.84541017639367</v>
      </c>
      <c r="DV33" s="15">
        <f>IF(ISNA(VLOOKUP(A33,'Données projet'!$A$165:$I$185,3,0)),0,VLOOKUP(A33,'Données projet'!$A$165:$I$185,3,0))</f>
        <v>2</v>
      </c>
      <c r="DW33" s="15">
        <f>IF(ISNA(VLOOKUP(A33,'Données projet'!$A$165:$I$185,4,0)),0,VLOOKUP(A33,'Données projet'!$A$165:$I$185,4,0))</f>
        <v>54</v>
      </c>
      <c r="DX33" s="16">
        <f>IF(ISNA(VLOOKUP(A33,'Données projet'!$A$165:$I$185,5,0)),0%,VLOOKUP(A33,'Données projet'!$A$165:$I$185,5,0)*VLOOKUP('Données projet'!$B$14,Paramètres!$A$1:$I$89,7,0))</f>
        <v>0.38500000000000001</v>
      </c>
      <c r="DY33" s="16">
        <f>IF(ISNA(VLOOKUP(A33,'Données projet'!$A$165:$I$185,6,0)),0%,VLOOKUP(A33,'Données projet'!$A$165:$I$185,6,0)*VLOOKUP('Données projet'!$B$14,Paramètres!$A$1:$I$89,7,0))</f>
        <v>9.240000000000001E-2</v>
      </c>
      <c r="DZ33" s="16">
        <f>IF(ISNA(VLOOKUP(A33,'Données projet'!$A$165:$I$185,7,0)),0%,VLOOKUP(A33,'Données projet'!$A$165:$I$185,7,0))</f>
        <v>0.13200000000000001</v>
      </c>
      <c r="EA33" s="21">
        <f>EXP(-LN(2)/35)*EA32+(1-EXP(-LN(2)/35))/(LN(2)/35)*DW33*DX33*VLOOKUP('Données projet'!$B$14,Paramètres!$A$1:$I$89,3,0)*0.475*44/12</f>
        <v>15.416814740980714</v>
      </c>
      <c r="EB33" s="21">
        <f>EXP(-LN(2)/25)*EB32+(1-EXP(-LN(2)/25))/(LN(2)/25)*Calculateur!DW33*Calculateur!DY33*VLOOKUP('Données projet'!$B$14,Paramètres!$A$1:$I$89,3,0)*0.475*44/12</f>
        <v>14.380085253278102</v>
      </c>
      <c r="EC33" s="21">
        <f>EXP(-LN(2)/2)*EC32+(1-EXP(-LN(2)/2))/(LN(2)/2)*DW33*DZ33*VLOOKUP('Données projet'!$B$14,Paramètres!$A$1:$I$89,3,0)*0.475*44/12</f>
        <v>7.1698290755011582</v>
      </c>
      <c r="ED33" s="22">
        <f t="shared" si="18"/>
        <v>36.966729069759971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2.1523809523809527</v>
      </c>
      <c r="EJ33" s="12">
        <f>IF('Données projet'!$A$192&gt;35,EJ32+EI33-ER32,IF(A33&lt;'Données projet'!$A$192,$EG$205^A33,IF(A33='Données projet'!$A$192,'Données projet'!$B$192,EJ32+EI33-ER32)))</f>
        <v>64.571428571428569</v>
      </c>
      <c r="EK33" s="17">
        <f>EJ33*VLOOKUP('Données projet'!$B$15,Paramètres!$A$1:$I$89,3,0)*VLOOKUP('Données projet'!$B$15,Paramètres!$A$1:$I$89,5,0)</f>
        <v>69.504685714285714</v>
      </c>
      <c r="EL33" s="13">
        <f t="shared" si="45"/>
        <v>19.550402787966185</v>
      </c>
      <c r="EM33" s="20">
        <f t="shared" si="19"/>
        <v>155.10427914142204</v>
      </c>
      <c r="EN33" s="59">
        <f t="shared" si="20"/>
        <v>448.43761247475538</v>
      </c>
      <c r="EO33" s="59">
        <f ca="1">AVERAGE(OFFSET($EN$3,0,0,'Données projet'!$E$15+1,1))-AVERAGE(OFFSET($H$3,0,0,'Données projet'!$E$15+1,1))</f>
        <v>130.76477588601989</v>
      </c>
      <c r="EP33" s="59">
        <f t="shared" si="46"/>
        <v>94.034011511502172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421</v>
      </c>
      <c r="FC33" s="12">
        <f>VLOOKUP(A33,'Données projet'!$A$217:$I$237,9,0)</f>
        <v>28</v>
      </c>
      <c r="FD33" s="12">
        <f t="array" ref="FD33">INDEX(FC:FC,MIN(IF(ISNUMBER(FC33:FC229),ROW(FC33:FC229),"")))</f>
        <v>28</v>
      </c>
      <c r="FE33" s="12">
        <f>IF('Données projet'!$A$218&gt;35,FE32+FD33-FM32,IF(A33&lt;'Données projet'!$A$218,$FB$205^A33,IF(A33='Données projet'!$A$218,'Données projet'!$B$218,FE32+FD33-FM32)))</f>
        <v>421</v>
      </c>
      <c r="FF33" s="17">
        <f>FE33*VLOOKUP('Données projet'!$B$16,Paramètres!$A$1:$I$89,3,0)*VLOOKUP('Données projet'!$B$16,Paramètres!$A$1:$I$89,5,0)</f>
        <v>191.55500000000001</v>
      </c>
      <c r="FG33" s="13">
        <f t="shared" si="47"/>
        <v>47.883578015924698</v>
      </c>
      <c r="FH33" s="20">
        <f t="shared" si="22"/>
        <v>417.02219004440212</v>
      </c>
      <c r="FI33" s="59">
        <f t="shared" si="23"/>
        <v>710.35552337773538</v>
      </c>
      <c r="FJ33" s="59">
        <f ca="1">AVERAGE(OFFSET($FI$3,0,0,'Données projet'!$E$16+1,1))-AVERAGE(OFFSET($H$3,0,0,'Données projet'!$E$16+1,1))</f>
        <v>279.43442619866738</v>
      </c>
      <c r="FK33" s="59">
        <f t="shared" si="48"/>
        <v>355.95192241448217</v>
      </c>
      <c r="FL33" s="15">
        <f>IF(ISNA(VLOOKUP(A33,'Données projet'!$A$217:$I$237,3,0)),0,VLOOKUP(A33,'Données projet'!$A$217:$I$237,3,0))</f>
        <v>2</v>
      </c>
      <c r="FM33" s="15">
        <f>IF(ISNA(VLOOKUP(A33,'Données projet'!$A$217:$I$237,4,0)),0,VLOOKUP(A33,'Données projet'!$A$217:$I$237,4,0))</f>
        <v>54</v>
      </c>
      <c r="FN33" s="16">
        <f>IF(ISNA(VLOOKUP(A33,'Données projet'!$A$217:$I$237,5,0)),0%,VLOOKUP(A33,'Données projet'!$A$217:$I$237,5,0)*VLOOKUP('Données projet'!$B$16,Paramètres!$A$1:$I$89,7,0))</f>
        <v>0.38500000000000001</v>
      </c>
      <c r="FO33" s="16">
        <f>IF(ISNA(VLOOKUP(A33,'Données projet'!$A$217:$I$237,6,0)),0%,VLOOKUP(A33,'Données projet'!$A$217:$I$237,6,0)*VLOOKUP('Données projet'!$B$16,Paramètres!$A$1:$I$89,7,0))</f>
        <v>9.240000000000001E-2</v>
      </c>
      <c r="FP33" s="16">
        <f>IF(ISNA(VLOOKUP(A33,'Données projet'!$A$217:$I$237,7,0)),0%,VLOOKUP(A33,'Données projet'!$A$217:$I$237,7,0))</f>
        <v>0.13200000000000001</v>
      </c>
      <c r="FQ33" s="21">
        <f>EXP(-LN(2)/35)*FQ32+(1-EXP(-LN(2)/35))/(LN(2)/35)*FM33*FN33*VLOOKUP('Données projet'!$B$16,Paramètres!$A$1:$I$89,3,0)*0.475*44/12</f>
        <v>12.548570138007555</v>
      </c>
      <c r="FR33" s="21">
        <f>EXP(-LN(2)/25)*FR32+(1-EXP(-LN(2)/25))/(LN(2)/25)*Calculateur!FM33*Calculateur!FO33*VLOOKUP('Données projet'!$B$16,Paramètres!$A$1:$I$89,3,0)*0.475*44/12</f>
        <v>11.704720554993804</v>
      </c>
      <c r="FS33" s="21">
        <f>EXP(-LN(2)/2)*FS32+(1-EXP(-LN(2)/2))/(LN(2)/2)*FM33*FP33*VLOOKUP('Données projet'!$B$16,Paramètres!$A$1:$I$89,3,0)*0.475*44/12</f>
        <v>5.8359073870358262</v>
      </c>
      <c r="FT33" s="22">
        <f t="shared" si="24"/>
        <v>30.089198080037185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18.666666666666668</v>
      </c>
      <c r="N34" s="13">
        <f>IF('Données projet'!$A$36&gt;35,N33+M34-V33,IF(A34&lt;'Données projet'!$A$36,$K$205^A34,IF(A34='Données projet'!$A$36,'Données projet'!$B$36,N33+M34-V33)))</f>
        <v>247.99999999999997</v>
      </c>
      <c r="O34" s="13">
        <f>N34*VLOOKUP('Données projet'!$B$9,Paramètres!$A$1:$I$89,3,0)*VLOOKUP('Données projet'!$B$9,Paramètres!$A$1:$I$89,5,0)</f>
        <v>148.304</v>
      </c>
      <c r="P34" s="13">
        <f t="shared" si="33"/>
        <v>38.192908835171721</v>
      </c>
      <c r="Q34" s="20">
        <f t="shared" si="2"/>
        <v>324.81544955459077</v>
      </c>
      <c r="R34" s="59">
        <f t="shared" si="0"/>
        <v>618.14878288792409</v>
      </c>
      <c r="S34" s="59">
        <f ca="1">AVERAGE(OFFSET($R$3,0,0,'Données projet'!$E$9+1,1))-AVERAGE(OFFSET($H$3,0,0,'Données projet'!$E$9+1,1))</f>
        <v>227.89848316900191</v>
      </c>
      <c r="T34" s="59">
        <f t="shared" si="34"/>
        <v>239.85955661394541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25.841395893314704</v>
      </c>
      <c r="AA34" s="21">
        <f>EXP(-LN(2)/25)*AA33+(1-EXP(-LN(2)/25))/(LN(2)/25)*Calculateur!V34*Calculateur!X34*VLOOKUP('Données projet'!$B$9,Paramètres!$A$1:$I$89,3,0)*0.475*44/12</f>
        <v>9.1506489577108514</v>
      </c>
      <c r="AB34" s="21">
        <f>EXP(-LN(2)/2)*AB33+(1-EXP(-LN(2)/2))/(LN(2)/2)*V34*Y34*VLOOKUP('Données projet'!$B$9,Paramètres!$A$1:$I$89,3,0)*0.475*44/12</f>
        <v>1.7435098320309821</v>
      </c>
      <c r="AC34" s="22">
        <f t="shared" si="3"/>
        <v>36.735554683056534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3.6111111111111112</v>
      </c>
      <c r="AI34" s="13">
        <f>IF('Données projet'!$A$62&gt;35,AI33+AH34-AQ33,IF(A34&lt;'Données projet'!$A$62,$AF$205^A34,IF(A34='Données projet'!$A$62,'Données projet'!$B$62,AI33+AH34-AQ33)))</f>
        <v>111.94444444444451</v>
      </c>
      <c r="AJ34" s="13">
        <f>AI34*VLOOKUP('Données projet'!$B$10,Paramètres!$A$1:$I$89,3,0)*VLOOKUP('Données projet'!$B$10,Paramètres!$A$1:$I$89,5,0)</f>
        <v>101.28733333333341</v>
      </c>
      <c r="AK34" s="13">
        <f t="shared" si="35"/>
        <v>27.268458276174833</v>
      </c>
      <c r="AL34" s="20">
        <f t="shared" si="4"/>
        <v>223.90133705322685</v>
      </c>
      <c r="AM34" s="59">
        <f t="shared" si="5"/>
        <v>517.2346703865602</v>
      </c>
      <c r="AN34" s="59">
        <f ca="1">AVERAGE(OFFSET($AM$3,0,0,'Données projet'!$E$10+1,1))-AVERAGE(OFFSET($H$3,0,0,'Données projet'!$E$10+1,1))</f>
        <v>215.7418266360167</v>
      </c>
      <c r="AO34" s="59">
        <f t="shared" si="36"/>
        <v>155.78420008229949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2.6904761904761907</v>
      </c>
      <c r="BD34" s="12">
        <f>IF('Données projet'!$A$88&gt;35,BD33+BC34-BL33,IF(A34&lt;'Données projet'!$A$88,$BA$205^A34,IF(A34='Données projet'!$A$88,'Données projet'!$B$88,BD33+BC34-BL33)))</f>
        <v>83.404761904761898</v>
      </c>
      <c r="BE34" s="13">
        <f>BD34*VLOOKUP('Données projet'!$B$11,Paramètres!$A$1:$I$89,3,0)*VLOOKUP('Données projet'!$B$11,Paramètres!$A$1:$I$89,5,0)</f>
        <v>84.572428571428574</v>
      </c>
      <c r="BF34" s="13">
        <f t="shared" si="37"/>
        <v>23.251524570061715</v>
      </c>
      <c r="BG34" s="20">
        <f t="shared" si="7"/>
        <v>187.79338505476224</v>
      </c>
      <c r="BH34" s="59">
        <f t="shared" si="8"/>
        <v>481.12671838809558</v>
      </c>
      <c r="BI34" s="59">
        <f ca="1">AVERAGE(OFFSET($BH$3,0,0,'Données projet'!$E$11+1,1))-AVERAGE(OFFSET($H$3,0,0,'Données projet'!$E$11+1,1))</f>
        <v>179.53921263314447</v>
      </c>
      <c r="BJ34" s="59">
        <f t="shared" si="38"/>
        <v>120.81513023281337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12.545555555555557</v>
      </c>
      <c r="BY34" s="12">
        <f>IF('Données projet'!$A$114&gt;35,BY33+BX34-CG33,IF(A34&lt;'Données projet'!$A$114,$BV$205^A34,IF(A34='Données projet'!$A$114,'Données projet'!$B$114,BY33+BX34-CG33)))</f>
        <v>199.81222222222215</v>
      </c>
      <c r="BZ34" s="13">
        <f>BY34*VLOOKUP('Données projet'!$B$12,Paramètres!$A$1:$I$89,3,0)*VLOOKUP('Données projet'!$B$12,Paramètres!$A$1:$I$89,5,0)</f>
        <v>93.512119999999967</v>
      </c>
      <c r="CA34" s="13">
        <f t="shared" si="39"/>
        <v>25.410367370161666</v>
      </c>
      <c r="CB34" s="20">
        <f t="shared" si="10"/>
        <v>207.12333216969819</v>
      </c>
      <c r="CC34" s="59">
        <f t="shared" si="11"/>
        <v>500.4566655030315</v>
      </c>
      <c r="CD34" s="59">
        <f ca="1">AVERAGE(OFFSET($CC$3,0,0,'Données projet'!$E$12+1,1))-AVERAGE(OFFSET($H$3,0,0,'Données projet'!$E$12+1,1))</f>
        <v>310.06530483941287</v>
      </c>
      <c r="CE34" s="59">
        <f t="shared" si="40"/>
        <v>170.13425794309376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8.5297335631547906</v>
      </c>
      <c r="CL34" s="21">
        <f>EXP(-LN(2)/25)*CL33+(1-EXP(-LN(2)/25))/(LN(2)/25)*Calculateur!CG34*Calculateur!CI34*VLOOKUP('Données projet'!$B$12,Paramètres!$A$1:$I$89,3,0)*0.475*44/12</f>
        <v>6.4595373371566485</v>
      </c>
      <c r="CM34" s="21">
        <f>EXP(-LN(2)/2)*CM33+(1-EXP(-LN(2)/2))/(LN(2)/2)*CG34*CJ34*VLOOKUP('Données projet'!$B$12,Paramètres!$A$1:$I$89,3,0)*0.475*44/12</f>
        <v>1.9630875155169916</v>
      </c>
      <c r="CN34" s="22">
        <f t="shared" si="12"/>
        <v>16.952358415828432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14.833333333333334</v>
      </c>
      <c r="CT34" s="12">
        <f>IF('Données projet'!$A$140&gt;35,CT33+CS34-DB33,IF(A34&lt;'Données projet'!$A$140,$CQ$205^A34,IF(A34='Données projet'!$A$140,'Données projet'!$B$140,CT33+CS34-DB33)))</f>
        <v>199.50000000000003</v>
      </c>
      <c r="CU34" s="17">
        <f>CT34*VLOOKUP('Données projet'!$B$13,Paramètres!$A$1:$I$89,3,0)*VLOOKUP('Données projet'!$B$13,Paramètres!$A$1:$I$89,5,0)</f>
        <v>119.30100000000002</v>
      </c>
      <c r="CV34" s="13">
        <f t="shared" si="41"/>
        <v>31.51191363312137</v>
      </c>
      <c r="CW34" s="20">
        <f t="shared" si="13"/>
        <v>262.66582457768635</v>
      </c>
      <c r="CX34" s="59">
        <f t="shared" si="14"/>
        <v>555.99915791101967</v>
      </c>
      <c r="CY34" s="59">
        <f ca="1">AVERAGE(OFFSET($CX$3,0,0,'Données projet'!$E$13+1,1))-AVERAGE(OFFSET($H$3,0,0,'Données projet'!$E$13+1,1))</f>
        <v>168.08890945052406</v>
      </c>
      <c r="CZ34" s="59">
        <f t="shared" si="42"/>
        <v>182.52462557642343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14.985148710744308</v>
      </c>
      <c r="DG34" s="21">
        <f>EXP(-LN(2)/25)*DG33+(1-EXP(-LN(2)/25))/(LN(2)/25)*Calculateur!DB34*Calculateur!DD34*VLOOKUP('Données projet'!$B$13,Paramètres!$A$1:$I$89,3,0)*0.475*44/12</f>
        <v>8.6487416534622437</v>
      </c>
      <c r="DH34" s="21">
        <f>EXP(-LN(2)/2)*DH33+(1-EXP(-LN(2)/2))/(LN(2)/2)*DB34*DE34*VLOOKUP('Données projet'!$B$13,Paramètres!$A$1:$I$89,3,0)*0.475*44/12</f>
        <v>1.5203458399379091</v>
      </c>
      <c r="DI34" s="22">
        <f t="shared" si="15"/>
        <v>25.15423620414446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27.6</v>
      </c>
      <c r="DO34" s="12">
        <f>IF('Données projet'!$A$166&gt;35,DO33+DN34-DW33,IF(A34&lt;'Données projet'!$A$166,$DL$205^A34,IF(A34='Données projet'!$A$166,'Données projet'!$B$166,DO33+DN34-DW33)))</f>
        <v>394.6</v>
      </c>
      <c r="DP34" s="17">
        <f>DO34*VLOOKUP('Données projet'!$B$14,Paramètres!$A$1:$I$89,3,0)*VLOOKUP('Données projet'!$B$14,Paramètres!$A$1:$I$89,5,0)</f>
        <v>220.5814</v>
      </c>
      <c r="DQ34" s="13">
        <f t="shared" si="43"/>
        <v>54.241230721401301</v>
      </c>
      <c r="DR34" s="20">
        <f t="shared" si="16"/>
        <v>478.64941517310723</v>
      </c>
      <c r="DS34" s="59">
        <f t="shared" si="17"/>
        <v>771.98274850644054</v>
      </c>
      <c r="DT34" s="59">
        <f ca="1">AVERAGE(OFFSET($DS$3,0,0,'Données projet'!$E$14+1,1))-AVERAGE(OFFSET($H$3,0,0,'Données projet'!$E$14+1,1))</f>
        <v>355.23615781077405</v>
      </c>
      <c r="DU34" s="59">
        <f t="shared" si="44"/>
        <v>448.84541017639367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15.114500407238573</v>
      </c>
      <c r="EB34" s="21">
        <f>EXP(-LN(2)/25)*EB33+(1-EXP(-LN(2)/25))/(LN(2)/25)*Calculateur!DW34*Calculateur!DY34*VLOOKUP('Données projet'!$B$14,Paramètres!$A$1:$I$89,3,0)*0.475*44/12</f>
        <v>13.986861065811395</v>
      </c>
      <c r="EC34" s="21">
        <f>EXP(-LN(2)/2)*EC33+(1-EXP(-LN(2)/2))/(LN(2)/2)*DW34*DZ34*VLOOKUP('Données projet'!$B$14,Paramètres!$A$1:$I$89,3,0)*0.475*44/12</f>
        <v>5.0698347592353441</v>
      </c>
      <c r="ED34" s="22">
        <f t="shared" si="18"/>
        <v>34.171196232285311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2.1523809523809527</v>
      </c>
      <c r="EJ34" s="12">
        <f>IF('Données projet'!$A$192&gt;35,EJ33+EI34-ER33,IF(A34&lt;'Données projet'!$A$192,$EG$205^A34,IF(A34='Données projet'!$A$192,'Données projet'!$B$192,EJ33+EI34-ER33)))</f>
        <v>66.723809523809521</v>
      </c>
      <c r="EK34" s="17">
        <f>EJ34*VLOOKUP('Données projet'!$B$15,Paramètres!$A$1:$I$89,3,0)*VLOOKUP('Données projet'!$B$15,Paramètres!$A$1:$I$89,5,0)</f>
        <v>71.821508571428566</v>
      </c>
      <c r="EL34" s="13">
        <f t="shared" si="45"/>
        <v>20.125123836065281</v>
      </c>
      <c r="EM34" s="20">
        <f t="shared" si="19"/>
        <v>160.1403847763851</v>
      </c>
      <c r="EN34" s="59">
        <f t="shared" si="20"/>
        <v>453.47371810971845</v>
      </c>
      <c r="EO34" s="59">
        <f ca="1">AVERAGE(OFFSET($EN$3,0,0,'Données projet'!$E$15+1,1))-AVERAGE(OFFSET($H$3,0,0,'Données projet'!$E$15+1,1))</f>
        <v>130.76477588601989</v>
      </c>
      <c r="EP34" s="59">
        <f t="shared" si="46"/>
        <v>94.034011511502172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27.6</v>
      </c>
      <c r="FE34" s="12">
        <f>IF('Données projet'!$A$218&gt;35,FE33+FD34-FM33,IF(A34&lt;'Données projet'!$A$218,$FB$205^A34,IF(A34='Données projet'!$A$218,'Données projet'!$B$218,FE33+FD34-FM33)))</f>
        <v>394.6</v>
      </c>
      <c r="FF34" s="17">
        <f>FE34*VLOOKUP('Données projet'!$B$16,Paramètres!$A$1:$I$89,3,0)*VLOOKUP('Données projet'!$B$16,Paramètres!$A$1:$I$89,5,0)</f>
        <v>179.54299999999998</v>
      </c>
      <c r="FG34" s="13">
        <f t="shared" si="47"/>
        <v>45.220497048374831</v>
      </c>
      <c r="FH34" s="20">
        <f t="shared" si="22"/>
        <v>391.46309069258609</v>
      </c>
      <c r="FI34" s="59">
        <f t="shared" si="23"/>
        <v>684.79642402591935</v>
      </c>
      <c r="FJ34" s="59">
        <f ca="1">AVERAGE(OFFSET($FI$3,0,0,'Données projet'!$E$16+1,1))-AVERAGE(OFFSET($H$3,0,0,'Données projet'!$E$16+1,1))</f>
        <v>279.43442619866738</v>
      </c>
      <c r="FK34" s="59">
        <f t="shared" si="48"/>
        <v>355.95192241448217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12.302500331473254</v>
      </c>
      <c r="FR34" s="21">
        <f>EXP(-LN(2)/25)*FR33+(1-EXP(-LN(2)/25))/(LN(2)/25)*Calculateur!FM34*Calculateur!FO34*VLOOKUP('Données projet'!$B$16,Paramètres!$A$1:$I$89,3,0)*0.475*44/12</f>
        <v>11.384654355892996</v>
      </c>
      <c r="FS34" s="21">
        <f>EXP(-LN(2)/2)*FS33+(1-EXP(-LN(2)/2))/(LN(2)/2)*FM34*FP34*VLOOKUP('Données projet'!$B$16,Paramètres!$A$1:$I$89,3,0)*0.475*44/12</f>
        <v>4.1266096877496983</v>
      </c>
      <c r="FT34" s="22">
        <f t="shared" si="24"/>
        <v>27.813764375115952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18.666666666666668</v>
      </c>
      <c r="N35" s="13">
        <f>IF('Données projet'!$A$36&gt;35,N34+M35-V34,IF(A35&lt;'Données projet'!$A$36,$K$205^A35,IF(A35='Données projet'!$A$36,'Données projet'!$B$36,N34+M35-V34)))</f>
        <v>266.66666666666663</v>
      </c>
      <c r="O35" s="13">
        <f>N35*VLOOKUP('Données projet'!$B$9,Paramètres!$A$1:$I$89,3,0)*VLOOKUP('Données projet'!$B$9,Paramètres!$A$1:$I$89,5,0)</f>
        <v>159.46666666666667</v>
      </c>
      <c r="P35" s="13">
        <f t="shared" si="33"/>
        <v>40.722197218456202</v>
      </c>
      <c r="Q35" s="20">
        <f t="shared" ref="Q35:Q66" si="53">(O35+P35)*0.475*44/12</f>
        <v>348.66227126658896</v>
      </c>
      <c r="R35" s="59">
        <f t="shared" si="0"/>
        <v>641.99560459992222</v>
      </c>
      <c r="S35" s="59">
        <f ca="1">AVERAGE(OFFSET($R$3,0,0,'Données projet'!$E$9+1,1))-AVERAGE(OFFSET($H$3,0,0,'Données projet'!$E$9+1,1))</f>
        <v>227.89848316900191</v>
      </c>
      <c r="T35" s="59">
        <f t="shared" si="34"/>
        <v>239.85955661394541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25.334661881541958</v>
      </c>
      <c r="AA35" s="21">
        <f>EXP(-LN(2)/25)*AA34+(1-EXP(-LN(2)/25))/(LN(2)/25)*Calculateur!V35*Calculateur!X35*VLOOKUP('Données projet'!$B$9,Paramètres!$A$1:$I$89,3,0)*0.475*44/12</f>
        <v>8.9004239807505332</v>
      </c>
      <c r="AB35" s="21">
        <f>EXP(-LN(2)/2)*AB34+(1-EXP(-LN(2)/2))/(LN(2)/2)*V35*Y35*VLOOKUP('Données projet'!$B$9,Paramètres!$A$1:$I$89,3,0)*0.475*44/12</f>
        <v>1.232847625294526</v>
      </c>
      <c r="AC35" s="22">
        <f t="shared" si="3"/>
        <v>35.467933487587018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3.6111111111111112</v>
      </c>
      <c r="AI35" s="13">
        <f>IF('Données projet'!$A$62&gt;35,AI34+AH35-AQ34,IF(A35&lt;'Données projet'!$A$62,$AF$205^A35,IF(A35='Données projet'!$A$62,'Données projet'!$B$62,AI34+AH35-AQ34)))</f>
        <v>115.55555555555563</v>
      </c>
      <c r="AJ35" s="13">
        <f>AI35*VLOOKUP('Données projet'!$B$10,Paramètres!$A$1:$I$89,3,0)*VLOOKUP('Données projet'!$B$10,Paramètres!$A$1:$I$89,5,0)</f>
        <v>104.55466666666672</v>
      </c>
      <c r="AK35" s="13">
        <f t="shared" si="35"/>
        <v>28.044255319857538</v>
      </c>
      <c r="AL35" s="20">
        <f t="shared" si="4"/>
        <v>230.94312245986308</v>
      </c>
      <c r="AM35" s="59">
        <f t="shared" si="5"/>
        <v>524.27645579319642</v>
      </c>
      <c r="AN35" s="59">
        <f ca="1">AVERAGE(OFFSET($AM$3,0,0,'Données projet'!$E$10+1,1))-AVERAGE(OFFSET($H$3,0,0,'Données projet'!$E$10+1,1))</f>
        <v>215.7418266360167</v>
      </c>
      <c r="AO35" s="59">
        <f t="shared" si="36"/>
        <v>155.78420008229949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2.6904761904761907</v>
      </c>
      <c r="BD35" s="12">
        <f>IF('Données projet'!$A$88&gt;35,BD34+BC35-BL34,IF(A35&lt;'Données projet'!$A$88,$BA$205^A35,IF(A35='Données projet'!$A$88,'Données projet'!$B$88,BD34+BC35-BL34)))</f>
        <v>86.095238095238088</v>
      </c>
      <c r="BE35" s="13">
        <f>BD35*VLOOKUP('Données projet'!$B$11,Paramètres!$A$1:$I$89,3,0)*VLOOKUP('Données projet'!$B$11,Paramètres!$A$1:$I$89,5,0)</f>
        <v>87.30057142857143</v>
      </c>
      <c r="BF35" s="13">
        <f t="shared" si="37"/>
        <v>23.91303846424216</v>
      </c>
      <c r="BG35" s="20">
        <f t="shared" si="7"/>
        <v>193.69703722998369</v>
      </c>
      <c r="BH35" s="59">
        <f t="shared" si="8"/>
        <v>487.03037056331698</v>
      </c>
      <c r="BI35" s="59">
        <f ca="1">AVERAGE(OFFSET($BH$3,0,0,'Données projet'!$E$11+1,1))-AVERAGE(OFFSET($H$3,0,0,'Données projet'!$E$11+1,1))</f>
        <v>179.53921263314447</v>
      </c>
      <c r="BJ35" s="59">
        <f t="shared" si="38"/>
        <v>120.81513023281337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12.545555555555557</v>
      </c>
      <c r="BY35" s="12">
        <f>IF('Données projet'!$A$114&gt;35,BY34+BX35-CG34,IF(A35&lt;'Données projet'!$A$114,$BV$205^A35,IF(A35='Données projet'!$A$114,'Données projet'!$B$114,BY34+BX35-CG34)))</f>
        <v>212.3577777777777</v>
      </c>
      <c r="BZ35" s="13">
        <f>BY35*VLOOKUP('Données projet'!$B$12,Paramètres!$A$1:$I$89,3,0)*VLOOKUP('Données projet'!$B$12,Paramètres!$A$1:$I$89,5,0)</f>
        <v>99.38343999999995</v>
      </c>
      <c r="CA35" s="13">
        <f t="shared" si="39"/>
        <v>26.815057800577396</v>
      </c>
      <c r="CB35" s="20">
        <f t="shared" si="10"/>
        <v>219.79571700267221</v>
      </c>
      <c r="CC35" s="59">
        <f t="shared" si="11"/>
        <v>513.12905033600555</v>
      </c>
      <c r="CD35" s="59">
        <f ca="1">AVERAGE(OFFSET($CC$3,0,0,'Données projet'!$E$12+1,1))-AVERAGE(OFFSET($H$3,0,0,'Données projet'!$E$12+1,1))</f>
        <v>310.06530483941287</v>
      </c>
      <c r="CE35" s="59">
        <f t="shared" si="40"/>
        <v>170.13425794309376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8.3624706906050825</v>
      </c>
      <c r="CL35" s="21">
        <f>EXP(-LN(2)/25)*CL34+(1-EXP(-LN(2)/25))/(LN(2)/25)*Calculateur!CG35*Calculateur!CI35*VLOOKUP('Données projet'!$B$12,Paramètres!$A$1:$I$89,3,0)*0.475*44/12</f>
        <v>6.2829009489797949</v>
      </c>
      <c r="CM35" s="21">
        <f>EXP(-LN(2)/2)*CM34+(1-EXP(-LN(2)/2))/(LN(2)/2)*CG35*CJ35*VLOOKUP('Données projet'!$B$12,Paramètres!$A$1:$I$89,3,0)*0.475*44/12</f>
        <v>1.3881124942847167</v>
      </c>
      <c r="CN35" s="22">
        <f t="shared" si="12"/>
        <v>16.033484133869592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14.833333333333334</v>
      </c>
      <c r="CT35" s="12">
        <f>IF('Données projet'!$A$140&gt;35,CT34+CS35-DB34,IF(A35&lt;'Données projet'!$A$140,$CQ$205^A35,IF(A35='Données projet'!$A$140,'Données projet'!$B$140,CT34+CS35-DB34)))</f>
        <v>214.33333333333337</v>
      </c>
      <c r="CU35" s="17">
        <f>CT35*VLOOKUP('Données projet'!$B$13,Paramètres!$A$1:$I$89,3,0)*VLOOKUP('Données projet'!$B$13,Paramètres!$A$1:$I$89,5,0)</f>
        <v>128.17133333333337</v>
      </c>
      <c r="CV35" s="13">
        <f t="shared" si="41"/>
        <v>33.5734603980111</v>
      </c>
      <c r="CW35" s="20">
        <f t="shared" si="13"/>
        <v>281.70551574875822</v>
      </c>
      <c r="CX35" s="59">
        <f t="shared" si="14"/>
        <v>575.03884908209147</v>
      </c>
      <c r="CY35" s="59">
        <f ca="1">AVERAGE(OFFSET($CX$3,0,0,'Données projet'!$E$13+1,1))-AVERAGE(OFFSET($H$3,0,0,'Données projet'!$E$13+1,1))</f>
        <v>168.08890945052406</v>
      </c>
      <c r="CZ35" s="59">
        <f t="shared" si="42"/>
        <v>182.52462557642343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14.691299084564822</v>
      </c>
      <c r="DG35" s="21">
        <f>EXP(-LN(2)/25)*DG34+(1-EXP(-LN(2)/25))/(LN(2)/25)*Calculateur!DB35*Calculateur!DD35*VLOOKUP('Données projet'!$B$13,Paramètres!$A$1:$I$89,3,0)*0.475*44/12</f>
        <v>8.4122413581307622</v>
      </c>
      <c r="DH35" s="21">
        <f>EXP(-LN(2)/2)*DH34+(1-EXP(-LN(2)/2))/(LN(2)/2)*DB35*DE35*VLOOKUP('Données projet'!$B$13,Paramètres!$A$1:$I$89,3,0)*0.475*44/12</f>
        <v>1.0750468531688528</v>
      </c>
      <c r="DI35" s="22">
        <f t="shared" si="15"/>
        <v>24.178587295864435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27.6</v>
      </c>
      <c r="DO35" s="12">
        <f>IF('Données projet'!$A$166&gt;35,DO34+DN35-DW34,IF(A35&lt;'Données projet'!$A$166,$DL$205^A35,IF(A35='Données projet'!$A$166,'Données projet'!$B$166,DO34+DN35-DW34)))</f>
        <v>422.20000000000005</v>
      </c>
      <c r="DP35" s="17">
        <f>DO35*VLOOKUP('Données projet'!$B$14,Paramètres!$A$1:$I$89,3,0)*VLOOKUP('Données projet'!$B$14,Paramètres!$A$1:$I$89,5,0)</f>
        <v>236.00980000000004</v>
      </c>
      <c r="DQ35" s="13">
        <f t="shared" si="43"/>
        <v>57.580183613654185</v>
      </c>
      <c r="DR35" s="20">
        <f t="shared" si="16"/>
        <v>511.3358881271144</v>
      </c>
      <c r="DS35" s="59">
        <f t="shared" si="17"/>
        <v>804.66922146044772</v>
      </c>
      <c r="DT35" s="59">
        <f ca="1">AVERAGE(OFFSET($DS$3,0,0,'Données projet'!$E$14+1,1))-AVERAGE(OFFSET($H$3,0,0,'Données projet'!$E$14+1,1))</f>
        <v>355.23615781077405</v>
      </c>
      <c r="DU35" s="59">
        <f t="shared" si="44"/>
        <v>448.84541017639367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14.818114273187579</v>
      </c>
      <c r="EB35" s="21">
        <f>EXP(-LN(2)/25)*EB34+(1-EXP(-LN(2)/25))/(LN(2)/25)*Calculateur!DW35*Calculateur!DY35*VLOOKUP('Données projet'!$B$14,Paramètres!$A$1:$I$89,3,0)*0.475*44/12</f>
        <v>13.604389614429726</v>
      </c>
      <c r="EC35" s="21">
        <f>EXP(-LN(2)/2)*EC34+(1-EXP(-LN(2)/2))/(LN(2)/2)*DW35*DZ35*VLOOKUP('Données projet'!$B$14,Paramètres!$A$1:$I$89,3,0)*0.475*44/12</f>
        <v>3.5849145377505796</v>
      </c>
      <c r="ED35" s="22">
        <f t="shared" si="18"/>
        <v>32.007418425367881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2.1523809523809527</v>
      </c>
      <c r="EJ35" s="12">
        <f>IF('Données projet'!$A$192&gt;35,EJ34+EI35-ER34,IF(A35&lt;'Données projet'!$A$192,$EG$205^A35,IF(A35='Données projet'!$A$192,'Données projet'!$B$192,EJ34+EI35-ER34)))</f>
        <v>68.876190476190473</v>
      </c>
      <c r="EK35" s="17">
        <f>EJ35*VLOOKUP('Données projet'!$B$15,Paramètres!$A$1:$I$89,3,0)*VLOOKUP('Données projet'!$B$15,Paramètres!$A$1:$I$89,5,0)</f>
        <v>74.138331428571419</v>
      </c>
      <c r="EL35" s="13">
        <f t="shared" si="45"/>
        <v>20.697690550972272</v>
      </c>
      <c r="EM35" s="20">
        <f t="shared" si="19"/>
        <v>165.17273828103859</v>
      </c>
      <c r="EN35" s="59">
        <f t="shared" si="20"/>
        <v>458.50607161437188</v>
      </c>
      <c r="EO35" s="59">
        <f ca="1">AVERAGE(OFFSET($EN$3,0,0,'Données projet'!$E$15+1,1))-AVERAGE(OFFSET($H$3,0,0,'Données projet'!$E$15+1,1))</f>
        <v>130.76477588601989</v>
      </c>
      <c r="EP35" s="59">
        <f t="shared" si="46"/>
        <v>94.034011511502172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27.6</v>
      </c>
      <c r="FE35" s="12">
        <f>IF('Données projet'!$A$218&gt;35,FE34+FD35-FM34,IF(A35&lt;'Données projet'!$A$218,$FB$205^A35,IF(A35='Données projet'!$A$218,'Données projet'!$B$218,FE34+FD35-FM34)))</f>
        <v>422.20000000000005</v>
      </c>
      <c r="FF35" s="17">
        <f>FE35*VLOOKUP('Données projet'!$B$16,Paramètres!$A$1:$I$89,3,0)*VLOOKUP('Données projet'!$B$16,Paramètres!$A$1:$I$89,5,0)</f>
        <v>192.10100000000003</v>
      </c>
      <c r="FG35" s="13">
        <f t="shared" si="47"/>
        <v>48.004156404931614</v>
      </c>
      <c r="FH35" s="20">
        <f t="shared" si="22"/>
        <v>418.18314740525597</v>
      </c>
      <c r="FI35" s="59">
        <f t="shared" si="23"/>
        <v>711.51648073858928</v>
      </c>
      <c r="FJ35" s="59">
        <f ca="1">AVERAGE(OFFSET($FI$3,0,0,'Données projet'!$E$16+1,1))-AVERAGE(OFFSET($H$3,0,0,'Données projet'!$E$16+1,1))</f>
        <v>279.43442619866738</v>
      </c>
      <c r="FK35" s="59">
        <f t="shared" si="48"/>
        <v>355.95192241448217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12.061255803757328</v>
      </c>
      <c r="FR35" s="21">
        <f>EXP(-LN(2)/25)*FR34+(1-EXP(-LN(2)/25))/(LN(2)/25)*Calculateur!FM35*Calculateur!FO35*VLOOKUP('Données projet'!$B$16,Paramètres!$A$1:$I$89,3,0)*0.475*44/12</f>
        <v>11.073340383838149</v>
      </c>
      <c r="FS35" s="21">
        <f>EXP(-LN(2)/2)*FS34+(1-EXP(-LN(2)/2))/(LN(2)/2)*FM35*FP35*VLOOKUP('Données projet'!$B$16,Paramètres!$A$1:$I$89,3,0)*0.475*44/12</f>
        <v>2.9179536935179131</v>
      </c>
      <c r="FT35" s="22">
        <f t="shared" si="24"/>
        <v>26.052549881113389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18.666666666666668</v>
      </c>
      <c r="N36" s="13">
        <f>IF('Données projet'!$A$36&gt;35,N35+M36-V35,IF(A36&lt;'Données projet'!$A$36,$K$205^A36,IF(A36='Données projet'!$A$36,'Données projet'!$B$36,N35+M36-V35)))</f>
        <v>285.33333333333331</v>
      </c>
      <c r="O36" s="13">
        <f>N36*VLOOKUP('Données projet'!$B$9,Paramètres!$A$1:$I$89,3,0)*VLOOKUP('Données projet'!$B$9,Paramètres!$A$1:$I$89,5,0)</f>
        <v>170.62933333333334</v>
      </c>
      <c r="P36" s="13">
        <f t="shared" si="33"/>
        <v>43.230942990352332</v>
      </c>
      <c r="Q36" s="20">
        <f t="shared" si="53"/>
        <v>372.47331459708585</v>
      </c>
      <c r="R36" s="59">
        <f t="shared" si="0"/>
        <v>665.8066479304191</v>
      </c>
      <c r="S36" s="59">
        <f ca="1">AVERAGE(OFFSET($R$3,0,0,'Données projet'!$E$9+1,1))-AVERAGE(OFFSET($H$3,0,0,'Données projet'!$E$9+1,1))</f>
        <v>227.89848316900191</v>
      </c>
      <c r="T36" s="59">
        <f t="shared" si="34"/>
        <v>239.85955661394541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24.837864614662848</v>
      </c>
      <c r="AA36" s="21">
        <f>EXP(-LN(2)/25)*AA35+(1-EXP(-LN(2)/25))/(LN(2)/25)*Calculateur!V36*Calculateur!X36*VLOOKUP('Données projet'!$B$9,Paramètres!$A$1:$I$89,3,0)*0.475*44/12</f>
        <v>8.6570414189439546</v>
      </c>
      <c r="AB36" s="21">
        <f>EXP(-LN(2)/2)*AB35+(1-EXP(-LN(2)/2))/(LN(2)/2)*V36*Y36*VLOOKUP('Données projet'!$B$9,Paramètres!$A$1:$I$89,3,0)*0.475*44/12</f>
        <v>0.87175491601549115</v>
      </c>
      <c r="AC36" s="22">
        <f t="shared" si="3"/>
        <v>34.366660949622293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3.6111111111111112</v>
      </c>
      <c r="AI36" s="13">
        <f>IF('Données projet'!$A$62&gt;35,AI35+AH36-AQ35,IF(A36&lt;'Données projet'!$A$62,$AF$205^A36,IF(A36='Données projet'!$A$62,'Données projet'!$B$62,AI35+AH36-AQ35)))</f>
        <v>119.16666666666674</v>
      </c>
      <c r="AJ36" s="13">
        <f>AI36*VLOOKUP('Données projet'!$B$10,Paramètres!$A$1:$I$89,3,0)*VLOOKUP('Données projet'!$B$10,Paramètres!$A$1:$I$89,5,0)</f>
        <v>107.82200000000006</v>
      </c>
      <c r="AK36" s="13">
        <f t="shared" si="35"/>
        <v>28.817235043550941</v>
      </c>
      <c r="AL36" s="20">
        <f t="shared" si="4"/>
        <v>237.98000103418462</v>
      </c>
      <c r="AM36" s="59">
        <f t="shared" si="5"/>
        <v>531.31333436751788</v>
      </c>
      <c r="AN36" s="59">
        <f ca="1">AVERAGE(OFFSET($AM$3,0,0,'Données projet'!$E$10+1,1))-AVERAGE(OFFSET($H$3,0,0,'Données projet'!$E$10+1,1))</f>
        <v>215.7418266360167</v>
      </c>
      <c r="AO36" s="59">
        <f t="shared" si="36"/>
        <v>155.78420008229949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2.6904761904761907</v>
      </c>
      <c r="BD36" s="12">
        <f>IF('Données projet'!$A$88&gt;35,BD35+BC36-BL35,IF(A36&lt;'Données projet'!$A$88,$BA$205^A36,IF(A36='Données projet'!$A$88,'Données projet'!$B$88,BD35+BC36-BL35)))</f>
        <v>88.785714285714278</v>
      </c>
      <c r="BE36" s="13">
        <f>BD36*VLOOKUP('Données projet'!$B$11,Paramètres!$A$1:$I$89,3,0)*VLOOKUP('Données projet'!$B$11,Paramètres!$A$1:$I$89,5,0)</f>
        <v>90.028714285714287</v>
      </c>
      <c r="BF36" s="13">
        <f t="shared" si="37"/>
        <v>24.572150059609498</v>
      </c>
      <c r="BG36" s="20">
        <f t="shared" si="7"/>
        <v>199.59650540143889</v>
      </c>
      <c r="BH36" s="59">
        <f t="shared" si="8"/>
        <v>492.9298387347722</v>
      </c>
      <c r="BI36" s="59">
        <f ca="1">AVERAGE(OFFSET($BH$3,0,0,'Données projet'!$E$11+1,1))-AVERAGE(OFFSET($H$3,0,0,'Données projet'!$E$11+1,1))</f>
        <v>179.53921263314447</v>
      </c>
      <c r="BJ36" s="59">
        <f t="shared" si="38"/>
        <v>120.81513023281337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12.545555555555557</v>
      </c>
      <c r="BY36" s="12">
        <f>IF('Données projet'!$A$114&gt;35,BY35+BX36-CG35,IF(A36&lt;'Données projet'!$A$114,$BV$205^A36,IF(A36='Données projet'!$A$114,'Données projet'!$B$114,BY35+BX36-CG35)))</f>
        <v>224.90333333333325</v>
      </c>
      <c r="BZ36" s="13">
        <f>BY36*VLOOKUP('Données projet'!$B$12,Paramètres!$A$1:$I$89,3,0)*VLOOKUP('Données projet'!$B$12,Paramètres!$A$1:$I$89,5,0)</f>
        <v>105.25475999999996</v>
      </c>
      <c r="CA36" s="13">
        <f t="shared" si="39"/>
        <v>28.210115938426114</v>
      </c>
      <c r="CB36" s="20">
        <f t="shared" si="10"/>
        <v>232.45132559275874</v>
      </c>
      <c r="CC36" s="59">
        <f t="shared" si="11"/>
        <v>525.78465892609211</v>
      </c>
      <c r="CD36" s="59">
        <f ca="1">AVERAGE(OFFSET($CC$3,0,0,'Données projet'!$E$12+1,1))-AVERAGE(OFFSET($H$3,0,0,'Données projet'!$E$12+1,1))</f>
        <v>310.06530483941287</v>
      </c>
      <c r="CE36" s="59">
        <f t="shared" si="40"/>
        <v>170.13425794309376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8.1984877409657955</v>
      </c>
      <c r="CL36" s="21">
        <f>EXP(-LN(2)/25)*CL35+(1-EXP(-LN(2)/25))/(LN(2)/25)*Calculateur!CG36*Calculateur!CI36*VLOOKUP('Données projet'!$B$12,Paramètres!$A$1:$I$89,3,0)*0.475*44/12</f>
        <v>6.1110946921265414</v>
      </c>
      <c r="CM36" s="21">
        <f>EXP(-LN(2)/2)*CM35+(1-EXP(-LN(2)/2))/(LN(2)/2)*CG36*CJ36*VLOOKUP('Données projet'!$B$12,Paramètres!$A$1:$I$89,3,0)*0.475*44/12</f>
        <v>0.981543757758496</v>
      </c>
      <c r="CN36" s="22">
        <f t="shared" si="12"/>
        <v>15.291126190850834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14.833333333333334</v>
      </c>
      <c r="CT36" s="12">
        <f>IF('Données projet'!$A$140&gt;35,CT35+CS36-DB35,IF(A36&lt;'Données projet'!$A$140,$CQ$205^A36,IF(A36='Données projet'!$A$140,'Données projet'!$B$140,CT35+CS36-DB35)))</f>
        <v>229.16666666666671</v>
      </c>
      <c r="CU36" s="17">
        <f>CT36*VLOOKUP('Données projet'!$B$13,Paramètres!$A$1:$I$89,3,0)*VLOOKUP('Données projet'!$B$13,Paramètres!$A$1:$I$89,5,0)</f>
        <v>137.04166666666671</v>
      </c>
      <c r="CV36" s="13">
        <f t="shared" si="41"/>
        <v>35.618452776877568</v>
      </c>
      <c r="CW36" s="20">
        <f t="shared" si="13"/>
        <v>300.7163746975063</v>
      </c>
      <c r="CX36" s="59">
        <f t="shared" si="14"/>
        <v>594.04970803083961</v>
      </c>
      <c r="CY36" s="59">
        <f ca="1">AVERAGE(OFFSET($CX$3,0,0,'Données projet'!$E$13+1,1))-AVERAGE(OFFSET($H$3,0,0,'Données projet'!$E$13+1,1))</f>
        <v>168.08890945052406</v>
      </c>
      <c r="CZ36" s="59">
        <f t="shared" si="42"/>
        <v>182.52462557642343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14.403211670324142</v>
      </c>
      <c r="DG36" s="21">
        <f>EXP(-LN(2)/25)*DG35+(1-EXP(-LN(2)/25))/(LN(2)/25)*Calculateur!DB36*Calculateur!DD36*VLOOKUP('Données projet'!$B$13,Paramètres!$A$1:$I$89,3,0)*0.475*44/12</f>
        <v>8.1822081758121303</v>
      </c>
      <c r="DH36" s="21">
        <f>EXP(-LN(2)/2)*DH35+(1-EXP(-LN(2)/2))/(LN(2)/2)*DB36*DE36*VLOOKUP('Données projet'!$B$13,Paramètres!$A$1:$I$89,3,0)*0.475*44/12</f>
        <v>0.76017291996895453</v>
      </c>
      <c r="DI36" s="22">
        <f t="shared" si="15"/>
        <v>23.345592766105227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27.6</v>
      </c>
      <c r="DO36" s="12">
        <f>IF('Données projet'!$A$166&gt;35,DO35+DN36-DW35,IF(A36&lt;'Données projet'!$A$166,$DL$205^A36,IF(A36='Données projet'!$A$166,'Données projet'!$B$166,DO35+DN36-DW35)))</f>
        <v>449.80000000000007</v>
      </c>
      <c r="DP36" s="17">
        <f>DO36*VLOOKUP('Données projet'!$B$14,Paramètres!$A$1:$I$89,3,0)*VLOOKUP('Données projet'!$B$14,Paramètres!$A$1:$I$89,5,0)</f>
        <v>251.43820000000002</v>
      </c>
      <c r="DQ36" s="13">
        <f t="shared" si="43"/>
        <v>60.893806844597648</v>
      </c>
      <c r="DR36" s="20">
        <f t="shared" si="16"/>
        <v>543.978245254341</v>
      </c>
      <c r="DS36" s="59">
        <f t="shared" si="17"/>
        <v>837.31157858767438</v>
      </c>
      <c r="DT36" s="59">
        <f ca="1">AVERAGE(OFFSET($DS$3,0,0,'Données projet'!$E$14+1,1))-AVERAGE(OFFSET($H$3,0,0,'Données projet'!$E$14+1,1))</f>
        <v>355.23615781077405</v>
      </c>
      <c r="DU36" s="59">
        <f t="shared" si="44"/>
        <v>448.84541017639367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14.527540090447634</v>
      </c>
      <c r="EB36" s="21">
        <f>EXP(-LN(2)/25)*EB35+(1-EXP(-LN(2)/25))/(LN(2)/25)*Calculateur!DW36*Calculateur!DY36*VLOOKUP('Données projet'!$B$14,Paramètres!$A$1:$I$89,3,0)*0.475*44/12</f>
        <v>13.232376864999388</v>
      </c>
      <c r="EC36" s="21">
        <f>EXP(-LN(2)/2)*EC35+(1-EXP(-LN(2)/2))/(LN(2)/2)*DW36*DZ36*VLOOKUP('Données projet'!$B$14,Paramètres!$A$1:$I$89,3,0)*0.475*44/12</f>
        <v>2.5349173796176725</v>
      </c>
      <c r="ED36" s="22">
        <f t="shared" si="18"/>
        <v>30.294834335064692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2.1523809523809527</v>
      </c>
      <c r="EJ36" s="12">
        <f>IF('Données projet'!$A$192&gt;35,EJ35+EI36-ER35,IF(A36&lt;'Données projet'!$A$192,$EG$205^A36,IF(A36='Données projet'!$A$192,'Données projet'!$B$192,EJ35+EI36-ER35)))</f>
        <v>71.028571428571425</v>
      </c>
      <c r="EK36" s="17">
        <f>EJ36*VLOOKUP('Données projet'!$B$15,Paramètres!$A$1:$I$89,3,0)*VLOOKUP('Données projet'!$B$15,Paramètres!$A$1:$I$89,5,0)</f>
        <v>76.455154285714286</v>
      </c>
      <c r="EL36" s="13">
        <f t="shared" si="45"/>
        <v>21.268177980241035</v>
      </c>
      <c r="EM36" s="20">
        <f t="shared" si="19"/>
        <v>170.20147036320552</v>
      </c>
      <c r="EN36" s="59">
        <f t="shared" si="20"/>
        <v>463.5348036965388</v>
      </c>
      <c r="EO36" s="59">
        <f ca="1">AVERAGE(OFFSET($EN$3,0,0,'Données projet'!$E$15+1,1))-AVERAGE(OFFSET($H$3,0,0,'Données projet'!$E$15+1,1))</f>
        <v>130.76477588601989</v>
      </c>
      <c r="EP36" s="59">
        <f t="shared" si="46"/>
        <v>94.034011511502172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27.6</v>
      </c>
      <c r="FE36" s="12">
        <f>IF('Données projet'!$A$218&gt;35,FE35+FD36-FM35,IF(A36&lt;'Données projet'!$A$218,$FB$205^A36,IF(A36='Données projet'!$A$218,'Données projet'!$B$218,FE35+FD36-FM35)))</f>
        <v>449.80000000000007</v>
      </c>
      <c r="FF36" s="17">
        <f>FE36*VLOOKUP('Données projet'!$B$16,Paramètres!$A$1:$I$89,3,0)*VLOOKUP('Données projet'!$B$16,Paramètres!$A$1:$I$89,5,0)</f>
        <v>204.65900000000002</v>
      </c>
      <c r="FG36" s="13">
        <f t="shared" si="47"/>
        <v>50.766698617587998</v>
      </c>
      <c r="FH36" s="20">
        <f t="shared" si="22"/>
        <v>444.8664250922991</v>
      </c>
      <c r="FI36" s="59">
        <f t="shared" si="23"/>
        <v>738.19975842563235</v>
      </c>
      <c r="FJ36" s="59">
        <f ca="1">AVERAGE(OFFSET($FI$3,0,0,'Données projet'!$E$16+1,1))-AVERAGE(OFFSET($H$3,0,0,'Données projet'!$E$16+1,1))</f>
        <v>279.43442619866738</v>
      </c>
      <c r="FK36" s="59">
        <f t="shared" si="48"/>
        <v>355.95192241448217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11.82474193408528</v>
      </c>
      <c r="FR36" s="21">
        <f>EXP(-LN(2)/25)*FR35+(1-EXP(-LN(2)/25))/(LN(2)/25)*Calculateur!FM36*Calculateur!FO36*VLOOKUP('Données projet'!$B$16,Paramètres!$A$1:$I$89,3,0)*0.475*44/12</f>
        <v>10.770539308720432</v>
      </c>
      <c r="FS36" s="21">
        <f>EXP(-LN(2)/2)*FS35+(1-EXP(-LN(2)/2))/(LN(2)/2)*FM36*FP36*VLOOKUP('Données projet'!$B$16,Paramètres!$A$1:$I$89,3,0)*0.475*44/12</f>
        <v>2.0633048438748491</v>
      </c>
      <c r="FT36" s="22">
        <f t="shared" si="24"/>
        <v>24.658586086680561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304</v>
      </c>
      <c r="L37" s="12">
        <f>VLOOKUP(A37,'Données projet'!$A$35:$I$55,9,0)</f>
        <v>18.666666666666668</v>
      </c>
      <c r="M37" s="12">
        <f t="array" ref="M37">INDEX(L:L,MIN(IF(ISNUMBER(L37:L233),ROW(L37:L233),"")))</f>
        <v>18.666666666666668</v>
      </c>
      <c r="N37" s="13">
        <f>IF('Données projet'!$A$36&gt;35,N36+M37-V36,IF(A37&lt;'Données projet'!$A$36,$K$205^A37,IF(A37='Données projet'!$A$36,'Données projet'!$B$36,N36+M37-V36)))</f>
        <v>304</v>
      </c>
      <c r="O37" s="13">
        <f>N37*VLOOKUP('Données projet'!$B$9,Paramètres!$A$1:$I$89,3,0)*VLOOKUP('Données projet'!$B$9,Paramètres!$A$1:$I$89,5,0)</f>
        <v>181.792</v>
      </c>
      <c r="P37" s="13">
        <f t="shared" si="33"/>
        <v>45.720642997712531</v>
      </c>
      <c r="Q37" s="20">
        <f t="shared" si="53"/>
        <v>396.25118655434932</v>
      </c>
      <c r="R37" s="59">
        <f t="shared" si="0"/>
        <v>689.58451988768263</v>
      </c>
      <c r="S37" s="59">
        <f ca="1">AVERAGE(OFFSET($R$3,0,0,'Données projet'!$E$9+1,1))-AVERAGE(OFFSET($H$3,0,0,'Données projet'!$E$9+1,1))</f>
        <v>227.89848316900191</v>
      </c>
      <c r="T37" s="59">
        <f t="shared" si="34"/>
        <v>239.85955661394541</v>
      </c>
      <c r="U37" s="15">
        <f>IF(ISNA(VLOOKUP(A37,'Données projet'!$A$35:$I$55,3,0)),0,VLOOKUP(A37,'Données projet'!$A$35:$I$55,3,0))</f>
        <v>5</v>
      </c>
      <c r="V37" s="15">
        <f>IF(ISNA(VLOOKUP(A37,'Données projet'!$A$35:$I$55,4,0)),0,VLOOKUP(A37,'Données projet'!$A$35:$I$55,4,0))</f>
        <v>60</v>
      </c>
      <c r="W37" s="16">
        <f>IF(ISNA(VLOOKUP(A37,'Données projet'!$A$35:$I$55,5,0)),0%,VLOOKUP(A37,'Données projet'!$A$35:$I$55,5,0)*VLOOKUP('Données projet'!$B$9,Paramètres!$A$1:$I$89,7,0))</f>
        <v>0.315</v>
      </c>
      <c r="X37" s="16">
        <f>IF(ISNA(VLOOKUP(A37,'Données projet'!$A$35:$I$55,6,0)),0%,VLOOKUP(A37,'Données projet'!$A$35:$I$55,6,0)*VLOOKUP('Données projet'!$B$9,Paramètres!$A$1:$I$89,7,0))</f>
        <v>7.5600000000000001E-2</v>
      </c>
      <c r="Y37" s="16">
        <f>IF(ISNA(VLOOKUP(A37,'Données projet'!$A$35:$I$55,7,0)),0%,VLOOKUP(A37,'Données projet'!$A$35:$I$55,7,0))</f>
        <v>0.13200000000000001</v>
      </c>
      <c r="Z37" s="21">
        <f>EXP(-LN(2)/35)*Z36+(1-EXP(-LN(2)/35))/(LN(2)/35)*V37*W37*VLOOKUP('Données projet'!$B$9,Paramètres!$A$1:$I$89,3,0)*0.475*44/12</f>
        <v>39.343906027439601</v>
      </c>
      <c r="AA37" s="21">
        <f>EXP(-LN(2)/25)*AA36+(1-EXP(-LN(2)/25))/(LN(2)/25)*Calculateur!V37*Calculateur!X37*VLOOKUP('Données projet'!$B$9,Paramètres!$A$1:$I$89,3,0)*0.475*44/12</f>
        <v>12.004489346903854</v>
      </c>
      <c r="AB37" s="21">
        <f>EXP(-LN(2)/2)*AB36+(1-EXP(-LN(2)/2))/(LN(2)/2)*V37*Y37*VLOOKUP('Données projet'!$B$9,Paramètres!$A$1:$I$89,3,0)*0.475*44/12</f>
        <v>5.9788571309002103</v>
      </c>
      <c r="AC37" s="22">
        <f t="shared" si="3"/>
        <v>57.327252505243663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3.6111111111111112</v>
      </c>
      <c r="AI37" s="13">
        <f>IF('Données projet'!$A$62&gt;35,AI36+AH37-AQ36,IF(A37&lt;'Données projet'!$A$62,$AF$205^A37,IF(A37='Données projet'!$A$62,'Données projet'!$B$62,AI36+AH37-AQ36)))</f>
        <v>122.77777777777786</v>
      </c>
      <c r="AJ37" s="13">
        <f>AI37*VLOOKUP('Données projet'!$B$10,Paramètres!$A$1:$I$89,3,0)*VLOOKUP('Données projet'!$B$10,Paramètres!$A$1:$I$89,5,0)</f>
        <v>111.0893333333334</v>
      </c>
      <c r="AK37" s="13">
        <f t="shared" si="35"/>
        <v>29.587492619689719</v>
      </c>
      <c r="AL37" s="20">
        <f t="shared" si="4"/>
        <v>245.01213853484862</v>
      </c>
      <c r="AM37" s="59">
        <f t="shared" si="5"/>
        <v>538.3454718681819</v>
      </c>
      <c r="AN37" s="59">
        <f ca="1">AVERAGE(OFFSET($AM$3,0,0,'Données projet'!$E$10+1,1))-AVERAGE(OFFSET($H$3,0,0,'Données projet'!$E$10+1,1))</f>
        <v>215.7418266360167</v>
      </c>
      <c r="AO37" s="59">
        <f t="shared" si="36"/>
        <v>155.78420008229949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2.6904761904761907</v>
      </c>
      <c r="BD37" s="12">
        <f>IF('Données projet'!$A$88&gt;35,BD36+BC37-BL36,IF(A37&lt;'Données projet'!$A$88,$BA$205^A37,IF(A37='Données projet'!$A$88,'Données projet'!$B$88,BD36+BC37-BL36)))</f>
        <v>91.476190476190467</v>
      </c>
      <c r="BE37" s="13">
        <f>BD37*VLOOKUP('Données projet'!$B$11,Paramètres!$A$1:$I$89,3,0)*VLOOKUP('Données projet'!$B$11,Paramètres!$A$1:$I$89,5,0)</f>
        <v>92.756857142857143</v>
      </c>
      <c r="BF37" s="13">
        <f t="shared" si="37"/>
        <v>25.228940508687224</v>
      </c>
      <c r="BG37" s="20">
        <f t="shared" si="7"/>
        <v>205.49193090977312</v>
      </c>
      <c r="BH37" s="59">
        <f t="shared" si="8"/>
        <v>498.8252642431064</v>
      </c>
      <c r="BI37" s="59">
        <f ca="1">AVERAGE(OFFSET($BH$3,0,0,'Données projet'!$E$11+1,1))-AVERAGE(OFFSET($H$3,0,0,'Données projet'!$E$11+1,1))</f>
        <v>179.53921263314447</v>
      </c>
      <c r="BJ37" s="59">
        <f t="shared" si="38"/>
        <v>120.81513023281337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12.545555555555557</v>
      </c>
      <c r="BY37" s="12">
        <f>IF('Données projet'!$A$114&gt;35,BY36+BX37-CG36,IF(A37&lt;'Données projet'!$A$114,$BV$205^A37,IF(A37='Données projet'!$A$114,'Données projet'!$B$114,BY36+BX37-CG36)))</f>
        <v>237.4488888888888</v>
      </c>
      <c r="BZ37" s="13">
        <f>BY37*VLOOKUP('Données projet'!$B$12,Paramètres!$A$1:$I$89,3,0)*VLOOKUP('Données projet'!$B$12,Paramètres!$A$1:$I$89,5,0)</f>
        <v>111.12607999999997</v>
      </c>
      <c r="CA37" s="13">
        <f t="shared" si="39"/>
        <v>29.596140329331892</v>
      </c>
      <c r="CB37" s="20">
        <f t="shared" si="10"/>
        <v>245.09120040691963</v>
      </c>
      <c r="CC37" s="59">
        <f t="shared" si="11"/>
        <v>538.42453374025297</v>
      </c>
      <c r="CD37" s="59">
        <f ca="1">AVERAGE(OFFSET($CC$3,0,0,'Données projet'!$E$12+1,1))-AVERAGE(OFFSET($H$3,0,0,'Données projet'!$E$12+1,1))</f>
        <v>310.06530483941287</v>
      </c>
      <c r="CE37" s="59">
        <f t="shared" si="40"/>
        <v>170.13425794309376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8.0377203969492115</v>
      </c>
      <c r="CL37" s="21">
        <f>EXP(-LN(2)/25)*CL36+(1-EXP(-LN(2)/25))/(LN(2)/25)*Calculateur!CG37*Calculateur!CI37*VLOOKUP('Données projet'!$B$12,Paramètres!$A$1:$I$89,3,0)*0.475*44/12</f>
        <v>5.9439864864018386</v>
      </c>
      <c r="CM37" s="21">
        <f>EXP(-LN(2)/2)*CM36+(1-EXP(-LN(2)/2))/(LN(2)/2)*CG37*CJ37*VLOOKUP('Données projet'!$B$12,Paramètres!$A$1:$I$89,3,0)*0.475*44/12</f>
        <v>0.69405624714235847</v>
      </c>
      <c r="CN37" s="22">
        <f t="shared" si="12"/>
        <v>14.675763130493408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>
        <f>VLOOKUP(A37,'Données projet'!$A$139:$I$159,2,0)</f>
        <v>244</v>
      </c>
      <c r="CR37" s="12">
        <f>VLOOKUP(A37,'Données projet'!$A$139:$I$159,9,0)</f>
        <v>14.833333333333334</v>
      </c>
      <c r="CS37" s="12">
        <f t="array" ref="CS37">INDEX(CR:CR,MIN(IF(ISNUMBER(CR37:CR233),ROW(CR37:CR233),"")))</f>
        <v>14.833333333333334</v>
      </c>
      <c r="CT37" s="12">
        <f>IF('Données projet'!$A$140&gt;35,CT36+CS37-DB36,IF(A37&lt;'Données projet'!$A$140,$CQ$205^A37,IF(A37='Données projet'!$A$140,'Données projet'!$B$140,CT36+CS37-DB36)))</f>
        <v>244.00000000000006</v>
      </c>
      <c r="CU37" s="17">
        <f>CT37*VLOOKUP('Données projet'!$B$13,Paramètres!$A$1:$I$89,3,0)*VLOOKUP('Données projet'!$B$13,Paramètres!$A$1:$I$89,5,0)</f>
        <v>145.91200000000006</v>
      </c>
      <c r="CV37" s="13">
        <f t="shared" si="41"/>
        <v>37.648084239987625</v>
      </c>
      <c r="CW37" s="20">
        <f t="shared" si="13"/>
        <v>319.7004800513119</v>
      </c>
      <c r="CX37" s="59">
        <f t="shared" si="14"/>
        <v>613.03381338464521</v>
      </c>
      <c r="CY37" s="59">
        <f ca="1">AVERAGE(OFFSET($CX$3,0,0,'Données projet'!$E$13+1,1))-AVERAGE(OFFSET($H$3,0,0,'Données projet'!$E$13+1,1))</f>
        <v>168.08890945052406</v>
      </c>
      <c r="CZ37" s="59">
        <f t="shared" si="42"/>
        <v>182.52462557642343</v>
      </c>
      <c r="DA37" s="15">
        <f>IF(ISNA(VLOOKUP(A37,'Données projet'!$A$139:$I$159,3,0)),0,VLOOKUP(A37,'Données projet'!$A$139:$I$159,3,0))</f>
        <v>5</v>
      </c>
      <c r="DB37" s="15">
        <f>IF(ISNA(VLOOKUP(A37,'Données projet'!$A$139:$I$159,4,0)),0,VLOOKUP(A37,'Données projet'!$A$139:$I$159,4,0))</f>
        <v>46</v>
      </c>
      <c r="DC37" s="16">
        <f>IF(ISNA(VLOOKUP(A37,'Données projet'!$A$139:$I$159,5,0)),0%,VLOOKUP(A37,'Données projet'!$A$139:$I$159,5,0)*VLOOKUP('Données projet'!$B$13,Paramètres!$A$1:$I$89,7,0))</f>
        <v>0.315</v>
      </c>
      <c r="DD37" s="16">
        <f>IF(ISNA(VLOOKUP(A37,'Données projet'!$A$139:$I$159,6,0)),0%,VLOOKUP(A37,'Données projet'!$A$139:$I$159,6,0)*VLOOKUP('Données projet'!$B$13,Paramètres!$A$1:$I$89,7,0))</f>
        <v>7.5600000000000001E-2</v>
      </c>
      <c r="DE37" s="16">
        <f>IF(ISNA(VLOOKUP(A37,'Données projet'!$A$139:$I$159,7,0)),0%,VLOOKUP(A37,'Données projet'!$A$139:$I$159,7,0))</f>
        <v>0.13200000000000001</v>
      </c>
      <c r="DF37" s="21">
        <f>EXP(-LN(2)/35)*DF36+(1-EXP(-LN(2)/35))/(LN(2)/35)*DB37*DC37*VLOOKUP('Données projet'!$B$13,Paramètres!$A$1:$I$89,3,0)*0.475*44/12</f>
        <v>25.615481012233474</v>
      </c>
      <c r="DG37" s="21">
        <f>EXP(-LN(2)/25)*DG36+(1-EXP(-LN(2)/25))/(LN(2)/25)*Calculateur!DB37*Calculateur!DD37*VLOOKUP('Données projet'!$B$13,Paramètres!$A$1:$I$89,3,0)*0.475*44/12</f>
        <v>10.706332901585711</v>
      </c>
      <c r="DH37" s="21">
        <f>EXP(-LN(2)/2)*DH36+(1-EXP(-LN(2)/2))/(LN(2)/2)*DB37*DE37*VLOOKUP('Données projet'!$B$13,Paramètres!$A$1:$I$89,3,0)*0.475*44/12</f>
        <v>4.6487223039116863</v>
      </c>
      <c r="DI37" s="22">
        <f t="shared" si="15"/>
        <v>40.970536217730867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27.6</v>
      </c>
      <c r="DO37" s="12">
        <f>IF('Données projet'!$A$166&gt;35,DO36+DN37-DW36,IF(A37&lt;'Données projet'!$A$166,$DL$205^A37,IF(A37='Données projet'!$A$166,'Données projet'!$B$166,DO36+DN37-DW36)))</f>
        <v>477.40000000000009</v>
      </c>
      <c r="DP37" s="17">
        <f>DO37*VLOOKUP('Données projet'!$B$14,Paramètres!$A$1:$I$89,3,0)*VLOOKUP('Données projet'!$B$14,Paramètres!$A$1:$I$89,5,0)</f>
        <v>266.86660000000006</v>
      </c>
      <c r="DQ37" s="13">
        <f t="shared" si="43"/>
        <v>64.183831628008477</v>
      </c>
      <c r="DR37" s="20">
        <f t="shared" si="16"/>
        <v>576.57950175211477</v>
      </c>
      <c r="DS37" s="59">
        <f t="shared" si="17"/>
        <v>869.91283508544802</v>
      </c>
      <c r="DT37" s="59">
        <f ca="1">AVERAGE(OFFSET($DS$3,0,0,'Données projet'!$E$14+1,1))-AVERAGE(OFFSET($H$3,0,0,'Données projet'!$E$14+1,1))</f>
        <v>355.23615781077405</v>
      </c>
      <c r="DU37" s="59">
        <f t="shared" si="44"/>
        <v>448.84541017639367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14.242663890198466</v>
      </c>
      <c r="EB37" s="21">
        <f>EXP(-LN(2)/25)*EB36+(1-EXP(-LN(2)/25))/(LN(2)/25)*Calculateur!DW37*Calculateur!DY37*VLOOKUP('Données projet'!$B$14,Paramètres!$A$1:$I$89,3,0)*0.475*44/12</f>
        <v>12.870536823765523</v>
      </c>
      <c r="EC37" s="21">
        <f>EXP(-LN(2)/2)*EC36+(1-EXP(-LN(2)/2))/(LN(2)/2)*DW37*DZ37*VLOOKUP('Données projet'!$B$14,Paramètres!$A$1:$I$89,3,0)*0.475*44/12</f>
        <v>1.79245726887529</v>
      </c>
      <c r="ED37" s="22">
        <f t="shared" si="18"/>
        <v>28.90565798283928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2.1523809523809527</v>
      </c>
      <c r="EJ37" s="12">
        <f>IF('Données projet'!$A$192&gt;35,EJ36+EI37-ER36,IF(A37&lt;'Données projet'!$A$192,$EG$205^A37,IF(A37='Données projet'!$A$192,'Données projet'!$B$192,EJ36+EI37-ER36)))</f>
        <v>73.180952380952377</v>
      </c>
      <c r="EK37" s="17">
        <f>EJ37*VLOOKUP('Données projet'!$B$15,Paramètres!$A$1:$I$89,3,0)*VLOOKUP('Données projet'!$B$15,Paramètres!$A$1:$I$89,5,0)</f>
        <v>78.771977142857139</v>
      </c>
      <c r="EL37" s="13">
        <f t="shared" si="45"/>
        <v>21.836656364624229</v>
      </c>
      <c r="EM37" s="20">
        <f t="shared" si="19"/>
        <v>175.22670335886338</v>
      </c>
      <c r="EN37" s="59">
        <f t="shared" si="20"/>
        <v>468.56003669219672</v>
      </c>
      <c r="EO37" s="59">
        <f ca="1">AVERAGE(OFFSET($EN$3,0,0,'Données projet'!$E$15+1,1))-AVERAGE(OFFSET($H$3,0,0,'Données projet'!$E$15+1,1))</f>
        <v>130.76477588601989</v>
      </c>
      <c r="EP37" s="59">
        <f t="shared" si="46"/>
        <v>94.034011511502172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27.6</v>
      </c>
      <c r="FE37" s="12">
        <f>IF('Données projet'!$A$218&gt;35,FE36+FD37-FM36,IF(A37&lt;'Données projet'!$A$218,$FB$205^A37,IF(A37='Données projet'!$A$218,'Données projet'!$B$218,FE36+FD37-FM36)))</f>
        <v>477.40000000000009</v>
      </c>
      <c r="FF37" s="17">
        <f>FE37*VLOOKUP('Données projet'!$B$16,Paramètres!$A$1:$I$89,3,0)*VLOOKUP('Données projet'!$B$16,Paramètres!$A$1:$I$89,5,0)</f>
        <v>217.21700000000004</v>
      </c>
      <c r="FG37" s="13">
        <f t="shared" si="47"/>
        <v>53.509566985960184</v>
      </c>
      <c r="FH37" s="20">
        <f t="shared" si="22"/>
        <v>471.51543750054742</v>
      </c>
      <c r="FI37" s="59">
        <f t="shared" si="23"/>
        <v>764.84877083388074</v>
      </c>
      <c r="FJ37" s="59">
        <f ca="1">AVERAGE(OFFSET($FI$3,0,0,'Données projet'!$E$16+1,1))-AVERAGE(OFFSET($H$3,0,0,'Données projet'!$E$16+1,1))</f>
        <v>279.43442619866738</v>
      </c>
      <c r="FK37" s="59">
        <f t="shared" si="48"/>
        <v>355.95192241448217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11.592865957138283</v>
      </c>
      <c r="FR37" s="21">
        <f>EXP(-LN(2)/25)*FR36+(1-EXP(-LN(2)/25))/(LN(2)/25)*Calculateur!FM37*Calculateur!FO37*VLOOKUP('Données projet'!$B$16,Paramètres!$A$1:$I$89,3,0)*0.475*44/12</f>
        <v>10.476018344925425</v>
      </c>
      <c r="FS37" s="21">
        <f>EXP(-LN(2)/2)*FS36+(1-EXP(-LN(2)/2))/(LN(2)/2)*FM37*FP37*VLOOKUP('Données projet'!$B$16,Paramètres!$A$1:$I$89,3,0)*0.475*44/12</f>
        <v>1.4589768467589566</v>
      </c>
      <c r="FT37" s="22">
        <f t="shared" si="24"/>
        <v>23.527861148822666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14.833333333333334</v>
      </c>
      <c r="N38" s="13">
        <f>IF('Données projet'!$A$36&gt;35,N37+M38-V37,IF(A38&lt;'Données projet'!$A$36,$K$205^A38,IF(A38='Données projet'!$A$36,'Données projet'!$B$36,N37+M38-V37)))</f>
        <v>258.83333333333331</v>
      </c>
      <c r="O38" s="13">
        <f>N38*VLOOKUP('Données projet'!$B$9,Paramètres!$A$1:$I$89,3,0)*VLOOKUP('Données projet'!$B$9,Paramètres!$A$1:$I$89,5,0)</f>
        <v>154.78233333333333</v>
      </c>
      <c r="P38" s="13">
        <f t="shared" si="33"/>
        <v>39.663394950666209</v>
      </c>
      <c r="Q38" s="20">
        <f t="shared" si="53"/>
        <v>338.65964342796582</v>
      </c>
      <c r="R38" s="59">
        <f t="shared" si="0"/>
        <v>631.99297676129913</v>
      </c>
      <c r="S38" s="59">
        <f ca="1">AVERAGE(OFFSET($R$3,0,0,'Données projet'!$E$9+1,1))-AVERAGE(OFFSET($H$3,0,0,'Données projet'!$E$9+1,1))</f>
        <v>227.89848316900191</v>
      </c>
      <c r="T38" s="59">
        <f t="shared" si="34"/>
        <v>239.85955661394541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38.572396027654641</v>
      </c>
      <c r="AA38" s="21">
        <f>EXP(-LN(2)/25)*AA37+(1-EXP(-LN(2)/25))/(LN(2)/25)*Calculateur!V38*Calculateur!X38*VLOOKUP('Données projet'!$B$9,Paramètres!$A$1:$I$89,3,0)*0.475*44/12</f>
        <v>11.67622595442411</v>
      </c>
      <c r="AB38" s="21">
        <f>EXP(-LN(2)/2)*AB37+(1-EXP(-LN(2)/2))/(LN(2)/2)*V38*Y38*VLOOKUP('Données projet'!$B$9,Paramètres!$A$1:$I$89,3,0)*0.475*44/12</f>
        <v>4.227690421005085</v>
      </c>
      <c r="AC38" s="22">
        <f t="shared" si="3"/>
        <v>54.476312403083838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3.6111111111111112</v>
      </c>
      <c r="AI38" s="13">
        <f>IF('Données projet'!$A$62&gt;35,AI37+AH38-AQ37,IF(A38&lt;'Données projet'!$A$62,$AF$205^A38,IF(A38='Données projet'!$A$62,'Données projet'!$B$62,AI37+AH38-AQ37)))</f>
        <v>126.38888888888897</v>
      </c>
      <c r="AJ38" s="13">
        <f>AI38*VLOOKUP('Données projet'!$B$10,Paramètres!$A$1:$I$89,3,0)*VLOOKUP('Données projet'!$B$10,Paramètres!$A$1:$I$89,5,0)</f>
        <v>114.35666666666674</v>
      </c>
      <c r="AK38" s="13">
        <f t="shared" si="35"/>
        <v>30.355117304050264</v>
      </c>
      <c r="AL38" s="20">
        <f t="shared" si="4"/>
        <v>252.03969041566543</v>
      </c>
      <c r="AM38" s="59">
        <f t="shared" si="5"/>
        <v>545.37302374899878</v>
      </c>
      <c r="AN38" s="59">
        <f ca="1">AVERAGE(OFFSET($AM$3,0,0,'Données projet'!$E$10+1,1))-AVERAGE(OFFSET($H$3,0,0,'Données projet'!$E$10+1,1))</f>
        <v>215.7418266360167</v>
      </c>
      <c r="AO38" s="59">
        <f t="shared" si="36"/>
        <v>155.78420008229949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2.6904761904761907</v>
      </c>
      <c r="BD38" s="12">
        <f>IF('Données projet'!$A$88&gt;35,BD37+BC38-BL37,IF(A38&lt;'Données projet'!$A$88,$BA$205^A38,IF(A38='Données projet'!$A$88,'Données projet'!$B$88,BD37+BC38-BL37)))</f>
        <v>94.166666666666657</v>
      </c>
      <c r="BE38" s="13">
        <f>BD38*VLOOKUP('Données projet'!$B$11,Paramètres!$A$1:$I$89,3,0)*VLOOKUP('Données projet'!$B$11,Paramètres!$A$1:$I$89,5,0)</f>
        <v>95.484999999999999</v>
      </c>
      <c r="BF38" s="13">
        <f t="shared" si="37"/>
        <v>25.883485918927366</v>
      </c>
      <c r="BG38" s="20">
        <f t="shared" si="7"/>
        <v>211.38344630879848</v>
      </c>
      <c r="BH38" s="59">
        <f t="shared" si="8"/>
        <v>504.71677964213177</v>
      </c>
      <c r="BI38" s="59">
        <f ca="1">AVERAGE(OFFSET($BH$3,0,0,'Données projet'!$E$11+1,1))-AVERAGE(OFFSET($H$3,0,0,'Données projet'!$E$11+1,1))</f>
        <v>179.53921263314447</v>
      </c>
      <c r="BJ38" s="59">
        <f t="shared" si="38"/>
        <v>120.81513023281337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12.545555555555557</v>
      </c>
      <c r="BY38" s="12">
        <f>IF('Données projet'!$A$114&gt;35,BY37+BX38-CG37,IF(A38&lt;'Données projet'!$A$114,$BV$205^A38,IF(A38='Données projet'!$A$114,'Données projet'!$B$114,BY37+BX38-CG37)))</f>
        <v>249.99444444444435</v>
      </c>
      <c r="BZ38" s="13">
        <f>BY38*VLOOKUP('Données projet'!$B$12,Paramètres!$A$1:$I$89,3,0)*VLOOKUP('Données projet'!$B$12,Paramètres!$A$1:$I$89,5,0)</f>
        <v>116.99739999999996</v>
      </c>
      <c r="CA38" s="13">
        <f t="shared" si="39"/>
        <v>30.973662698680535</v>
      </c>
      <c r="CB38" s="20">
        <f t="shared" si="10"/>
        <v>257.71626753353524</v>
      </c>
      <c r="CC38" s="59">
        <f t="shared" si="11"/>
        <v>551.04960086686856</v>
      </c>
      <c r="CD38" s="59">
        <f ca="1">AVERAGE(OFFSET($CC$3,0,0,'Données projet'!$E$12+1,1))-AVERAGE(OFFSET($H$3,0,0,'Données projet'!$E$12+1,1))</f>
        <v>310.06530483941287</v>
      </c>
      <c r="CE38" s="59">
        <f t="shared" si="40"/>
        <v>170.13425794309376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7.8801056024903957</v>
      </c>
      <c r="CL38" s="21">
        <f>EXP(-LN(2)/25)*CL37+(1-EXP(-LN(2)/25))/(LN(2)/25)*Calculateur!CG38*Calculateur!CI38*VLOOKUP('Données projet'!$B$12,Paramètres!$A$1:$I$89,3,0)*0.475*44/12</f>
        <v>5.7814478633505164</v>
      </c>
      <c r="CM38" s="21">
        <f>EXP(-LN(2)/2)*CM37+(1-EXP(-LN(2)/2))/(LN(2)/2)*CG38*CJ38*VLOOKUP('Données projet'!$B$12,Paramètres!$A$1:$I$89,3,0)*0.475*44/12</f>
        <v>0.49077187887924806</v>
      </c>
      <c r="CN38" s="22">
        <f t="shared" si="12"/>
        <v>14.152325344720159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12.833333333333334</v>
      </c>
      <c r="CT38" s="12">
        <f>IF('Données projet'!$A$140&gt;35,CT37+CS38-DB37,IF(A38&lt;'Données projet'!$A$140,$CQ$205^A38,IF(A38='Données projet'!$A$140,'Données projet'!$B$140,CT37+CS38-DB37)))</f>
        <v>210.83333333333337</v>
      </c>
      <c r="CU38" s="17">
        <f>CT38*VLOOKUP('Données projet'!$B$13,Paramètres!$A$1:$I$89,3,0)*VLOOKUP('Données projet'!$B$13,Paramètres!$A$1:$I$89,5,0)</f>
        <v>126.07833333333336</v>
      </c>
      <c r="CV38" s="13">
        <f t="shared" si="41"/>
        <v>33.08856817390501</v>
      </c>
      <c r="CW38" s="20">
        <f t="shared" si="13"/>
        <v>277.21568679177352</v>
      </c>
      <c r="CX38" s="59">
        <f t="shared" si="14"/>
        <v>570.54902012510684</v>
      </c>
      <c r="CY38" s="59">
        <f ca="1">AVERAGE(OFFSET($CX$3,0,0,'Données projet'!$E$13+1,1))-AVERAGE(OFFSET($H$3,0,0,'Données projet'!$E$13+1,1))</f>
        <v>168.08890945052406</v>
      </c>
      <c r="CZ38" s="59">
        <f t="shared" si="42"/>
        <v>182.52462557642343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25.113177053484261</v>
      </c>
      <c r="DG38" s="21">
        <f>EXP(-LN(2)/25)*DG37+(1-EXP(-LN(2)/25))/(LN(2)/25)*Calculateur!DB38*Calculateur!DD38*VLOOKUP('Données projet'!$B$13,Paramètres!$A$1:$I$89,3,0)*0.475*44/12</f>
        <v>10.413567665370271</v>
      </c>
      <c r="DH38" s="21">
        <f>EXP(-LN(2)/2)*DH37+(1-EXP(-LN(2)/2))/(LN(2)/2)*DB38*DE38*VLOOKUP('Données projet'!$B$13,Paramètres!$A$1:$I$89,3,0)*0.475*44/12</f>
        <v>3.2871430649491042</v>
      </c>
      <c r="DI38" s="22">
        <f t="shared" si="15"/>
        <v>38.813887783803636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505</v>
      </c>
      <c r="DM38" s="12">
        <f>VLOOKUP(A38,'Données projet'!$A$165:$I$185,9,0)</f>
        <v>27.6</v>
      </c>
      <c r="DN38" s="12">
        <f t="array" ref="DN38">INDEX(DM:DM,MIN(IF(ISNUMBER(DM38:DM234),ROW(DM38:DM234),"")))</f>
        <v>27.6</v>
      </c>
      <c r="DO38" s="12">
        <f>IF('Données projet'!$A$166&gt;35,DO37+DN38-DW37,IF(A38&lt;'Données projet'!$A$166,$DL$205^A38,IF(A38='Données projet'!$A$166,'Données projet'!$B$166,DO37+DN38-DW37)))</f>
        <v>505.00000000000011</v>
      </c>
      <c r="DP38" s="17">
        <f>DO38*VLOOKUP('Données projet'!$B$14,Paramètres!$A$1:$I$89,3,0)*VLOOKUP('Données projet'!$B$14,Paramètres!$A$1:$I$89,5,0)</f>
        <v>282.29500000000007</v>
      </c>
      <c r="DQ38" s="13">
        <f t="shared" si="43"/>
        <v>67.451777696853824</v>
      </c>
      <c r="DR38" s="20">
        <f t="shared" si="16"/>
        <v>609.14230448868716</v>
      </c>
      <c r="DS38" s="59">
        <f t="shared" si="17"/>
        <v>902.47563782202042</v>
      </c>
      <c r="DT38" s="59">
        <f ca="1">AVERAGE(OFFSET($DS$3,0,0,'Données projet'!$E$14+1,1))-AVERAGE(OFFSET($H$3,0,0,'Données projet'!$E$14+1,1))</f>
        <v>355.23615781077405</v>
      </c>
      <c r="DU38" s="59">
        <f t="shared" si="44"/>
        <v>448.84541017639367</v>
      </c>
      <c r="DV38" s="15">
        <f>IF(ISNA(VLOOKUP(A38,'Données projet'!$A$165:$I$185,3,0)),0,VLOOKUP(A38,'Données projet'!$A$165:$I$185,3,0))</f>
        <v>3</v>
      </c>
      <c r="DW38" s="15">
        <f>IF(ISNA(VLOOKUP(A38,'Données projet'!$A$165:$I$185,4,0)),0,VLOOKUP(A38,'Données projet'!$A$165:$I$185,4,0))</f>
        <v>69</v>
      </c>
      <c r="DX38" s="16">
        <f>IF(ISNA(VLOOKUP(A38,'Données projet'!$A$165:$I$185,5,0)),0%,VLOOKUP(A38,'Données projet'!$A$165:$I$185,5,0)*VLOOKUP('Données projet'!$B$14,Paramètres!$A$1:$I$89,7,0))</f>
        <v>0.38500000000000001</v>
      </c>
      <c r="DY38" s="16">
        <f>IF(ISNA(VLOOKUP(A38,'Données projet'!$A$165:$I$185,6,0)),0%,VLOOKUP(A38,'Données projet'!$A$165:$I$185,6,0)*VLOOKUP('Données projet'!$B$14,Paramètres!$A$1:$I$89,7,0))</f>
        <v>9.240000000000001E-2</v>
      </c>
      <c r="DZ38" s="16">
        <f>IF(ISNA(VLOOKUP(A38,'Données projet'!$A$165:$I$185,7,0)),0%,VLOOKUP(A38,'Données projet'!$A$165:$I$185,7,0))</f>
        <v>0.13200000000000001</v>
      </c>
      <c r="EA38" s="21">
        <f>EXP(-LN(2)/35)*EA37+(1-EXP(-LN(2)/35))/(LN(2)/35)*DW38*DX38*VLOOKUP('Données projet'!$B$14,Paramètres!$A$1:$I$89,3,0)*0.475*44/12</f>
        <v>33.662637218620887</v>
      </c>
      <c r="EB38" s="21">
        <f>EXP(-LN(2)/25)*EB37+(1-EXP(-LN(2)/25))/(LN(2)/25)*Calculateur!DW38*Calculateur!DY38*VLOOKUP('Données projet'!$B$14,Paramètres!$A$1:$I$89,3,0)*0.475*44/12</f>
        <v>17.227799263391621</v>
      </c>
      <c r="EC38" s="21">
        <f>EXP(-LN(2)/2)*EC37+(1-EXP(-LN(2)/2))/(LN(2)/2)*DW38*DZ38*VLOOKUP('Données projet'!$B$14,Paramètres!$A$1:$I$89,3,0)*0.475*44/12</f>
        <v>7.0320745069307531</v>
      </c>
      <c r="ED38" s="22">
        <f t="shared" si="18"/>
        <v>57.922510988943259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2.1523809523809527</v>
      </c>
      <c r="EJ38" s="12">
        <f>IF('Données projet'!$A$192&gt;35,EJ37+EI38-ER37,IF(A38&lt;'Données projet'!$A$192,$EG$205^A38,IF(A38='Données projet'!$A$192,'Données projet'!$B$192,EJ37+EI38-ER37)))</f>
        <v>75.333333333333329</v>
      </c>
      <c r="EK38" s="17">
        <f>EJ38*VLOOKUP('Données projet'!$B$15,Paramètres!$A$1:$I$89,3,0)*VLOOKUP('Données projet'!$B$15,Paramètres!$A$1:$I$89,5,0)</f>
        <v>81.088799999999992</v>
      </c>
      <c r="EL38" s="13">
        <f t="shared" si="45"/>
        <v>22.403191578163362</v>
      </c>
      <c r="EM38" s="20">
        <f t="shared" si="19"/>
        <v>180.2485519986345</v>
      </c>
      <c r="EN38" s="59">
        <f t="shared" si="20"/>
        <v>473.58188533196778</v>
      </c>
      <c r="EO38" s="59">
        <f ca="1">AVERAGE(OFFSET($EN$3,0,0,'Données projet'!$E$15+1,1))-AVERAGE(OFFSET($H$3,0,0,'Données projet'!$E$15+1,1))</f>
        <v>130.76477588601989</v>
      </c>
      <c r="EP38" s="59">
        <f t="shared" si="46"/>
        <v>94.034011511502172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505</v>
      </c>
      <c r="FC38" s="12">
        <f>VLOOKUP(A38,'Données projet'!$A$217:$I$237,9,0)</f>
        <v>27.6</v>
      </c>
      <c r="FD38" s="12">
        <f t="array" ref="FD38">INDEX(FC:FC,MIN(IF(ISNUMBER(FC38:FC234),ROW(FC38:FC234),"")))</f>
        <v>27.6</v>
      </c>
      <c r="FE38" s="12">
        <f>IF('Données projet'!$A$218&gt;35,FE37+FD38-FM37,IF(A38&lt;'Données projet'!$A$218,$FB$205^A38,IF(A38='Données projet'!$A$218,'Données projet'!$B$218,FE37+FD38-FM37)))</f>
        <v>505.00000000000011</v>
      </c>
      <c r="FF38" s="17">
        <f>FE38*VLOOKUP('Données projet'!$B$16,Paramètres!$A$1:$I$89,3,0)*VLOOKUP('Données projet'!$B$16,Paramètres!$A$1:$I$89,5,0)</f>
        <v>229.77500000000003</v>
      </c>
      <c r="FG38" s="13">
        <f t="shared" si="47"/>
        <v>56.23402849973926</v>
      </c>
      <c r="FH38" s="20">
        <f t="shared" si="22"/>
        <v>498.13239130371261</v>
      </c>
      <c r="FI38" s="59">
        <f t="shared" si="23"/>
        <v>791.46572463704592</v>
      </c>
      <c r="FJ38" s="59">
        <f ca="1">AVERAGE(OFFSET($FI$3,0,0,'Données projet'!$E$16+1,1))-AVERAGE(OFFSET($H$3,0,0,'Données projet'!$E$16+1,1))</f>
        <v>279.43442619866738</v>
      </c>
      <c r="FK38" s="59">
        <f t="shared" si="48"/>
        <v>355.95192241448217</v>
      </c>
      <c r="FL38" s="15">
        <f>IF(ISNA(VLOOKUP(A38,'Données projet'!$A$217:$I$237,3,0)),0,VLOOKUP(A38,'Données projet'!$A$217:$I$237,3,0))</f>
        <v>3</v>
      </c>
      <c r="FM38" s="15">
        <f>IF(ISNA(VLOOKUP(A38,'Données projet'!$A$217:$I$237,4,0)),0,VLOOKUP(A38,'Données projet'!$A$217:$I$237,4,0))</f>
        <v>69</v>
      </c>
      <c r="FN38" s="16">
        <f>IF(ISNA(VLOOKUP(A38,'Données projet'!$A$217:$I$237,5,0)),0%,VLOOKUP(A38,'Données projet'!$A$217:$I$237,5,0)*VLOOKUP('Données projet'!$B$16,Paramètres!$A$1:$I$89,7,0))</f>
        <v>0.38500000000000001</v>
      </c>
      <c r="FO38" s="16">
        <f>IF(ISNA(VLOOKUP(A38,'Données projet'!$A$217:$I$237,6,0)),0%,VLOOKUP(A38,'Données projet'!$A$217:$I$237,6,0)*VLOOKUP('Données projet'!$B$16,Paramètres!$A$1:$I$89,7,0))</f>
        <v>9.240000000000001E-2</v>
      </c>
      <c r="FP38" s="16">
        <f>IF(ISNA(VLOOKUP(A38,'Données projet'!$A$217:$I$237,7,0)),0%,VLOOKUP(A38,'Données projet'!$A$217:$I$237,7,0))</f>
        <v>0.13200000000000001</v>
      </c>
      <c r="FQ38" s="21">
        <f>EXP(-LN(2)/35)*FQ37+(1-EXP(-LN(2)/35))/(LN(2)/35)*FM38*FN38*VLOOKUP('Données projet'!$B$16,Paramètres!$A$1:$I$89,3,0)*0.475*44/12</f>
        <v>27.399820991900718</v>
      </c>
      <c r="FR38" s="21">
        <f>EXP(-LN(2)/25)*FR37+(1-EXP(-LN(2)/25))/(LN(2)/25)*Calculateur!FM38*Calculateur!FO38*VLOOKUP('Données projet'!$B$16,Paramètres!$A$1:$I$89,3,0)*0.475*44/12</f>
        <v>14.022627307411783</v>
      </c>
      <c r="FS38" s="21">
        <f>EXP(-LN(2)/2)*FS37+(1-EXP(-LN(2)/2))/(LN(2)/2)*FM38*FP38*VLOOKUP('Données projet'!$B$16,Paramètres!$A$1:$I$89,3,0)*0.475*44/12</f>
        <v>5.7237815754087524</v>
      </c>
      <c r="FT38" s="22">
        <f t="shared" si="24"/>
        <v>47.14622987472125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14.833333333333334</v>
      </c>
      <c r="N39" s="13">
        <f>IF('Données projet'!$A$36&gt;35,N38+M39-V38,IF(A39&lt;'Données projet'!$A$36,$K$205^A39,IF(A39='Données projet'!$A$36,'Données projet'!$B$36,N38+M39-V38)))</f>
        <v>273.66666666666663</v>
      </c>
      <c r="O39" s="13">
        <f>N39*VLOOKUP('Données projet'!$B$9,Paramètres!$A$1:$I$89,3,0)*VLOOKUP('Données projet'!$B$9,Paramètres!$A$1:$I$89,5,0)</f>
        <v>163.65266666666665</v>
      </c>
      <c r="P39" s="13">
        <f t="shared" si="33"/>
        <v>41.665299117984198</v>
      </c>
      <c r="Q39" s="20">
        <f t="shared" si="53"/>
        <v>357.59545707493356</v>
      </c>
      <c r="R39" s="59">
        <f t="shared" si="0"/>
        <v>650.92879040826688</v>
      </c>
      <c r="S39" s="59">
        <f ca="1">AVERAGE(OFFSET($R$3,0,0,'Données projet'!$E$9+1,1))-AVERAGE(OFFSET($H$3,0,0,'Données projet'!$E$9+1,1))</f>
        <v>227.89848316900191</v>
      </c>
      <c r="T39" s="59">
        <f t="shared" si="34"/>
        <v>239.85955661394541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37.81601486839083</v>
      </c>
      <c r="AA39" s="21">
        <f>EXP(-LN(2)/25)*AA38+(1-EXP(-LN(2)/25))/(LN(2)/25)*Calculateur!V39*Calculateur!X39*VLOOKUP('Données projet'!$B$9,Paramètres!$A$1:$I$89,3,0)*0.475*44/12</f>
        <v>11.356938941674347</v>
      </c>
      <c r="AB39" s="21">
        <f>EXP(-LN(2)/2)*AB38+(1-EXP(-LN(2)/2))/(LN(2)/2)*V39*Y39*VLOOKUP('Données projet'!$B$9,Paramètres!$A$1:$I$89,3,0)*0.475*44/12</f>
        <v>2.9894285654501056</v>
      </c>
      <c r="AC39" s="22">
        <f t="shared" si="3"/>
        <v>52.162382375515286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130</v>
      </c>
      <c r="AG39" s="12">
        <f>VLOOKUP(A39,'Données projet'!$A$61:$I$81,9,0)</f>
        <v>3.6111111111111112</v>
      </c>
      <c r="AH39" s="12">
        <f t="array" ref="AH39">INDEX(AG:AG,MIN(IF(ISNUMBER(AG39:AG235),ROW(AG39:AG235),"")))</f>
        <v>3.6111111111111112</v>
      </c>
      <c r="AI39" s="13">
        <f>IF('Données projet'!$A$62&gt;35,AI38+AH39-AQ38,IF(A39&lt;'Données projet'!$A$62,$AF$205^A39,IF(A39='Données projet'!$A$62,'Données projet'!$B$62,AI38+AH39-AQ38)))</f>
        <v>130.00000000000009</v>
      </c>
      <c r="AJ39" s="13">
        <f>AI39*VLOOKUP('Données projet'!$B$10,Paramètres!$A$1:$I$89,3,0)*VLOOKUP('Données projet'!$B$10,Paramètres!$A$1:$I$89,5,0)</f>
        <v>117.62400000000008</v>
      </c>
      <c r="AK39" s="13">
        <f t="shared" si="35"/>
        <v>31.120192961985413</v>
      </c>
      <c r="AL39" s="20">
        <f t="shared" si="4"/>
        <v>259.0628027421248</v>
      </c>
      <c r="AM39" s="59">
        <f t="shared" si="5"/>
        <v>552.39613607545812</v>
      </c>
      <c r="AN39" s="59">
        <f ca="1">AVERAGE(OFFSET($AM$3,0,0,'Données projet'!$E$10+1,1))-AVERAGE(OFFSET($H$3,0,0,'Données projet'!$E$10+1,1))</f>
        <v>215.7418266360167</v>
      </c>
      <c r="AO39" s="59">
        <f t="shared" si="36"/>
        <v>155.78420008229949</v>
      </c>
      <c r="AP39" s="15">
        <f>IF(ISNA(VLOOKUP(A39,'Données projet'!$A$61:$I$81,3,0)),0,VLOOKUP(A39,'Données projet'!$A$61:$I$81,3,0))</f>
        <v>1</v>
      </c>
      <c r="AQ39" s="15">
        <f>IF(ISNA(VLOOKUP(A39,'Données projet'!$A$61:$I$81,4,0)),0,VLOOKUP(A39,'Données projet'!$A$61:$I$81,4,0))</f>
        <v>36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2.6904761904761907</v>
      </c>
      <c r="BD39" s="12">
        <f>IF('Données projet'!$A$88&gt;35,BD38+BC39-BL38,IF(A39&lt;'Données projet'!$A$88,$BA$205^A39,IF(A39='Données projet'!$A$88,'Données projet'!$B$88,BD38+BC39-BL38)))</f>
        <v>96.857142857142847</v>
      </c>
      <c r="BE39" s="13">
        <f>BD39*VLOOKUP('Données projet'!$B$11,Paramètres!$A$1:$I$89,3,0)*VLOOKUP('Données projet'!$B$11,Paramètres!$A$1:$I$89,5,0)</f>
        <v>98.213142857142856</v>
      </c>
      <c r="BF39" s="13">
        <f t="shared" si="37"/>
        <v>26.535857801424978</v>
      </c>
      <c r="BG39" s="20">
        <f t="shared" si="7"/>
        <v>217.27117614700566</v>
      </c>
      <c r="BH39" s="59">
        <f t="shared" si="8"/>
        <v>510.60450948033895</v>
      </c>
      <c r="BI39" s="59">
        <f ca="1">AVERAGE(OFFSET($BH$3,0,0,'Données projet'!$E$11+1,1))-AVERAGE(OFFSET($H$3,0,0,'Données projet'!$E$11+1,1))</f>
        <v>179.53921263314447</v>
      </c>
      <c r="BJ39" s="59">
        <f t="shared" si="38"/>
        <v>120.81513023281337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12.545555555555557</v>
      </c>
      <c r="BY39" s="12">
        <f>IF('Données projet'!$A$114&gt;35,BY38+BX39-CG38,IF(A39&lt;'Données projet'!$A$114,$BV$205^A39,IF(A39='Données projet'!$A$114,'Données projet'!$B$114,BY38+BX39-CG38)))</f>
        <v>262.53999999999991</v>
      </c>
      <c r="BZ39" s="13">
        <f>BY39*VLOOKUP('Données projet'!$B$12,Paramètres!$A$1:$I$89,3,0)*VLOOKUP('Données projet'!$B$12,Paramètres!$A$1:$I$89,5,0)</f>
        <v>122.86871999999995</v>
      </c>
      <c r="CA39" s="13">
        <f t="shared" si="39"/>
        <v>32.34315838969642</v>
      </c>
      <c r="CB39" s="20">
        <f t="shared" si="10"/>
        <v>270.32735486205451</v>
      </c>
      <c r="CC39" s="59">
        <f t="shared" si="11"/>
        <v>563.66068819538782</v>
      </c>
      <c r="CD39" s="59">
        <f ca="1">AVERAGE(OFFSET($CC$3,0,0,'Données projet'!$E$12+1,1))-AVERAGE(OFFSET($H$3,0,0,'Données projet'!$E$12+1,1))</f>
        <v>310.06530483941287</v>
      </c>
      <c r="CE39" s="59">
        <f t="shared" si="40"/>
        <v>170.13425794309376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7.7255815380153852</v>
      </c>
      <c r="CL39" s="21">
        <f>EXP(-LN(2)/25)*CL38+(1-EXP(-LN(2)/25))/(LN(2)/25)*Calculateur!CG39*Calculateur!CI39*VLOOKUP('Données projet'!$B$12,Paramètres!$A$1:$I$89,3,0)*0.475*44/12</f>
        <v>5.6233538674940675</v>
      </c>
      <c r="CM39" s="21">
        <f>EXP(-LN(2)/2)*CM38+(1-EXP(-LN(2)/2))/(LN(2)/2)*CG39*CJ39*VLOOKUP('Données projet'!$B$12,Paramètres!$A$1:$I$89,3,0)*0.475*44/12</f>
        <v>0.34702812357117929</v>
      </c>
      <c r="CN39" s="22">
        <f t="shared" si="12"/>
        <v>13.695963529080633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12.833333333333334</v>
      </c>
      <c r="CT39" s="12">
        <f>IF('Données projet'!$A$140&gt;35,CT38+CS39-DB38,IF(A39&lt;'Données projet'!$A$140,$CQ$205^A39,IF(A39='Données projet'!$A$140,'Données projet'!$B$140,CT38+CS39-DB38)))</f>
        <v>223.66666666666671</v>
      </c>
      <c r="CU39" s="17">
        <f>CT39*VLOOKUP('Données projet'!$B$13,Paramètres!$A$1:$I$89,3,0)*VLOOKUP('Données projet'!$B$13,Paramètres!$A$1:$I$89,5,0)</f>
        <v>133.75266666666673</v>
      </c>
      <c r="CV39" s="13">
        <f t="shared" si="41"/>
        <v>34.86204901776788</v>
      </c>
      <c r="CW39" s="20">
        <f t="shared" si="13"/>
        <v>293.67062981705698</v>
      </c>
      <c r="CX39" s="59">
        <f t="shared" si="14"/>
        <v>587.00396315039029</v>
      </c>
      <c r="CY39" s="59">
        <f ca="1">AVERAGE(OFFSET($CX$3,0,0,'Données projet'!$E$13+1,1))-AVERAGE(OFFSET($H$3,0,0,'Données projet'!$E$13+1,1))</f>
        <v>168.08890945052406</v>
      </c>
      <c r="CZ39" s="59">
        <f t="shared" si="42"/>
        <v>182.52462557642343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24.620722968990957</v>
      </c>
      <c r="DG39" s="21">
        <f>EXP(-LN(2)/25)*DG38+(1-EXP(-LN(2)/25))/(LN(2)/25)*Calculateur!DB39*Calculateur!DD39*VLOOKUP('Données projet'!$B$13,Paramètres!$A$1:$I$89,3,0)*0.475*44/12</f>
        <v>10.128808109934999</v>
      </c>
      <c r="DH39" s="21">
        <f>EXP(-LN(2)/2)*DH38+(1-EXP(-LN(2)/2))/(LN(2)/2)*DB39*DE39*VLOOKUP('Données projet'!$B$13,Paramètres!$A$1:$I$89,3,0)*0.475*44/12</f>
        <v>2.3243611519558436</v>
      </c>
      <c r="DI39" s="22">
        <f t="shared" si="15"/>
        <v>37.073892230881796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25.6</v>
      </c>
      <c r="DO39" s="12">
        <f>IF('Données projet'!$A$166&gt;35,DO38+DN39-DW38,IF(A39&lt;'Données projet'!$A$166,$DL$205^A39,IF(A39='Données projet'!$A$166,'Données projet'!$B$166,DO38+DN39-DW38)))</f>
        <v>461.60000000000014</v>
      </c>
      <c r="DP39" s="17">
        <f>DO39*VLOOKUP('Données projet'!$B$14,Paramètres!$A$1:$I$89,3,0)*VLOOKUP('Données projet'!$B$14,Paramètres!$A$1:$I$89,5,0)</f>
        <v>258.03440000000006</v>
      </c>
      <c r="DQ39" s="13">
        <f t="shared" si="43"/>
        <v>62.303206596431174</v>
      </c>
      <c r="DR39" s="20">
        <f t="shared" si="16"/>
        <v>557.9213314887844</v>
      </c>
      <c r="DS39" s="59">
        <f t="shared" si="17"/>
        <v>851.25466482211777</v>
      </c>
      <c r="DT39" s="59">
        <f ca="1">AVERAGE(OFFSET($DS$3,0,0,'Données projet'!$E$14+1,1))-AVERAGE(OFFSET($H$3,0,0,'Données projet'!$E$14+1,1))</f>
        <v>355.23615781077405</v>
      </c>
      <c r="DU39" s="59">
        <f t="shared" si="44"/>
        <v>448.84541017639367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33.00253343494505</v>
      </c>
      <c r="EB39" s="21">
        <f>EXP(-LN(2)/25)*EB38+(1-EXP(-LN(2)/25))/(LN(2)/25)*Calculateur!DW39*Calculateur!DY39*VLOOKUP('Données projet'!$B$14,Paramètres!$A$1:$I$89,3,0)*0.475*44/12</f>
        <v>16.756704186563589</v>
      </c>
      <c r="EC39" s="21">
        <f>EXP(-LN(2)/2)*EC38+(1-EXP(-LN(2)/2))/(LN(2)/2)*DW39*DZ39*VLOOKUP('Données projet'!$B$14,Paramètres!$A$1:$I$89,3,0)*0.475*44/12</f>
        <v>4.9724275696597831</v>
      </c>
      <c r="ED39" s="22">
        <f t="shared" si="18"/>
        <v>54.731665191168425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2.1523809523809527</v>
      </c>
      <c r="EJ39" s="12">
        <f>IF('Données projet'!$A$192&gt;35,EJ38+EI39-ER38,IF(A39&lt;'Données projet'!$A$192,$EG$205^A39,IF(A39='Données projet'!$A$192,'Données projet'!$B$192,EJ38+EI39-ER38)))</f>
        <v>77.48571428571428</v>
      </c>
      <c r="EK39" s="17">
        <f>EJ39*VLOOKUP('Données projet'!$B$15,Paramètres!$A$1:$I$89,3,0)*VLOOKUP('Données projet'!$B$15,Paramètres!$A$1:$I$89,5,0)</f>
        <v>83.405622857142845</v>
      </c>
      <c r="EL39" s="13">
        <f t="shared" si="45"/>
        <v>22.967845516569472</v>
      </c>
      <c r="EM39" s="20">
        <f t="shared" si="19"/>
        <v>185.26712408421562</v>
      </c>
      <c r="EN39" s="59">
        <f t="shared" si="20"/>
        <v>478.60045741754891</v>
      </c>
      <c r="EO39" s="59">
        <f ca="1">AVERAGE(OFFSET($EN$3,0,0,'Données projet'!$E$15+1,1))-AVERAGE(OFFSET($H$3,0,0,'Données projet'!$E$15+1,1))</f>
        <v>130.76477588601989</v>
      </c>
      <c r="EP39" s="59">
        <f t="shared" si="46"/>
        <v>94.034011511502172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25.6</v>
      </c>
      <c r="FE39" s="12">
        <f>IF('Données projet'!$A$218&gt;35,FE38+FD39-FM38,IF(A39&lt;'Données projet'!$A$218,$FB$205^A39,IF(A39='Données projet'!$A$218,'Données projet'!$B$218,FE38+FD39-FM38)))</f>
        <v>461.60000000000014</v>
      </c>
      <c r="FF39" s="17">
        <f>FE39*VLOOKUP('Données projet'!$B$16,Paramètres!$A$1:$I$89,3,0)*VLOOKUP('Données projet'!$B$16,Paramètres!$A$1:$I$89,5,0)</f>
        <v>210.02800000000005</v>
      </c>
      <c r="FG39" s="13">
        <f t="shared" si="47"/>
        <v>51.941704355291911</v>
      </c>
      <c r="FH39" s="20">
        <f t="shared" si="22"/>
        <v>456.26390175213351</v>
      </c>
      <c r="FI39" s="59">
        <f t="shared" si="23"/>
        <v>749.59723508546676</v>
      </c>
      <c r="FJ39" s="59">
        <f ca="1">AVERAGE(OFFSET($FI$3,0,0,'Données projet'!$E$16+1,1))-AVERAGE(OFFSET($H$3,0,0,'Données projet'!$E$16+1,1))</f>
        <v>279.43442619866738</v>
      </c>
      <c r="FK39" s="59">
        <f t="shared" si="48"/>
        <v>355.95192241448217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26.862527214490154</v>
      </c>
      <c r="FR39" s="21">
        <f>EXP(-LN(2)/25)*FR38+(1-EXP(-LN(2)/25))/(LN(2)/25)*Calculateur!FM39*Calculateur!FO39*VLOOKUP('Données projet'!$B$16,Paramètres!$A$1:$I$89,3,0)*0.475*44/12</f>
        <v>13.639177826272688</v>
      </c>
      <c r="FS39" s="21">
        <f>EXP(-LN(2)/2)*FS38+(1-EXP(-LN(2)/2))/(LN(2)/2)*FM39*FP39*VLOOKUP('Données projet'!$B$16,Paramètres!$A$1:$I$89,3,0)*0.475*44/12</f>
        <v>4.0473247660021494</v>
      </c>
      <c r="FT39" s="22">
        <f t="shared" si="24"/>
        <v>44.549029806764992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14.833333333333334</v>
      </c>
      <c r="N40" s="13">
        <f>IF('Données projet'!$A$36&gt;35,N39+M40-V39,IF(A40&lt;'Données projet'!$A$36,$K$205^A40,IF(A40='Données projet'!$A$36,'Données projet'!$B$36,N39+M40-V39)))</f>
        <v>288.49999999999994</v>
      </c>
      <c r="O40" s="13">
        <f>N40*VLOOKUP('Données projet'!$B$9,Paramètres!$A$1:$I$89,3,0)*VLOOKUP('Données projet'!$B$9,Paramètres!$A$1:$I$89,5,0)</f>
        <v>172.52299999999997</v>
      </c>
      <c r="P40" s="13">
        <f t="shared" si="33"/>
        <v>43.654606249530367</v>
      </c>
      <c r="Q40" s="20">
        <f t="shared" si="53"/>
        <v>376.50933088459868</v>
      </c>
      <c r="R40" s="59">
        <f t="shared" si="0"/>
        <v>669.842664217932</v>
      </c>
      <c r="S40" s="59">
        <f ca="1">AVERAGE(OFFSET($R$3,0,0,'Données projet'!$E$9+1,1))-AVERAGE(OFFSET($H$3,0,0,'Données projet'!$E$9+1,1))</f>
        <v>227.89848316900191</v>
      </c>
      <c r="T40" s="59">
        <f t="shared" si="34"/>
        <v>239.85955661394541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37.074465882313227</v>
      </c>
      <c r="AA40" s="21">
        <f>EXP(-LN(2)/25)*AA39+(1-EXP(-LN(2)/25))/(LN(2)/25)*Calculateur!V40*Calculateur!X40*VLOOKUP('Données projet'!$B$9,Paramètres!$A$1:$I$89,3,0)*0.475*44/12</f>
        <v>11.0463828490788</v>
      </c>
      <c r="AB40" s="21">
        <f>EXP(-LN(2)/2)*AB39+(1-EXP(-LN(2)/2))/(LN(2)/2)*V40*Y40*VLOOKUP('Données projet'!$B$9,Paramètres!$A$1:$I$89,3,0)*0.475*44/12</f>
        <v>2.1138452105025425</v>
      </c>
      <c r="AC40" s="22">
        <f t="shared" si="3"/>
        <v>50.234693941894569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9</v>
      </c>
      <c r="AI40" s="13">
        <f>IF('Données projet'!$A$62&gt;35,AI39+AH40-AQ39,IF(A40&lt;'Données projet'!$A$62,$AF$205^A40,IF(A40='Données projet'!$A$62,'Données projet'!$B$62,AI39+AH40-AQ39)))</f>
        <v>103.00000000000009</v>
      </c>
      <c r="AJ40" s="13">
        <f>AI40*VLOOKUP('Données projet'!$B$10,Paramètres!$A$1:$I$89,3,0)*VLOOKUP('Données projet'!$B$10,Paramètres!$A$1:$I$89,5,0)</f>
        <v>93.194400000000073</v>
      </c>
      <c r="AK40" s="13">
        <f t="shared" si="35"/>
        <v>25.334066536915302</v>
      </c>
      <c r="AL40" s="20">
        <f t="shared" si="4"/>
        <v>206.43707921846092</v>
      </c>
      <c r="AM40" s="59">
        <f t="shared" si="5"/>
        <v>499.77041255179427</v>
      </c>
      <c r="AN40" s="59">
        <f ca="1">AVERAGE(OFFSET($AM$3,0,0,'Données projet'!$E$10+1,1))-AVERAGE(OFFSET($H$3,0,0,'Données projet'!$E$10+1,1))</f>
        <v>215.7418266360167</v>
      </c>
      <c r="AO40" s="59">
        <f t="shared" si="36"/>
        <v>155.78420008229949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2.6904761904761907</v>
      </c>
      <c r="BD40" s="12">
        <f>IF('Données projet'!$A$88&gt;35,BD39+BC40-BL39,IF(A40&lt;'Données projet'!$A$88,$BA$205^A40,IF(A40='Données projet'!$A$88,'Données projet'!$B$88,BD39+BC40-BL39)))</f>
        <v>99.547619047619037</v>
      </c>
      <c r="BE40" s="13">
        <f>BD40*VLOOKUP('Données projet'!$B$11,Paramètres!$A$1:$I$89,3,0)*VLOOKUP('Données projet'!$B$11,Paramètres!$A$1:$I$89,5,0)</f>
        <v>100.94128571428573</v>
      </c>
      <c r="BF40" s="13">
        <f t="shared" si="37"/>
        <v>27.186123468374046</v>
      </c>
      <c r="BG40" s="20">
        <f t="shared" si="7"/>
        <v>223.15523765979904</v>
      </c>
      <c r="BH40" s="59">
        <f t="shared" si="8"/>
        <v>516.48857099313238</v>
      </c>
      <c r="BI40" s="59">
        <f ca="1">AVERAGE(OFFSET($BH$3,0,0,'Données projet'!$E$11+1,1))-AVERAGE(OFFSET($H$3,0,0,'Données projet'!$E$11+1,1))</f>
        <v>179.53921263314447</v>
      </c>
      <c r="BJ40" s="59">
        <f t="shared" si="38"/>
        <v>120.81513023281337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12.545555555555557</v>
      </c>
      <c r="BY40" s="12">
        <f>IF('Données projet'!$A$114&gt;35,BY39+BX40-CG39,IF(A40&lt;'Données projet'!$A$114,$BV$205^A40,IF(A40='Données projet'!$A$114,'Données projet'!$B$114,BY39+BX40-CG39)))</f>
        <v>275.08555555555546</v>
      </c>
      <c r="BZ40" s="13">
        <f>BY40*VLOOKUP('Données projet'!$B$12,Paramètres!$A$1:$I$89,3,0)*VLOOKUP('Données projet'!$B$12,Paramètres!$A$1:$I$89,5,0)</f>
        <v>128.74003999999994</v>
      </c>
      <c r="CA40" s="13">
        <f t="shared" si="39"/>
        <v>33.705054749831824</v>
      </c>
      <c r="CB40" s="20">
        <f t="shared" si="10"/>
        <v>282.92520668929029</v>
      </c>
      <c r="CC40" s="59">
        <f t="shared" si="11"/>
        <v>576.25854002262361</v>
      </c>
      <c r="CD40" s="59">
        <f ca="1">AVERAGE(OFFSET($CC$3,0,0,'Données projet'!$E$12+1,1))-AVERAGE(OFFSET($H$3,0,0,'Données projet'!$E$12+1,1))</f>
        <v>310.06530483941287</v>
      </c>
      <c r="CE40" s="59">
        <f t="shared" si="40"/>
        <v>170.13425794309376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7.5740875961943566</v>
      </c>
      <c r="CL40" s="21">
        <f>EXP(-LN(2)/25)*CL39+(1-EXP(-LN(2)/25))/(LN(2)/25)*Calculateur!CG40*Calculateur!CI40*VLOOKUP('Données projet'!$B$12,Paramètres!$A$1:$I$89,3,0)*0.475*44/12</f>
        <v>5.4695829602681147</v>
      </c>
      <c r="CM40" s="21">
        <f>EXP(-LN(2)/2)*CM39+(1-EXP(-LN(2)/2))/(LN(2)/2)*CG40*CJ40*VLOOKUP('Données projet'!$B$12,Paramètres!$A$1:$I$89,3,0)*0.475*44/12</f>
        <v>0.24538593943962406</v>
      </c>
      <c r="CN40" s="22">
        <f t="shared" si="12"/>
        <v>13.289056495902095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12.833333333333334</v>
      </c>
      <c r="CT40" s="12">
        <f>IF('Données projet'!$A$140&gt;35,CT39+CS40-DB39,IF(A40&lt;'Données projet'!$A$140,$CQ$205^A40,IF(A40='Données projet'!$A$140,'Données projet'!$B$140,CT39+CS40-DB39)))</f>
        <v>236.50000000000006</v>
      </c>
      <c r="CU40" s="17">
        <f>CT40*VLOOKUP('Données projet'!$B$13,Paramètres!$A$1:$I$89,3,0)*VLOOKUP('Données projet'!$B$13,Paramètres!$A$1:$I$89,5,0)</f>
        <v>141.42700000000005</v>
      </c>
      <c r="CV40" s="13">
        <f t="shared" si="41"/>
        <v>36.623717959686019</v>
      </c>
      <c r="CW40" s="20">
        <f t="shared" si="13"/>
        <v>310.10500044645323</v>
      </c>
      <c r="CX40" s="59">
        <f t="shared" si="14"/>
        <v>603.43833377978649</v>
      </c>
      <c r="CY40" s="59">
        <f ca="1">AVERAGE(OFFSET($CX$3,0,0,'Données projet'!$E$13+1,1))-AVERAGE(OFFSET($H$3,0,0,'Données projet'!$E$13+1,1))</f>
        <v>168.08890945052406</v>
      </c>
      <c r="CZ40" s="59">
        <f t="shared" si="42"/>
        <v>182.52462557642343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24.137925608727233</v>
      </c>
      <c r="DG40" s="21">
        <f>EXP(-LN(2)/25)*DG39+(1-EXP(-LN(2)/25))/(LN(2)/25)*Calculateur!DB40*Calculateur!DD40*VLOOKUP('Données projet'!$B$13,Paramètres!$A$1:$I$89,3,0)*0.475*44/12</f>
        <v>9.8518353195179582</v>
      </c>
      <c r="DH40" s="21">
        <f>EXP(-LN(2)/2)*DH39+(1-EXP(-LN(2)/2))/(LN(2)/2)*DB40*DE40*VLOOKUP('Données projet'!$B$13,Paramètres!$A$1:$I$89,3,0)*0.475*44/12</f>
        <v>1.6435715324745523</v>
      </c>
      <c r="DI40" s="22">
        <f t="shared" si="15"/>
        <v>35.633332460719743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25.6</v>
      </c>
      <c r="DO40" s="12">
        <f>IF('Données projet'!$A$166&gt;35,DO39+DN40-DW39,IF(A40&lt;'Données projet'!$A$166,$DL$205^A40,IF(A40='Données projet'!$A$166,'Données projet'!$B$166,DO39+DN40-DW39)))</f>
        <v>487.20000000000016</v>
      </c>
      <c r="DP40" s="17">
        <f>DO40*VLOOKUP('Données projet'!$B$14,Paramètres!$A$1:$I$89,3,0)*VLOOKUP('Données projet'!$B$14,Paramètres!$A$1:$I$89,5,0)</f>
        <v>272.34480000000008</v>
      </c>
      <c r="DQ40" s="13">
        <f t="shared" si="43"/>
        <v>65.346644318451709</v>
      </c>
      <c r="DR40" s="20">
        <f t="shared" si="16"/>
        <v>588.14593218797006</v>
      </c>
      <c r="DS40" s="59">
        <f t="shared" si="17"/>
        <v>881.47926552130343</v>
      </c>
      <c r="DT40" s="59">
        <f ca="1">AVERAGE(OFFSET($DS$3,0,0,'Données projet'!$E$14+1,1))-AVERAGE(OFFSET($H$3,0,0,'Données projet'!$E$14+1,1))</f>
        <v>355.23615781077405</v>
      </c>
      <c r="DU40" s="59">
        <f t="shared" si="44"/>
        <v>448.84541017639367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32.355373883843548</v>
      </c>
      <c r="EB40" s="21">
        <f>EXP(-LN(2)/25)*EB39+(1-EXP(-LN(2)/25))/(LN(2)/25)*Calculateur!DW40*Calculateur!DY40*VLOOKUP('Données projet'!$B$14,Paramètres!$A$1:$I$89,3,0)*0.475*44/12</f>
        <v>16.298491229385231</v>
      </c>
      <c r="EC40" s="21">
        <f>EXP(-LN(2)/2)*EC39+(1-EXP(-LN(2)/2))/(LN(2)/2)*DW40*DZ40*VLOOKUP('Données projet'!$B$14,Paramètres!$A$1:$I$89,3,0)*0.475*44/12</f>
        <v>3.5160372534653765</v>
      </c>
      <c r="ED40" s="22">
        <f t="shared" si="18"/>
        <v>52.169902366694153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2.1523809523809527</v>
      </c>
      <c r="EJ40" s="12">
        <f>IF('Données projet'!$A$192&gt;35,EJ39+EI40-ER39,IF(A40&lt;'Données projet'!$A$192,$EG$205^A40,IF(A40='Données projet'!$A$192,'Données projet'!$B$192,EJ39+EI40-ER39)))</f>
        <v>79.638095238095232</v>
      </c>
      <c r="EK40" s="17">
        <f>EJ40*VLOOKUP('Données projet'!$B$15,Paramètres!$A$1:$I$89,3,0)*VLOOKUP('Données projet'!$B$15,Paramètres!$A$1:$I$89,5,0)</f>
        <v>85.722445714285698</v>
      </c>
      <c r="EL40" s="13">
        <f t="shared" si="45"/>
        <v>23.530676441236743</v>
      </c>
      <c r="EM40" s="20">
        <f t="shared" si="19"/>
        <v>190.28252108753495</v>
      </c>
      <c r="EN40" s="59">
        <f t="shared" si="20"/>
        <v>483.61585442086823</v>
      </c>
      <c r="EO40" s="59">
        <f ca="1">AVERAGE(OFFSET($EN$3,0,0,'Données projet'!$E$15+1,1))-AVERAGE(OFFSET($H$3,0,0,'Données projet'!$E$15+1,1))</f>
        <v>130.76477588601989</v>
      </c>
      <c r="EP40" s="59">
        <f t="shared" si="46"/>
        <v>94.034011511502172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25.6</v>
      </c>
      <c r="FE40" s="12">
        <f>IF('Données projet'!$A$218&gt;35,FE39+FD40-FM39,IF(A40&lt;'Données projet'!$A$218,$FB$205^A40,IF(A40='Données projet'!$A$218,'Données projet'!$B$218,FE39+FD40-FM39)))</f>
        <v>487.20000000000016</v>
      </c>
      <c r="FF40" s="17">
        <f>FE40*VLOOKUP('Données projet'!$B$16,Paramètres!$A$1:$I$89,3,0)*VLOOKUP('Données projet'!$B$16,Paramètres!$A$1:$I$89,5,0)</f>
        <v>221.67600000000004</v>
      </c>
      <c r="FG40" s="13">
        <f t="shared" si="47"/>
        <v>54.478994986332864</v>
      </c>
      <c r="FH40" s="20">
        <f t="shared" si="22"/>
        <v>480.96994960119645</v>
      </c>
      <c r="FI40" s="59">
        <f t="shared" si="23"/>
        <v>774.30328293452976</v>
      </c>
      <c r="FJ40" s="59">
        <f ca="1">AVERAGE(OFFSET($FI$3,0,0,'Données projet'!$E$16+1,1))-AVERAGE(OFFSET($H$3,0,0,'Données projet'!$E$16+1,1))</f>
        <v>279.43442619866738</v>
      </c>
      <c r="FK40" s="59">
        <f t="shared" si="48"/>
        <v>355.95192241448217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26.335769440337764</v>
      </c>
      <c r="FR40" s="21">
        <f>EXP(-LN(2)/25)*FR39+(1-EXP(-LN(2)/25))/(LN(2)/25)*Calculateur!FM40*Calculateur!FO40*VLOOKUP('Données projet'!$B$16,Paramètres!$A$1:$I$89,3,0)*0.475*44/12</f>
        <v>13.266213791360071</v>
      </c>
      <c r="FS40" s="21">
        <f>EXP(-LN(2)/2)*FS39+(1-EXP(-LN(2)/2))/(LN(2)/2)*FM40*FP40*VLOOKUP('Données projet'!$B$16,Paramètres!$A$1:$I$89,3,0)*0.475*44/12</f>
        <v>2.8618907877043767</v>
      </c>
      <c r="FT40" s="22">
        <f t="shared" si="24"/>
        <v>42.463874019402212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14.833333333333334</v>
      </c>
      <c r="N41" s="13">
        <f>IF('Données projet'!$A$36&gt;35,N40+M41-V40,IF(A41&lt;'Données projet'!$A$36,$K$205^A41,IF(A41='Données projet'!$A$36,'Données projet'!$B$36,N40+M41-V40)))</f>
        <v>303.33333333333326</v>
      </c>
      <c r="O41" s="13">
        <f>N41*VLOOKUP('Données projet'!$B$9,Paramètres!$A$1:$I$89,3,0)*VLOOKUP('Données projet'!$B$9,Paramètres!$A$1:$I$89,5,0)</f>
        <v>181.39333333333329</v>
      </c>
      <c r="P41" s="13">
        <f t="shared" si="33"/>
        <v>45.632037908846122</v>
      </c>
      <c r="Q41" s="20">
        <f t="shared" si="53"/>
        <v>395.40252158012913</v>
      </c>
      <c r="R41" s="59">
        <f t="shared" si="0"/>
        <v>688.73585491346239</v>
      </c>
      <c r="S41" s="59">
        <f ca="1">AVERAGE(OFFSET($R$3,0,0,'Données projet'!$E$9+1,1))-AVERAGE(OFFSET($H$3,0,0,'Données projet'!$E$9+1,1))</f>
        <v>227.89848316900191</v>
      </c>
      <c r="T41" s="59">
        <f t="shared" si="34"/>
        <v>239.85955661394541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36.347458219552387</v>
      </c>
      <c r="AA41" s="21">
        <f>EXP(-LN(2)/25)*AA40+(1-EXP(-LN(2)/25))/(LN(2)/25)*Calculateur!V41*Calculateur!X41*VLOOKUP('Données projet'!$B$9,Paramètres!$A$1:$I$89,3,0)*0.475*44/12</f>
        <v>10.744318929166713</v>
      </c>
      <c r="AB41" s="21">
        <f>EXP(-LN(2)/2)*AB40+(1-EXP(-LN(2)/2))/(LN(2)/2)*V41*Y41*VLOOKUP('Données projet'!$B$9,Paramètres!$A$1:$I$89,3,0)*0.475*44/12</f>
        <v>1.4947142827250528</v>
      </c>
      <c r="AC41" s="22">
        <f t="shared" si="3"/>
        <v>48.586491431444159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9</v>
      </c>
      <c r="AI41" s="13">
        <f>IF('Données projet'!$A$62&gt;35,AI40+AH41-AQ40,IF(A41&lt;'Données projet'!$A$62,$AF$205^A41,IF(A41='Données projet'!$A$62,'Données projet'!$B$62,AI40+AH41-AQ40)))</f>
        <v>112.00000000000009</v>
      </c>
      <c r="AJ41" s="13">
        <f>AI41*VLOOKUP('Données projet'!$B$10,Paramètres!$A$1:$I$89,3,0)*VLOOKUP('Données projet'!$B$10,Paramètres!$A$1:$I$89,5,0)</f>
        <v>101.33760000000008</v>
      </c>
      <c r="AK41" s="13">
        <f t="shared" si="35"/>
        <v>27.28041545430559</v>
      </c>
      <c r="AL41" s="20">
        <f t="shared" si="4"/>
        <v>224.00971024958235</v>
      </c>
      <c r="AM41" s="59">
        <f t="shared" si="5"/>
        <v>517.3430435829157</v>
      </c>
      <c r="AN41" s="59">
        <f ca="1">AVERAGE(OFFSET($AM$3,0,0,'Données projet'!$E$10+1,1))-AVERAGE(OFFSET($H$3,0,0,'Données projet'!$E$10+1,1))</f>
        <v>215.7418266360167</v>
      </c>
      <c r="AO41" s="59">
        <f t="shared" si="36"/>
        <v>155.78420008229949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2.6904761904761907</v>
      </c>
      <c r="BD41" s="12">
        <f>IF('Données projet'!$A$88&gt;35,BD40+BC41-BL40,IF(A41&lt;'Données projet'!$A$88,$BA$205^A41,IF(A41='Données projet'!$A$88,'Données projet'!$B$88,BD40+BC41-BL40)))</f>
        <v>102.23809523809523</v>
      </c>
      <c r="BE41" s="13">
        <f>BD41*VLOOKUP('Données projet'!$B$11,Paramètres!$A$1:$I$89,3,0)*VLOOKUP('Données projet'!$B$11,Paramètres!$A$1:$I$89,5,0)</f>
        <v>103.66942857142855</v>
      </c>
      <c r="BF41" s="13">
        <f t="shared" si="37"/>
        <v>27.834346386346731</v>
      </c>
      <c r="BG41" s="20">
        <f t="shared" si="7"/>
        <v>229.03574138479192</v>
      </c>
      <c r="BH41" s="59">
        <f t="shared" si="8"/>
        <v>522.36907471812526</v>
      </c>
      <c r="BI41" s="59">
        <f ca="1">AVERAGE(OFFSET($BH$3,0,0,'Données projet'!$E$11+1,1))-AVERAGE(OFFSET($H$3,0,0,'Données projet'!$E$11+1,1))</f>
        <v>179.53921263314447</v>
      </c>
      <c r="BJ41" s="59">
        <f t="shared" si="38"/>
        <v>120.81513023281337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12.545555555555557</v>
      </c>
      <c r="BY41" s="12">
        <f>IF('Données projet'!$A$114&gt;35,BY40+BX41-CG40,IF(A41&lt;'Données projet'!$A$114,$BV$205^A41,IF(A41='Données projet'!$A$114,'Données projet'!$B$114,BY40+BX41-CG40)))</f>
        <v>287.63111111111101</v>
      </c>
      <c r="BZ41" s="13">
        <f>BY41*VLOOKUP('Données projet'!$B$12,Paramètres!$A$1:$I$89,3,0)*VLOOKUP('Données projet'!$B$12,Paramètres!$A$1:$I$89,5,0)</f>
        <v>134.61135999999996</v>
      </c>
      <c r="CA41" s="13">
        <f t="shared" si="39"/>
        <v>35.059737944024839</v>
      </c>
      <c r="CB41" s="20">
        <f t="shared" si="10"/>
        <v>295.51049558584316</v>
      </c>
      <c r="CC41" s="59">
        <f t="shared" si="11"/>
        <v>588.84382891917653</v>
      </c>
      <c r="CD41" s="59">
        <f ca="1">AVERAGE(OFFSET($CC$3,0,0,'Données projet'!$E$12+1,1))-AVERAGE(OFFSET($H$3,0,0,'Données projet'!$E$12+1,1))</f>
        <v>310.06530483941287</v>
      </c>
      <c r="CE41" s="59">
        <f t="shared" si="40"/>
        <v>170.13425794309376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7.4255643581702575</v>
      </c>
      <c r="CL41" s="21">
        <f>EXP(-LN(2)/25)*CL40+(1-EXP(-LN(2)/25))/(LN(2)/25)*Calculateur!CG41*Calculateur!CI41*VLOOKUP('Données projet'!$B$12,Paramètres!$A$1:$I$89,3,0)*0.475*44/12</f>
        <v>5.3200169265867165</v>
      </c>
      <c r="CM41" s="21">
        <f>EXP(-LN(2)/2)*CM40+(1-EXP(-LN(2)/2))/(LN(2)/2)*CG41*CJ41*VLOOKUP('Données projet'!$B$12,Paramètres!$A$1:$I$89,3,0)*0.475*44/12</f>
        <v>0.17351406178558967</v>
      </c>
      <c r="CN41" s="22">
        <f t="shared" si="12"/>
        <v>12.919095346542562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12.833333333333334</v>
      </c>
      <c r="CT41" s="12">
        <f>IF('Données projet'!$A$140&gt;35,CT40+CS41-DB40,IF(A41&lt;'Données projet'!$A$140,$CQ$205^A41,IF(A41='Données projet'!$A$140,'Données projet'!$B$140,CT40+CS41-DB40)))</f>
        <v>249.3333333333334</v>
      </c>
      <c r="CU41" s="17">
        <f>CT41*VLOOKUP('Données projet'!$B$13,Paramètres!$A$1:$I$89,3,0)*VLOOKUP('Données projet'!$B$13,Paramètres!$A$1:$I$89,5,0)</f>
        <v>149.1013333333334</v>
      </c>
      <c r="CV41" s="13">
        <f t="shared" si="41"/>
        <v>38.37428902704788</v>
      </c>
      <c r="CW41" s="20">
        <f t="shared" si="13"/>
        <v>326.52004227766406</v>
      </c>
      <c r="CX41" s="59">
        <f t="shared" si="14"/>
        <v>619.85337561099732</v>
      </c>
      <c r="CY41" s="59">
        <f ca="1">AVERAGE(OFFSET($CX$3,0,0,'Données projet'!$E$13+1,1))-AVERAGE(OFFSET($H$3,0,0,'Données projet'!$E$13+1,1))</f>
        <v>168.08890945052406</v>
      </c>
      <c r="CZ41" s="59">
        <f t="shared" si="42"/>
        <v>182.52462557642343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23.664595610220971</v>
      </c>
      <c r="DG41" s="21">
        <f>EXP(-LN(2)/25)*DG40+(1-EXP(-LN(2)/25))/(LN(2)/25)*Calculateur!DB41*Calculateur!DD41*VLOOKUP('Données projet'!$B$13,Paramètres!$A$1:$I$89,3,0)*0.475*44/12</f>
        <v>9.5824363646202375</v>
      </c>
      <c r="DH41" s="21">
        <f>EXP(-LN(2)/2)*DH40+(1-EXP(-LN(2)/2))/(LN(2)/2)*DB41*DE41*VLOOKUP('Données projet'!$B$13,Paramètres!$A$1:$I$89,3,0)*0.475*44/12</f>
        <v>1.162180575977922</v>
      </c>
      <c r="DI41" s="22">
        <f t="shared" si="15"/>
        <v>34.409212550819127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25.6</v>
      </c>
      <c r="DO41" s="12">
        <f>IF('Données projet'!$A$166&gt;35,DO40+DN41-DW40,IF(A41&lt;'Données projet'!$A$166,$DL$205^A41,IF(A41='Données projet'!$A$166,'Données projet'!$B$166,DO40+DN41-DW40)))</f>
        <v>512.80000000000018</v>
      </c>
      <c r="DP41" s="17">
        <f>DO41*VLOOKUP('Données projet'!$B$14,Paramètres!$A$1:$I$89,3,0)*VLOOKUP('Données projet'!$B$14,Paramètres!$A$1:$I$89,5,0)</f>
        <v>286.65520000000009</v>
      </c>
      <c r="DQ41" s="13">
        <f t="shared" si="43"/>
        <v>68.37151538584105</v>
      </c>
      <c r="DR41" s="20">
        <f t="shared" si="16"/>
        <v>618.33819596367323</v>
      </c>
      <c r="DS41" s="59">
        <f t="shared" si="17"/>
        <v>911.6715292970066</v>
      </c>
      <c r="DT41" s="59">
        <f ca="1">AVERAGE(OFFSET($DS$3,0,0,'Données projet'!$E$14+1,1))-AVERAGE(OFFSET($H$3,0,0,'Données projet'!$E$14+1,1))</f>
        <v>355.23615781077405</v>
      </c>
      <c r="DU41" s="59">
        <f t="shared" si="44"/>
        <v>448.84541017639367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31.720904736810791</v>
      </c>
      <c r="EB41" s="21">
        <f>EXP(-LN(2)/25)*EB40+(1-EXP(-LN(2)/25))/(LN(2)/25)*Calculateur!DW41*Calculateur!DY41*VLOOKUP('Données projet'!$B$14,Paramètres!$A$1:$I$89,3,0)*0.475*44/12</f>
        <v>15.852808129617289</v>
      </c>
      <c r="EC41" s="21">
        <f>EXP(-LN(2)/2)*EC40+(1-EXP(-LN(2)/2))/(LN(2)/2)*DW41*DZ41*VLOOKUP('Données projet'!$B$14,Paramètres!$A$1:$I$89,3,0)*0.475*44/12</f>
        <v>2.4862137848298915</v>
      </c>
      <c r="ED41" s="22">
        <f t="shared" si="18"/>
        <v>50.059926651257975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2.1523809523809527</v>
      </c>
      <c r="EJ41" s="12">
        <f>IF('Données projet'!$A$192&gt;35,EJ40+EI41-ER40,IF(A41&lt;'Données projet'!$A$192,$EG$205^A41,IF(A41='Données projet'!$A$192,'Données projet'!$B$192,EJ40+EI41-ER40)))</f>
        <v>81.790476190476184</v>
      </c>
      <c r="EK41" s="17">
        <f>EJ41*VLOOKUP('Données projet'!$B$15,Paramètres!$A$1:$I$89,3,0)*VLOOKUP('Données projet'!$B$15,Paramètres!$A$1:$I$89,5,0)</f>
        <v>88.039268571428551</v>
      </c>
      <c r="EL41" s="13">
        <f t="shared" si="45"/>
        <v>24.091739285020033</v>
      </c>
      <c r="EM41" s="20">
        <f t="shared" si="19"/>
        <v>195.29483868331462</v>
      </c>
      <c r="EN41" s="59">
        <f t="shared" si="20"/>
        <v>488.62817201664791</v>
      </c>
      <c r="EO41" s="59">
        <f ca="1">AVERAGE(OFFSET($EN$3,0,0,'Données projet'!$E$15+1,1))-AVERAGE(OFFSET($H$3,0,0,'Données projet'!$E$15+1,1))</f>
        <v>130.76477588601989</v>
      </c>
      <c r="EP41" s="59">
        <f t="shared" si="46"/>
        <v>94.034011511502172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25.6</v>
      </c>
      <c r="FE41" s="12">
        <f>IF('Données projet'!$A$218&gt;35,FE40+FD41-FM40,IF(A41&lt;'Données projet'!$A$218,$FB$205^A41,IF(A41='Données projet'!$A$218,'Données projet'!$B$218,FE40+FD41-FM40)))</f>
        <v>512.80000000000018</v>
      </c>
      <c r="FF41" s="17">
        <f>FE41*VLOOKUP('Données projet'!$B$16,Paramètres!$A$1:$I$89,3,0)*VLOOKUP('Données projet'!$B$16,Paramètres!$A$1:$I$89,5,0)</f>
        <v>233.32400000000007</v>
      </c>
      <c r="FG41" s="13">
        <f t="shared" si="47"/>
        <v>57.000806740147418</v>
      </c>
      <c r="FH41" s="20">
        <f t="shared" si="22"/>
        <v>505.64903840575681</v>
      </c>
      <c r="FI41" s="59">
        <f t="shared" si="23"/>
        <v>798.98237173909013</v>
      </c>
      <c r="FJ41" s="59">
        <f ca="1">AVERAGE(OFFSET($FI$3,0,0,'Données projet'!$E$16+1,1))-AVERAGE(OFFSET($H$3,0,0,'Données projet'!$E$16+1,1))</f>
        <v>279.43442619866738</v>
      </c>
      <c r="FK41" s="59">
        <f t="shared" si="48"/>
        <v>355.95192241448217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25.819341064845986</v>
      </c>
      <c r="FR41" s="21">
        <f>EXP(-LN(2)/25)*FR40+(1-EXP(-LN(2)/25))/(LN(2)/25)*Calculateur!FM41*Calculateur!FO41*VLOOKUP('Données projet'!$B$16,Paramètres!$A$1:$I$89,3,0)*0.475*44/12</f>
        <v>12.903448477595466</v>
      </c>
      <c r="FS41" s="21">
        <f>EXP(-LN(2)/2)*FS40+(1-EXP(-LN(2)/2))/(LN(2)/2)*FM41*FP41*VLOOKUP('Données projet'!$B$16,Paramètres!$A$1:$I$89,3,0)*0.475*44/12</f>
        <v>2.0236623830010751</v>
      </c>
      <c r="FT41" s="22">
        <f t="shared" si="24"/>
        <v>40.746451925442528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14.833333333333334</v>
      </c>
      <c r="N42" s="13">
        <f>IF('Données projet'!$A$36&gt;35,N41+M42-V41,IF(A42&lt;'Données projet'!$A$36,$K$205^A42,IF(A42='Données projet'!$A$36,'Données projet'!$B$36,N41+M42-V41)))</f>
        <v>318.16666666666657</v>
      </c>
      <c r="O42" s="13">
        <f>N42*VLOOKUP('Données projet'!$B$9,Paramètres!$A$1:$I$89,3,0)*VLOOKUP('Données projet'!$B$9,Paramètres!$A$1:$I$89,5,0)</f>
        <v>190.26366666666661</v>
      </c>
      <c r="P42" s="13">
        <f t="shared" si="33"/>
        <v>47.598241102015862</v>
      </c>
      <c r="Q42" s="20">
        <f t="shared" si="53"/>
        <v>414.27615603045524</v>
      </c>
      <c r="R42" s="59">
        <f t="shared" si="0"/>
        <v>707.6094893637885</v>
      </c>
      <c r="S42" s="59">
        <f ca="1">AVERAGE(OFFSET($R$3,0,0,'Données projet'!$E$9+1,1))-AVERAGE(OFFSET($H$3,0,0,'Données projet'!$E$9+1,1))</f>
        <v>227.89848316900191</v>
      </c>
      <c r="T42" s="59">
        <f t="shared" si="34"/>
        <v>239.85955661394541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35.634706733627397</v>
      </c>
      <c r="AA42" s="21">
        <f>EXP(-LN(2)/25)*AA41+(1-EXP(-LN(2)/25))/(LN(2)/25)*Calculateur!V42*Calculateur!X42*VLOOKUP('Données projet'!$B$9,Paramètres!$A$1:$I$89,3,0)*0.475*44/12</f>
        <v>10.450514963029473</v>
      </c>
      <c r="AB42" s="21">
        <f>EXP(-LN(2)/2)*AB41+(1-EXP(-LN(2)/2))/(LN(2)/2)*V42*Y42*VLOOKUP('Données projet'!$B$9,Paramètres!$A$1:$I$89,3,0)*0.475*44/12</f>
        <v>1.0569226052512712</v>
      </c>
      <c r="AC42" s="22">
        <f t="shared" si="3"/>
        <v>47.142144301908147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9</v>
      </c>
      <c r="AI42" s="13">
        <f>IF('Données projet'!$A$62&gt;35,AI41+AH42-AQ41,IF(A42&lt;'Données projet'!$A$62,$AF$205^A42,IF(A42='Données projet'!$A$62,'Données projet'!$B$62,AI41+AH42-AQ41)))</f>
        <v>121.00000000000009</v>
      </c>
      <c r="AJ42" s="13">
        <f>AI42*VLOOKUP('Données projet'!$B$10,Paramètres!$A$1:$I$89,3,0)*VLOOKUP('Données projet'!$B$10,Paramètres!$A$1:$I$89,5,0)</f>
        <v>109.48080000000009</v>
      </c>
      <c r="AK42" s="13">
        <f t="shared" si="35"/>
        <v>29.208623339903923</v>
      </c>
      <c r="AL42" s="20">
        <f t="shared" si="4"/>
        <v>241.55074565033283</v>
      </c>
      <c r="AM42" s="59">
        <f t="shared" si="5"/>
        <v>534.88407898366609</v>
      </c>
      <c r="AN42" s="59">
        <f ca="1">AVERAGE(OFFSET($AM$3,0,0,'Données projet'!$E$10+1,1))-AVERAGE(OFFSET($H$3,0,0,'Données projet'!$E$10+1,1))</f>
        <v>215.7418266360167</v>
      </c>
      <c r="AO42" s="59">
        <f t="shared" si="36"/>
        <v>155.78420008229949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2.6904761904761907</v>
      </c>
      <c r="BD42" s="12">
        <f>IF('Données projet'!$A$88&gt;35,BD41+BC42-BL41,IF(A42&lt;'Données projet'!$A$88,$BA$205^A42,IF(A42='Données projet'!$A$88,'Données projet'!$B$88,BD41+BC42-BL41)))</f>
        <v>104.92857142857142</v>
      </c>
      <c r="BE42" s="13">
        <f>BD42*VLOOKUP('Données projet'!$B$11,Paramètres!$A$1:$I$89,3,0)*VLOOKUP('Données projet'!$B$11,Paramètres!$A$1:$I$89,5,0)</f>
        <v>106.39757142857142</v>
      </c>
      <c r="BF42" s="13">
        <f t="shared" si="37"/>
        <v>28.480586491339245</v>
      </c>
      <c r="BG42" s="20">
        <f t="shared" si="7"/>
        <v>234.9127917105111</v>
      </c>
      <c r="BH42" s="59">
        <f t="shared" si="8"/>
        <v>528.24612504384436</v>
      </c>
      <c r="BI42" s="59">
        <f ca="1">AVERAGE(OFFSET($BH$3,0,0,'Données projet'!$E$11+1,1))-AVERAGE(OFFSET($H$3,0,0,'Données projet'!$E$11+1,1))</f>
        <v>179.53921263314447</v>
      </c>
      <c r="BJ42" s="59">
        <f t="shared" si="38"/>
        <v>120.81513023281337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12.545555555555557</v>
      </c>
      <c r="BY42" s="12">
        <f>IF('Données projet'!$A$114&gt;35,BY41+BX42-CG41,IF(A42&lt;'Données projet'!$A$114,$BV$205^A42,IF(A42='Données projet'!$A$114,'Données projet'!$B$114,BY41+BX42-CG41)))</f>
        <v>300.17666666666656</v>
      </c>
      <c r="BZ42" s="13">
        <f>BY42*VLOOKUP('Données projet'!$B$12,Paramètres!$A$1:$I$89,3,0)*VLOOKUP('Données projet'!$B$12,Paramètres!$A$1:$I$89,5,0)</f>
        <v>140.48267999999996</v>
      </c>
      <c r="CA42" s="13">
        <f t="shared" si="39"/>
        <v>36.407558545721109</v>
      </c>
      <c r="CB42" s="20">
        <f t="shared" si="10"/>
        <v>308.08383213379756</v>
      </c>
      <c r="CC42" s="59">
        <f t="shared" si="11"/>
        <v>601.41716546713087</v>
      </c>
      <c r="CD42" s="59">
        <f ca="1">AVERAGE(OFFSET($CC$3,0,0,'Données projet'!$E$12+1,1))-AVERAGE(OFFSET($H$3,0,0,'Données projet'!$E$12+1,1))</f>
        <v>310.06530483941287</v>
      </c>
      <c r="CE42" s="59">
        <f t="shared" si="40"/>
        <v>170.13425794309376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7.2799535702535811</v>
      </c>
      <c r="CL42" s="21">
        <f>EXP(-LN(2)/25)*CL41+(1-EXP(-LN(2)/25))/(LN(2)/25)*Calculateur!CG42*Calculateur!CI42*VLOOKUP('Données projet'!$B$12,Paramètres!$A$1:$I$89,3,0)*0.475*44/12</f>
        <v>5.1745407839616719</v>
      </c>
      <c r="CM42" s="21">
        <f>EXP(-LN(2)/2)*CM41+(1-EXP(-LN(2)/2))/(LN(2)/2)*CG42*CJ42*VLOOKUP('Données projet'!$B$12,Paramètres!$A$1:$I$89,3,0)*0.475*44/12</f>
        <v>0.12269296971981206</v>
      </c>
      <c r="CN42" s="22">
        <f t="shared" si="12"/>
        <v>12.577187323935066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12.833333333333334</v>
      </c>
      <c r="CT42" s="12">
        <f>IF('Données projet'!$A$140&gt;35,CT41+CS42-DB41,IF(A42&lt;'Données projet'!$A$140,$CQ$205^A42,IF(A42='Données projet'!$A$140,'Données projet'!$B$140,CT41+CS42-DB41)))</f>
        <v>262.16666666666674</v>
      </c>
      <c r="CU42" s="17">
        <f>CT42*VLOOKUP('Données projet'!$B$13,Paramètres!$A$1:$I$89,3,0)*VLOOKUP('Données projet'!$B$13,Paramètres!$A$1:$I$89,5,0)</f>
        <v>156.77566666666672</v>
      </c>
      <c r="CV42" s="13">
        <f t="shared" si="41"/>
        <v>40.114398592763365</v>
      </c>
      <c r="CW42" s="20">
        <f t="shared" si="13"/>
        <v>342.9168636601741</v>
      </c>
      <c r="CX42" s="59">
        <f t="shared" si="14"/>
        <v>636.25019699350742</v>
      </c>
      <c r="CY42" s="59">
        <f ca="1">AVERAGE(OFFSET($CX$3,0,0,'Données projet'!$E$13+1,1))-AVERAGE(OFFSET($H$3,0,0,'Données projet'!$E$13+1,1))</f>
        <v>168.08890945052406</v>
      </c>
      <c r="CZ42" s="59">
        <f t="shared" si="42"/>
        <v>182.52462557642343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23.200547324282624</v>
      </c>
      <c r="DG42" s="21">
        <f>EXP(-LN(2)/25)*DG41+(1-EXP(-LN(2)/25))/(LN(2)/25)*Calculateur!DB42*Calculateur!DD42*VLOOKUP('Données projet'!$B$13,Paramètres!$A$1:$I$89,3,0)*0.475*44/12</f>
        <v>9.3204041383112699</v>
      </c>
      <c r="DH42" s="21">
        <f>EXP(-LN(2)/2)*DH41+(1-EXP(-LN(2)/2))/(LN(2)/2)*DB42*DE42*VLOOKUP('Données projet'!$B$13,Paramètres!$A$1:$I$89,3,0)*0.475*44/12</f>
        <v>0.82178576623727628</v>
      </c>
      <c r="DI42" s="22">
        <f t="shared" si="15"/>
        <v>33.342737228831169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25.6</v>
      </c>
      <c r="DO42" s="12">
        <f>IF('Données projet'!$A$166&gt;35,DO41+DN42-DW41,IF(A42&lt;'Données projet'!$A$166,$DL$205^A42,IF(A42='Données projet'!$A$166,'Données projet'!$B$166,DO41+DN42-DW41)))</f>
        <v>538.4000000000002</v>
      </c>
      <c r="DP42" s="17">
        <f>DO42*VLOOKUP('Données projet'!$B$14,Paramètres!$A$1:$I$89,3,0)*VLOOKUP('Données projet'!$B$14,Paramètres!$A$1:$I$89,5,0)</f>
        <v>300.96560000000011</v>
      </c>
      <c r="DQ42" s="13">
        <f t="shared" si="43"/>
        <v>71.378852450242803</v>
      </c>
      <c r="DR42" s="20">
        <f t="shared" si="16"/>
        <v>648.49992135083971</v>
      </c>
      <c r="DS42" s="59">
        <f t="shared" si="17"/>
        <v>941.83325468417297</v>
      </c>
      <c r="DT42" s="59">
        <f ca="1">AVERAGE(OFFSET($DS$3,0,0,'Données projet'!$E$14+1,1))-AVERAGE(OFFSET($H$3,0,0,'Données projet'!$E$14+1,1))</f>
        <v>355.23615781077405</v>
      </c>
      <c r="DU42" s="59">
        <f t="shared" si="44"/>
        <v>448.84541017639367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31.098877142763381</v>
      </c>
      <c r="EB42" s="21">
        <f>EXP(-LN(2)/25)*EB41+(1-EXP(-LN(2)/25))/(LN(2)/25)*Calculateur!DW42*Calculateur!DY42*VLOOKUP('Données projet'!$B$14,Paramètres!$A$1:$I$89,3,0)*0.475*44/12</f>
        <v>15.419312257649956</v>
      </c>
      <c r="EC42" s="21">
        <f>EXP(-LN(2)/2)*EC41+(1-EXP(-LN(2)/2))/(LN(2)/2)*DW42*DZ42*VLOOKUP('Données projet'!$B$14,Paramètres!$A$1:$I$89,3,0)*0.475*44/12</f>
        <v>1.7580186267326883</v>
      </c>
      <c r="ED42" s="22">
        <f t="shared" si="18"/>
        <v>48.276208027146019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2.1523809523809527</v>
      </c>
      <c r="EJ42" s="12">
        <f>IF('Données projet'!$A$192&gt;35,EJ41+EI42-ER41,IF(A42&lt;'Données projet'!$A$192,$EG$205^A42,IF(A42='Données projet'!$A$192,'Données projet'!$B$192,EJ41+EI42-ER41)))</f>
        <v>83.942857142857136</v>
      </c>
      <c r="EK42" s="17">
        <f>EJ42*VLOOKUP('Données projet'!$B$15,Paramètres!$A$1:$I$89,3,0)*VLOOKUP('Données projet'!$B$15,Paramètres!$A$1:$I$89,5,0)</f>
        <v>90.356091428571418</v>
      </c>
      <c r="EL42" s="13">
        <f t="shared" si="45"/>
        <v>24.651085924919574</v>
      </c>
      <c r="EM42" s="20">
        <f t="shared" si="19"/>
        <v>200.30416722399681</v>
      </c>
      <c r="EN42" s="59">
        <f t="shared" si="20"/>
        <v>493.6375005573301</v>
      </c>
      <c r="EO42" s="59">
        <f ca="1">AVERAGE(OFFSET($EN$3,0,0,'Données projet'!$E$15+1,1))-AVERAGE(OFFSET($H$3,0,0,'Données projet'!$E$15+1,1))</f>
        <v>130.76477588601989</v>
      </c>
      <c r="EP42" s="59">
        <f t="shared" si="46"/>
        <v>94.034011511502172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25.6</v>
      </c>
      <c r="FE42" s="12">
        <f>IF('Données projet'!$A$218&gt;35,FE41+FD42-FM41,IF(A42&lt;'Données projet'!$A$218,$FB$205^A42,IF(A42='Données projet'!$A$218,'Données projet'!$B$218,FE41+FD42-FM41)))</f>
        <v>538.4000000000002</v>
      </c>
      <c r="FF42" s="17">
        <f>FE42*VLOOKUP('Données projet'!$B$16,Paramètres!$A$1:$I$89,3,0)*VLOOKUP('Données projet'!$B$16,Paramètres!$A$1:$I$89,5,0)</f>
        <v>244.97200000000007</v>
      </c>
      <c r="FG42" s="13">
        <f t="shared" si="47"/>
        <v>59.508000530471712</v>
      </c>
      <c r="FH42" s="20">
        <f t="shared" si="22"/>
        <v>530.30266759057167</v>
      </c>
      <c r="FI42" s="59">
        <f t="shared" si="23"/>
        <v>823.63600092390493</v>
      </c>
      <c r="FJ42" s="59">
        <f ca="1">AVERAGE(OFFSET($FI$3,0,0,'Données projet'!$E$16+1,1))-AVERAGE(OFFSET($H$3,0,0,'Données projet'!$E$16+1,1))</f>
        <v>279.43442619866738</v>
      </c>
      <c r="FK42" s="59">
        <f t="shared" si="48"/>
        <v>355.95192241448217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25.313039534807395</v>
      </c>
      <c r="FR42" s="21">
        <f>EXP(-LN(2)/25)*FR41+(1-EXP(-LN(2)/25))/(LN(2)/25)*Calculateur!FM42*Calculateur!FO42*VLOOKUP('Données projet'!$B$16,Paramètres!$A$1:$I$89,3,0)*0.475*44/12</f>
        <v>12.550603000412755</v>
      </c>
      <c r="FS42" s="21">
        <f>EXP(-LN(2)/2)*FS41+(1-EXP(-LN(2)/2))/(LN(2)/2)*FM42*FP42*VLOOKUP('Données projet'!$B$16,Paramètres!$A$1:$I$89,3,0)*0.475*44/12</f>
        <v>1.4309453938521888</v>
      </c>
      <c r="FT42" s="22">
        <f t="shared" si="24"/>
        <v>39.294587929072343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333</v>
      </c>
      <c r="L43" s="12">
        <f>VLOOKUP(A43,'Données projet'!$A$35:$I$55,9,0)</f>
        <v>14.833333333333334</v>
      </c>
      <c r="M43" s="12">
        <f t="array" ref="M43">INDEX(L:L,MIN(IF(ISNUMBER(L43:L239),ROW(L43:L239),"")))</f>
        <v>14.833333333333334</v>
      </c>
      <c r="N43" s="13">
        <f>IF('Données projet'!$A$36&gt;35,N42+M43-V42,IF(A43&lt;'Données projet'!$A$36,$K$205^A43,IF(A43='Données projet'!$A$36,'Données projet'!$B$36,N42+M43-V42)))</f>
        <v>332.99999999999989</v>
      </c>
      <c r="O43" s="13">
        <f>N43*VLOOKUP('Données projet'!$B$9,Paramètres!$A$1:$I$89,3,0)*VLOOKUP('Données projet'!$B$9,Paramètres!$A$1:$I$89,5,0)</f>
        <v>199.13399999999993</v>
      </c>
      <c r="P43" s="13">
        <f t="shared" si="33"/>
        <v>49.553799097205186</v>
      </c>
      <c r="Q43" s="20">
        <f t="shared" si="53"/>
        <v>433.13125009429888</v>
      </c>
      <c r="R43" s="59">
        <f t="shared" si="0"/>
        <v>726.46458342763219</v>
      </c>
      <c r="S43" s="59">
        <f ca="1">AVERAGE(OFFSET($R$3,0,0,'Données projet'!$E$9+1,1))-AVERAGE(OFFSET($H$3,0,0,'Données projet'!$E$9+1,1))</f>
        <v>227.89848316900191</v>
      </c>
      <c r="T43" s="59">
        <f t="shared" si="34"/>
        <v>239.85955661394541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34</v>
      </c>
      <c r="W43" s="16">
        <f>IF(ISNA(VLOOKUP(A43,'Données projet'!$A$35:$I$55,5,0)),0%,VLOOKUP(A43,'Données projet'!$A$35:$I$55,5,0)*VLOOKUP('Données projet'!$B$9,Paramètres!$A$1:$I$89,7,0))</f>
        <v>0.315</v>
      </c>
      <c r="X43" s="16">
        <f>IF(ISNA(VLOOKUP(A43,'Données projet'!$A$35:$I$55,6,0)),0%,VLOOKUP(A43,'Données projet'!$A$35:$I$55,6,0)*VLOOKUP('Données projet'!$B$9,Paramètres!$A$1:$I$89,7,0))</f>
        <v>7.5600000000000001E-2</v>
      </c>
      <c r="Y43" s="16">
        <f>IF(ISNA(VLOOKUP(A43,'Données projet'!$A$35:$I$55,7,0)),0%,VLOOKUP(A43,'Données projet'!$A$35:$I$55,7,0))</f>
        <v>0.13200000000000001</v>
      </c>
      <c r="Z43" s="21">
        <f>EXP(-LN(2)/35)*Z42+(1-EXP(-LN(2)/35))/(LN(2)/35)*V43*W43*VLOOKUP('Données projet'!$B$9,Paramètres!$A$1:$I$89,3,0)*0.475*44/12</f>
        <v>43.432020049624882</v>
      </c>
      <c r="AA43" s="21">
        <f>EXP(-LN(2)/25)*AA42+(1-EXP(-LN(2)/25))/(LN(2)/25)*Calculateur!V43*Calculateur!X43*VLOOKUP('Données projet'!$B$9,Paramètres!$A$1:$I$89,3,0)*0.475*44/12</f>
        <v>12.195777684258537</v>
      </c>
      <c r="AB43" s="21">
        <f>EXP(-LN(2)/2)*AB42+(1-EXP(-LN(2)/2))/(LN(2)/2)*V43*Y43*VLOOKUP('Données projet'!$B$9,Paramètres!$A$1:$I$89,3,0)*0.475*44/12</f>
        <v>3.7860693550391966</v>
      </c>
      <c r="AC43" s="22">
        <f t="shared" si="3"/>
        <v>59.413867088922615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9</v>
      </c>
      <c r="AI43" s="13">
        <f>IF('Données projet'!$A$62&gt;35,AI42+AH43-AQ42,IF(A43&lt;'Données projet'!$A$62,$AF$205^A43,IF(A43='Données projet'!$A$62,'Données projet'!$B$62,AI42+AH43-AQ42)))</f>
        <v>130.00000000000009</v>
      </c>
      <c r="AJ43" s="13">
        <f>AI43*VLOOKUP('Données projet'!$B$10,Paramètres!$A$1:$I$89,3,0)*VLOOKUP('Données projet'!$B$10,Paramètres!$A$1:$I$89,5,0)</f>
        <v>117.62400000000008</v>
      </c>
      <c r="AK43" s="13">
        <f t="shared" si="35"/>
        <v>31.120192961985413</v>
      </c>
      <c r="AL43" s="20">
        <f t="shared" si="4"/>
        <v>259.0628027421248</v>
      </c>
      <c r="AM43" s="59">
        <f t="shared" si="5"/>
        <v>552.39613607545812</v>
      </c>
      <c r="AN43" s="59">
        <f ca="1">AVERAGE(OFFSET($AM$3,0,0,'Données projet'!$E$10+1,1))-AVERAGE(OFFSET($H$3,0,0,'Données projet'!$E$10+1,1))</f>
        <v>215.7418266360167</v>
      </c>
      <c r="AO43" s="59">
        <f t="shared" si="36"/>
        <v>155.78420008229949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2.6904761904761907</v>
      </c>
      <c r="BD43" s="12">
        <f>IF('Données projet'!$A$88&gt;35,BD42+BC43-BL42,IF(A43&lt;'Données projet'!$A$88,$BA$205^A43,IF(A43='Données projet'!$A$88,'Données projet'!$B$88,BD42+BC43-BL42)))</f>
        <v>107.61904761904761</v>
      </c>
      <c r="BE43" s="13">
        <f>BD43*VLOOKUP('Données projet'!$B$11,Paramètres!$A$1:$I$89,3,0)*VLOOKUP('Données projet'!$B$11,Paramètres!$A$1:$I$89,5,0)</f>
        <v>109.12571428571428</v>
      </c>
      <c r="BF43" s="13">
        <f t="shared" si="37"/>
        <v>29.124900470596057</v>
      </c>
      <c r="BG43" s="20">
        <f t="shared" si="7"/>
        <v>240.78648736724048</v>
      </c>
      <c r="BH43" s="59">
        <f t="shared" si="8"/>
        <v>534.11982070057377</v>
      </c>
      <c r="BI43" s="59">
        <f ca="1">AVERAGE(OFFSET($BH$3,0,0,'Données projet'!$E$11+1,1))-AVERAGE(OFFSET($H$3,0,0,'Données projet'!$E$11+1,1))</f>
        <v>179.53921263314447</v>
      </c>
      <c r="BJ43" s="59">
        <f t="shared" si="38"/>
        <v>120.81513023281337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312.72222222222223</v>
      </c>
      <c r="BW43" s="12">
        <f>VLOOKUP(A43,'Données projet'!$A$113:$I$133,9,0)</f>
        <v>12.545555555555557</v>
      </c>
      <c r="BX43" s="12">
        <f t="array" ref="BX43">INDEX(BW:BW,MIN(IF(ISNUMBER(BW43:BW239),ROW(BW43:BW239),"")))</f>
        <v>12.545555555555557</v>
      </c>
      <c r="BY43" s="12">
        <f>IF('Données projet'!$A$114&gt;35,BY42+BX43-CG42,IF(A43&lt;'Données projet'!$A$114,$BV$205^A43,IF(A43='Données projet'!$A$114,'Données projet'!$B$114,BY42+BX43-CG42)))</f>
        <v>312.72222222222211</v>
      </c>
      <c r="BZ43" s="13">
        <f>BY43*VLOOKUP('Données projet'!$B$12,Paramètres!$A$1:$I$89,3,0)*VLOOKUP('Données projet'!$B$12,Paramètres!$A$1:$I$89,5,0)</f>
        <v>146.35399999999996</v>
      </c>
      <c r="CA43" s="13">
        <f t="shared" si="39"/>
        <v>37.748836166873346</v>
      </c>
      <c r="CB43" s="20">
        <f t="shared" si="10"/>
        <v>320.64577299063768</v>
      </c>
      <c r="CC43" s="59">
        <f t="shared" si="11"/>
        <v>613.979106323971</v>
      </c>
      <c r="CD43" s="59">
        <f ca="1">AVERAGE(OFFSET($CC$3,0,0,'Données projet'!$E$12+1,1))-AVERAGE(OFFSET($H$3,0,0,'Données projet'!$E$12+1,1))</f>
        <v>310.06530483941287</v>
      </c>
      <c r="CE43" s="59">
        <f t="shared" si="40"/>
        <v>170.13425794309376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52.26666666666668</v>
      </c>
      <c r="CH43" s="16">
        <f>IF(ISNA(VLOOKUP(A43,'Données projet'!$A$113:$I$133,5,0)),0%,VLOOKUP(A43,'Données projet'!$A$113:$I$133,5,0)*VLOOKUP('Données projet'!$B$12,Paramètres!$A$1:$I$89,7,0))</f>
        <v>0.38500000000000001</v>
      </c>
      <c r="CI43" s="16">
        <f>IF(ISNA(VLOOKUP(A43,'Données projet'!$A$113:$I$133,6,0)),0%,VLOOKUP(A43,'Données projet'!$A$113:$I$133,6,0)*VLOOKUP('Données projet'!$B$12,Paramètres!$A$1:$I$89,7,0))</f>
        <v>9.240000000000001E-2</v>
      </c>
      <c r="CJ43" s="16">
        <f>IF(ISNA(VLOOKUP(A43,'Données projet'!$A$113:$I$133,7,0)),0%,VLOOKUP(A43,'Données projet'!$A$113:$I$133,7,0))</f>
        <v>0.13200000000000001</v>
      </c>
      <c r="CK43" s="21">
        <f>EXP(-LN(2)/35)*CK42+(1-EXP(-LN(2)/35))/(LN(2)/35)*CG43*CH43*VLOOKUP('Données projet'!$B$12,Paramètres!$A$1:$I$89,3,0)*0.475*44/12</f>
        <v>19.629996836246111</v>
      </c>
      <c r="CL43" s="21">
        <f>EXP(-LN(2)/25)*CL42+(1-EXP(-LN(2)/25))/(LN(2)/25)*Calculateur!CG43*Calculateur!CI43*VLOOKUP('Données projet'!$B$12,Paramètres!$A$1:$I$89,3,0)*0.475*44/12</f>
        <v>8.0195090476671691</v>
      </c>
      <c r="CM43" s="21">
        <f>EXP(-LN(2)/2)*CM42+(1-EXP(-LN(2)/2))/(LN(2)/2)*CG43*CJ43*VLOOKUP('Données projet'!$B$12,Paramètres!$A$1:$I$89,3,0)*0.475*44/12</f>
        <v>3.7425376582930654</v>
      </c>
      <c r="CN43" s="22">
        <f t="shared" si="12"/>
        <v>31.392043542206345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275</v>
      </c>
      <c r="CR43" s="12">
        <f>VLOOKUP(A43,'Données projet'!$A$139:$I$159,9,0)</f>
        <v>12.833333333333334</v>
      </c>
      <c r="CS43" s="12">
        <f t="array" ref="CS43">INDEX(CR:CR,MIN(IF(ISNUMBER(CR43:CR239),ROW(CR43:CR239),"")))</f>
        <v>12.833333333333334</v>
      </c>
      <c r="CT43" s="12">
        <f>IF('Données projet'!$A$140&gt;35,CT42+CS43-DB42,IF(A43&lt;'Données projet'!$A$140,$CQ$205^A43,IF(A43='Données projet'!$A$140,'Données projet'!$B$140,CT42+CS43-DB42)))</f>
        <v>275.00000000000006</v>
      </c>
      <c r="CU43" s="17">
        <f>CT43*VLOOKUP('Données projet'!$B$13,Paramètres!$A$1:$I$89,3,0)*VLOOKUP('Données projet'!$B$13,Paramètres!$A$1:$I$89,5,0)</f>
        <v>164.45000000000005</v>
      </c>
      <c r="CV43" s="13">
        <f t="shared" si="41"/>
        <v>41.844617207687371</v>
      </c>
      <c r="CW43" s="20">
        <f t="shared" si="13"/>
        <v>359.29645830338887</v>
      </c>
      <c r="CX43" s="59">
        <f t="shared" si="14"/>
        <v>652.62979163672219</v>
      </c>
      <c r="CY43" s="59">
        <f ca="1">AVERAGE(OFFSET($CX$3,0,0,'Données projet'!$E$13+1,1))-AVERAGE(OFFSET($H$3,0,0,'Données projet'!$E$13+1,1))</f>
        <v>168.08890945052406</v>
      </c>
      <c r="CZ43" s="59">
        <f t="shared" si="42"/>
        <v>182.52462557642343</v>
      </c>
      <c r="DA43" s="15">
        <f>IF(ISNA(VLOOKUP(A43,'Données projet'!$A$139:$I$159,3,0)),0,VLOOKUP(A43,'Données projet'!$A$139:$I$159,3,0))</f>
        <v>6</v>
      </c>
      <c r="DB43" s="15">
        <f>IF(ISNA(VLOOKUP(A43,'Données projet'!$A$139:$I$159,4,0)),0,VLOOKUP(A43,'Données projet'!$A$139:$I$159,4,0))</f>
        <v>41</v>
      </c>
      <c r="DC43" s="16">
        <f>IF(ISNA(VLOOKUP(A43,'Données projet'!$A$139:$I$159,5,0)),0%,VLOOKUP(A43,'Données projet'!$A$139:$I$159,5,0)*VLOOKUP('Données projet'!$B$13,Paramètres!$A$1:$I$89,7,0))</f>
        <v>0.315</v>
      </c>
      <c r="DD43" s="16">
        <f>IF(ISNA(VLOOKUP(A43,'Données projet'!$A$139:$I$159,6,0)),0%,VLOOKUP(A43,'Données projet'!$A$139:$I$159,6,0)*VLOOKUP('Données projet'!$B$13,Paramètres!$A$1:$I$89,7,0))</f>
        <v>7.5600000000000001E-2</v>
      </c>
      <c r="DE43" s="16">
        <f>IF(ISNA(VLOOKUP(A43,'Données projet'!$A$139:$I$159,7,0)),0%,VLOOKUP(A43,'Données projet'!$A$139:$I$159,7,0))</f>
        <v>0.13200000000000001</v>
      </c>
      <c r="DF43" s="21">
        <f>EXP(-LN(2)/35)*DF42+(1-EXP(-LN(2)/35))/(LN(2)/35)*DB43*DC43*VLOOKUP('Données projet'!$B$13,Paramètres!$A$1:$I$89,3,0)*0.475*44/12</f>
        <v>32.990881547507016</v>
      </c>
      <c r="DG43" s="21">
        <f>EXP(-LN(2)/25)*DG42+(1-EXP(-LN(2)/25))/(LN(2)/25)*Calculateur!DB43*Calculateur!DD43*VLOOKUP('Données projet'!$B$13,Paramètres!$A$1:$I$89,3,0)*0.475*44/12</f>
        <v>11.514723570567275</v>
      </c>
      <c r="DH43" s="21">
        <f>EXP(-LN(2)/2)*DH42+(1-EXP(-LN(2)/2))/(LN(2)/2)*DB43*DE43*VLOOKUP('Données projet'!$B$13,Paramètres!$A$1:$I$89,3,0)*0.475*44/12</f>
        <v>4.2454197221284753</v>
      </c>
      <c r="DI43" s="22">
        <f t="shared" si="15"/>
        <v>48.751024840202767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564</v>
      </c>
      <c r="DM43" s="12">
        <f>VLOOKUP(A43,'Données projet'!$A$165:$I$185,9,0)</f>
        <v>25.6</v>
      </c>
      <c r="DN43" s="12">
        <f t="array" ref="DN43">INDEX(DM:DM,MIN(IF(ISNUMBER(DM43:DM239),ROW(DM43:DM239),"")))</f>
        <v>25.6</v>
      </c>
      <c r="DO43" s="12">
        <f>IF('Données projet'!$A$166&gt;35,DO42+DN43-DW42,IF(A43&lt;'Données projet'!$A$166,$DL$205^A43,IF(A43='Données projet'!$A$166,'Données projet'!$B$166,DO42+DN43-DW42)))</f>
        <v>564.00000000000023</v>
      </c>
      <c r="DP43" s="17">
        <f>DO43*VLOOKUP('Données projet'!$B$14,Paramètres!$A$1:$I$89,3,0)*VLOOKUP('Données projet'!$B$14,Paramètres!$A$1:$I$89,5,0)</f>
        <v>315.27600000000012</v>
      </c>
      <c r="DQ43" s="13">
        <f t="shared" si="43"/>
        <v>74.36958441265493</v>
      </c>
      <c r="DR43" s="20">
        <f t="shared" si="16"/>
        <v>678.63272618537417</v>
      </c>
      <c r="DS43" s="59">
        <f t="shared" si="17"/>
        <v>971.96605951870743</v>
      </c>
      <c r="DT43" s="59">
        <f ca="1">AVERAGE(OFFSET($DS$3,0,0,'Données projet'!$E$14+1,1))-AVERAGE(OFFSET($H$3,0,0,'Données projet'!$E$14+1,1))</f>
        <v>355.23615781077405</v>
      </c>
      <c r="DU43" s="59">
        <f t="shared" si="44"/>
        <v>448.84541017639367</v>
      </c>
      <c r="DV43" s="15">
        <f>IF(ISNA(VLOOKUP(A43,'Données projet'!$A$165:$I$185,3,0)),0,VLOOKUP(A43,'Données projet'!$A$165:$I$185,3,0))</f>
        <v>4</v>
      </c>
      <c r="DW43" s="15">
        <f>IF(ISNA(VLOOKUP(A43,'Données projet'!$A$165:$I$185,4,0)),0,VLOOKUP(A43,'Données projet'!$A$165:$I$185,4,0))</f>
        <v>72</v>
      </c>
      <c r="DX43" s="16">
        <f>IF(ISNA(VLOOKUP(A43,'Données projet'!$A$165:$I$185,5,0)),0%,VLOOKUP(A43,'Données projet'!$A$165:$I$185,5,0)*VLOOKUP('Données projet'!$B$14,Paramètres!$A$1:$I$89,7,0))</f>
        <v>0.38500000000000001</v>
      </c>
      <c r="DY43" s="16">
        <f>IF(ISNA(VLOOKUP(A43,'Données projet'!$A$165:$I$185,6,0)),0%,VLOOKUP(A43,'Données projet'!$A$165:$I$185,6,0)*VLOOKUP('Données projet'!$B$14,Paramètres!$A$1:$I$89,7,0))</f>
        <v>9.240000000000001E-2</v>
      </c>
      <c r="DZ43" s="16">
        <f>IF(ISNA(VLOOKUP(A43,'Données projet'!$A$165:$I$185,7,0)),0%,VLOOKUP(A43,'Données projet'!$A$165:$I$185,7,0))</f>
        <v>0.13200000000000001</v>
      </c>
      <c r="EA43" s="21">
        <f>EXP(-LN(2)/35)*EA42+(1-EXP(-LN(2)/35))/(LN(2)/35)*DW43*DX43*VLOOKUP('Données projet'!$B$14,Paramètres!$A$1:$I$89,3,0)*0.475*44/12</f>
        <v>51.044800118410159</v>
      </c>
      <c r="EB43" s="21">
        <f>EXP(-LN(2)/25)*EB42+(1-EXP(-LN(2)/25))/(LN(2)/25)*Calculateur!DW43*Calculateur!DY43*VLOOKUP('Données projet'!$B$14,Paramètres!$A$1:$I$89,3,0)*0.475*44/12</f>
        <v>19.911626470563256</v>
      </c>
      <c r="EC43" s="21">
        <f>EXP(-LN(2)/2)*EC42+(1-EXP(-LN(2)/2))/(LN(2)/2)*DW43*DZ43*VLOOKUP('Données projet'!$B$14,Paramètres!$A$1:$I$89,3,0)*0.475*44/12</f>
        <v>7.2583581798465104</v>
      </c>
      <c r="ED43" s="22">
        <f t="shared" si="18"/>
        <v>78.214784768819925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2.1523809523809527</v>
      </c>
      <c r="EJ43" s="12">
        <f>IF('Données projet'!$A$192&gt;35,EJ42+EI43-ER42,IF(A43&lt;'Données projet'!$A$192,$EG$205^A43,IF(A43='Données projet'!$A$192,'Données projet'!$B$192,EJ42+EI43-ER42)))</f>
        <v>86.095238095238088</v>
      </c>
      <c r="EK43" s="17">
        <f>EJ43*VLOOKUP('Données projet'!$B$15,Paramètres!$A$1:$I$89,3,0)*VLOOKUP('Données projet'!$B$15,Paramètres!$A$1:$I$89,5,0)</f>
        <v>92.67291428571427</v>
      </c>
      <c r="EL43" s="13">
        <f t="shared" si="45"/>
        <v>25.208765426011194</v>
      </c>
      <c r="EM43" s="20">
        <f t="shared" si="19"/>
        <v>205.31059216458854</v>
      </c>
      <c r="EN43" s="59">
        <f t="shared" si="20"/>
        <v>498.64392549792183</v>
      </c>
      <c r="EO43" s="59">
        <f ca="1">AVERAGE(OFFSET($EN$3,0,0,'Données projet'!$E$15+1,1))-AVERAGE(OFFSET($H$3,0,0,'Données projet'!$E$15+1,1))</f>
        <v>130.76477588601989</v>
      </c>
      <c r="EP43" s="59">
        <f t="shared" si="46"/>
        <v>94.034011511502172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564</v>
      </c>
      <c r="FC43" s="12">
        <f>VLOOKUP(A43,'Données projet'!$A$217:$I$237,9,0)</f>
        <v>25.6</v>
      </c>
      <c r="FD43" s="12">
        <f t="array" ref="FD43">INDEX(FC:FC,MIN(IF(ISNUMBER(FC43:FC239),ROW(FC43:FC239),"")))</f>
        <v>25.6</v>
      </c>
      <c r="FE43" s="12">
        <f>IF('Données projet'!$A$218&gt;35,FE42+FD43-FM42,IF(A43&lt;'Données projet'!$A$218,$FB$205^A43,IF(A43='Données projet'!$A$218,'Données projet'!$B$218,FE42+FD43-FM42)))</f>
        <v>564.00000000000023</v>
      </c>
      <c r="FF43" s="17">
        <f>FE43*VLOOKUP('Données projet'!$B$16,Paramètres!$A$1:$I$89,3,0)*VLOOKUP('Données projet'!$B$16,Paramètres!$A$1:$I$89,5,0)</f>
        <v>256.62000000000012</v>
      </c>
      <c r="FG43" s="13">
        <f t="shared" si="47"/>
        <v>62.001350774926571</v>
      </c>
      <c r="FH43" s="20">
        <f t="shared" si="22"/>
        <v>554.9321859329973</v>
      </c>
      <c r="FI43" s="59">
        <f t="shared" si="23"/>
        <v>848.26551926633056</v>
      </c>
      <c r="FJ43" s="59">
        <f ca="1">AVERAGE(OFFSET($FI$3,0,0,'Données projet'!$E$16+1,1))-AVERAGE(OFFSET($H$3,0,0,'Données projet'!$E$16+1,1))</f>
        <v>279.43442619866738</v>
      </c>
      <c r="FK43" s="59">
        <f t="shared" si="48"/>
        <v>355.95192241448217</v>
      </c>
      <c r="FL43" s="15">
        <f>IF(ISNA(VLOOKUP(A43,'Données projet'!$A$217:$I$237,3,0)),0,VLOOKUP(A43,'Données projet'!$A$217:$I$237,3,0))</f>
        <v>4</v>
      </c>
      <c r="FM43" s="15">
        <f>IF(ISNA(VLOOKUP(A43,'Données projet'!$A$217:$I$237,4,0)),0,VLOOKUP(A43,'Données projet'!$A$217:$I$237,4,0))</f>
        <v>72</v>
      </c>
      <c r="FN43" s="16">
        <f>IF(ISNA(VLOOKUP(A43,'Données projet'!$A$217:$I$237,5,0)),0%,VLOOKUP(A43,'Données projet'!$A$217:$I$237,5,0)*VLOOKUP('Données projet'!$B$16,Paramètres!$A$1:$I$89,7,0))</f>
        <v>0.38500000000000001</v>
      </c>
      <c r="FO43" s="16">
        <f>IF(ISNA(VLOOKUP(A43,'Données projet'!$A$217:$I$237,6,0)),0%,VLOOKUP(A43,'Données projet'!$A$217:$I$237,6,0)*VLOOKUP('Données projet'!$B$16,Paramètres!$A$1:$I$89,7,0))</f>
        <v>9.240000000000001E-2</v>
      </c>
      <c r="FP43" s="16">
        <f>IF(ISNA(VLOOKUP(A43,'Données projet'!$A$217:$I$237,7,0)),0%,VLOOKUP(A43,'Données projet'!$A$217:$I$237,7,0))</f>
        <v>0.13200000000000001</v>
      </c>
      <c r="FQ43" s="21">
        <f>EXP(-LN(2)/35)*FQ42+(1-EXP(-LN(2)/35))/(LN(2)/35)*FM43*FN43*VLOOKUP('Données projet'!$B$16,Paramètres!$A$1:$I$89,3,0)*0.475*44/12</f>
        <v>41.548093119636164</v>
      </c>
      <c r="FR43" s="21">
        <f>EXP(-LN(2)/25)*FR42+(1-EXP(-LN(2)/25))/(LN(2)/25)*Calculateur!FM43*Calculateur!FO43*VLOOKUP('Données projet'!$B$16,Paramètres!$A$1:$I$89,3,0)*0.475*44/12</f>
        <v>16.207137824877069</v>
      </c>
      <c r="FS43" s="21">
        <f>EXP(-LN(2)/2)*FS42+(1-EXP(-LN(2)/2))/(LN(2)/2)*FM43*FP43*VLOOKUP('Données projet'!$B$16,Paramètres!$A$1:$I$89,3,0)*0.475*44/12</f>
        <v>5.9079659603401851</v>
      </c>
      <c r="FT43" s="22">
        <f t="shared" si="24"/>
        <v>63.663196904853415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</v>
      </c>
      <c r="N44" s="13">
        <f>IF('Données projet'!$A$36&gt;35,N43+M44-V43,IF(A44&lt;'Données projet'!$A$36,$K$205^A44,IF(A44='Données projet'!$A$36,'Données projet'!$B$36,N43+M44-V43)))</f>
        <v>309.99999999999989</v>
      </c>
      <c r="O44" s="13">
        <f>N44*VLOOKUP('Données projet'!$B$9,Paramètres!$A$1:$I$89,3,0)*VLOOKUP('Données projet'!$B$9,Paramètres!$A$1:$I$89,5,0)</f>
        <v>185.37999999999997</v>
      </c>
      <c r="P44" s="13">
        <f t="shared" si="33"/>
        <v>46.517077709312211</v>
      </c>
      <c r="Q44" s="20">
        <f t="shared" si="53"/>
        <v>403.88741034371873</v>
      </c>
      <c r="R44" s="59">
        <f t="shared" si="0"/>
        <v>697.22074367705204</v>
      </c>
      <c r="S44" s="59">
        <f ca="1">AVERAGE(OFFSET($R$3,0,0,'Données projet'!$E$9+1,1))-AVERAGE(OFFSET($H$3,0,0,'Données projet'!$E$9+1,1))</f>
        <v>227.89848316900191</v>
      </c>
      <c r="T44" s="59">
        <f t="shared" si="34"/>
        <v>239.85955661394541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42.580344627368206</v>
      </c>
      <c r="AA44" s="21">
        <f>EXP(-LN(2)/25)*AA43+(1-EXP(-LN(2)/25))/(LN(2)/25)*Calculateur!V44*Calculateur!X44*VLOOKUP('Données projet'!$B$9,Paramètres!$A$1:$I$89,3,0)*0.475*44/12</f>
        <v>11.862283502134414</v>
      </c>
      <c r="AB44" s="21">
        <f>EXP(-LN(2)/2)*AB43+(1-EXP(-LN(2)/2))/(LN(2)/2)*V44*Y44*VLOOKUP('Données projet'!$B$9,Paramètres!$A$1:$I$89,3,0)*0.475*44/12</f>
        <v>2.6771553149907943</v>
      </c>
      <c r="AC44" s="22">
        <f t="shared" si="3"/>
        <v>57.119783444493414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9</v>
      </c>
      <c r="AI44" s="13">
        <f>IF('Données projet'!$A$62&gt;35,AI43+AH44-AQ43,IF(A44&lt;'Données projet'!$A$62,$AF$205^A44,IF(A44='Données projet'!$A$62,'Données projet'!$B$62,AI43+AH44-AQ43)))</f>
        <v>139.00000000000009</v>
      </c>
      <c r="AJ44" s="13">
        <f>AI44*VLOOKUP('Données projet'!$B$10,Paramètres!$A$1:$I$89,3,0)*VLOOKUP('Données projet'!$B$10,Paramètres!$A$1:$I$89,5,0)</f>
        <v>125.76720000000007</v>
      </c>
      <c r="AK44" s="13">
        <f t="shared" si="35"/>
        <v>33.016407232101997</v>
      </c>
      <c r="AL44" s="20">
        <f t="shared" si="4"/>
        <v>276.54811592924443</v>
      </c>
      <c r="AM44" s="59">
        <f t="shared" si="5"/>
        <v>569.88144926257769</v>
      </c>
      <c r="AN44" s="59">
        <f ca="1">AVERAGE(OFFSET($AM$3,0,0,'Données projet'!$E$10+1,1))-AVERAGE(OFFSET($H$3,0,0,'Données projet'!$E$10+1,1))</f>
        <v>215.7418266360167</v>
      </c>
      <c r="AO44" s="59">
        <f t="shared" si="36"/>
        <v>155.78420008229949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2.6904761904761907</v>
      </c>
      <c r="BD44" s="12">
        <f>IF('Données projet'!$A$88&gt;35,BD43+BC44-BL43,IF(A44&lt;'Données projet'!$A$88,$BA$205^A44,IF(A44='Données projet'!$A$88,'Données projet'!$B$88,BD43+BC44-BL43)))</f>
        <v>110.3095238095238</v>
      </c>
      <c r="BE44" s="13">
        <f>BD44*VLOOKUP('Données projet'!$B$11,Paramètres!$A$1:$I$89,3,0)*VLOOKUP('Données projet'!$B$11,Paramètres!$A$1:$I$89,5,0)</f>
        <v>111.85385714285715</v>
      </c>
      <c r="BF44" s="13">
        <f t="shared" si="37"/>
        <v>29.767342015458599</v>
      </c>
      <c r="BG44" s="20">
        <f t="shared" si="7"/>
        <v>246.65692186739997</v>
      </c>
      <c r="BH44" s="59">
        <f t="shared" si="8"/>
        <v>539.99025520073326</v>
      </c>
      <c r="BI44" s="59">
        <f ca="1">AVERAGE(OFFSET($BH$3,0,0,'Données projet'!$E$11+1,1))-AVERAGE(OFFSET($H$3,0,0,'Données projet'!$E$11+1,1))</f>
        <v>179.53921263314447</v>
      </c>
      <c r="BJ44" s="59">
        <f t="shared" si="38"/>
        <v>120.81513023281337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15.242407407407409</v>
      </c>
      <c r="BY44" s="12">
        <f>IF('Données projet'!$A$114&gt;35,BY43+BX44-CG43,IF(A44&lt;'Données projet'!$A$114,$BV$205^A44,IF(A44='Données projet'!$A$114,'Données projet'!$B$114,BY43+BX44-CG43)))</f>
        <v>275.69796296296283</v>
      </c>
      <c r="BZ44" s="13">
        <f>BY44*VLOOKUP('Données projet'!$B$12,Paramètres!$A$1:$I$89,3,0)*VLOOKUP('Données projet'!$B$12,Paramètres!$A$1:$I$89,5,0)</f>
        <v>129.02664666666661</v>
      </c>
      <c r="CA44" s="13">
        <f t="shared" si="39"/>
        <v>33.771347672322982</v>
      </c>
      <c r="CB44" s="20">
        <f t="shared" si="10"/>
        <v>283.53984014040685</v>
      </c>
      <c r="CC44" s="59">
        <f t="shared" si="11"/>
        <v>576.87317347374017</v>
      </c>
      <c r="CD44" s="59">
        <f ca="1">AVERAGE(OFFSET($CC$3,0,0,'Données projet'!$E$12+1,1))-AVERAGE(OFFSET($H$3,0,0,'Données projet'!$E$12+1,1))</f>
        <v>310.06530483941287</v>
      </c>
      <c r="CE44" s="59">
        <f t="shared" si="40"/>
        <v>170.13425794309376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19.245064571403148</v>
      </c>
      <c r="CL44" s="21">
        <f>EXP(-LN(2)/25)*CL43+(1-EXP(-LN(2)/25))/(LN(2)/25)*Calculateur!CG44*Calculateur!CI44*VLOOKUP('Données projet'!$B$12,Paramètres!$A$1:$I$89,3,0)*0.475*44/12</f>
        <v>7.8002151510310584</v>
      </c>
      <c r="CM44" s="21">
        <f>EXP(-LN(2)/2)*CM43+(1-EXP(-LN(2)/2))/(LN(2)/2)*CG44*CJ44*VLOOKUP('Données projet'!$B$12,Paramètres!$A$1:$I$89,3,0)*0.475*44/12</f>
        <v>2.646373757025049</v>
      </c>
      <c r="CN44" s="22">
        <f t="shared" si="12"/>
        <v>29.691653479459255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9.8333333333333339</v>
      </c>
      <c r="CT44" s="12">
        <f>IF('Données projet'!$A$140&gt;35,CT43+CS44-DB43,IF(A44&lt;'Données projet'!$A$140,$CQ$205^A44,IF(A44='Données projet'!$A$140,'Données projet'!$B$140,CT43+CS44-DB43)))</f>
        <v>243.83333333333337</v>
      </c>
      <c r="CU44" s="17">
        <f>CT44*VLOOKUP('Données projet'!$B$13,Paramètres!$A$1:$I$89,3,0)*VLOOKUP('Données projet'!$B$13,Paramètres!$A$1:$I$89,5,0)</f>
        <v>145.81233333333336</v>
      </c>
      <c r="CV44" s="13">
        <f t="shared" si="41"/>
        <v>37.625360763194948</v>
      </c>
      <c r="CW44" s="20">
        <f t="shared" si="13"/>
        <v>319.4873172181201</v>
      </c>
      <c r="CX44" s="59">
        <f t="shared" si="14"/>
        <v>612.82065055145335</v>
      </c>
      <c r="CY44" s="59">
        <f ca="1">AVERAGE(OFFSET($CX$3,0,0,'Données projet'!$E$13+1,1))-AVERAGE(OFFSET($H$3,0,0,'Données projet'!$E$13+1,1))</f>
        <v>168.08890945052406</v>
      </c>
      <c r="CZ44" s="59">
        <f t="shared" si="42"/>
        <v>182.52462557642343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32.343950482811223</v>
      </c>
      <c r="DG44" s="21">
        <f>EXP(-LN(2)/25)*DG43+(1-EXP(-LN(2)/25))/(LN(2)/25)*Calculateur!DB44*Calculateur!DD44*VLOOKUP('Données projet'!$B$13,Paramètres!$A$1:$I$89,3,0)*0.475*44/12</f>
        <v>11.199852848997118</v>
      </c>
      <c r="DH44" s="21">
        <f>EXP(-LN(2)/2)*DH43+(1-EXP(-LN(2)/2))/(LN(2)/2)*DB44*DE44*VLOOKUP('Données projet'!$B$13,Paramètres!$A$1:$I$89,3,0)*0.475*44/12</f>
        <v>3.0019650745001534</v>
      </c>
      <c r="DI44" s="22">
        <f t="shared" si="15"/>
        <v>46.545768406308497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22.8</v>
      </c>
      <c r="DO44" s="12">
        <f>IF('Données projet'!$A$166&gt;35,DO43+DN44-DW43,IF(A44&lt;'Données projet'!$A$166,$DL$205^A44,IF(A44='Données projet'!$A$166,'Données projet'!$B$166,DO43+DN44-DW43)))</f>
        <v>514.80000000000018</v>
      </c>
      <c r="DP44" s="17">
        <f>DO44*VLOOKUP('Données projet'!$B$14,Paramètres!$A$1:$I$89,3,0)*VLOOKUP('Données projet'!$B$14,Paramètres!$A$1:$I$89,5,0)</f>
        <v>287.77320000000009</v>
      </c>
      <c r="DQ44" s="13">
        <f t="shared" si="43"/>
        <v>68.607082381743922</v>
      </c>
      <c r="DR44" s="20">
        <f t="shared" si="16"/>
        <v>620.69565848153741</v>
      </c>
      <c r="DS44" s="59">
        <f t="shared" si="17"/>
        <v>914.02899181487078</v>
      </c>
      <c r="DT44" s="59">
        <f ca="1">AVERAGE(OFFSET($DS$3,0,0,'Données projet'!$E$14+1,1))-AVERAGE(OFFSET($H$3,0,0,'Données projet'!$E$14+1,1))</f>
        <v>355.23615781077405</v>
      </c>
      <c r="DU44" s="59">
        <f t="shared" si="44"/>
        <v>448.84541017639367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50.043842722341957</v>
      </c>
      <c r="EB44" s="21">
        <f>EXP(-LN(2)/25)*EB43+(1-EXP(-LN(2)/25))/(LN(2)/25)*Calculateur!DW44*Calculateur!DY44*VLOOKUP('Données projet'!$B$14,Paramètres!$A$1:$I$89,3,0)*0.475*44/12</f>
        <v>19.367141997618777</v>
      </c>
      <c r="EC44" s="21">
        <f>EXP(-LN(2)/2)*EC43+(1-EXP(-LN(2)/2))/(LN(2)/2)*DW44*DZ44*VLOOKUP('Données projet'!$B$14,Paramètres!$A$1:$I$89,3,0)*0.475*44/12</f>
        <v>5.1324342892503143</v>
      </c>
      <c r="ED44" s="22">
        <f t="shared" si="18"/>
        <v>74.54341900921105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2.1523809523809527</v>
      </c>
      <c r="EJ44" s="12">
        <f>IF('Données projet'!$A$192&gt;35,EJ43+EI44-ER43,IF(A44&lt;'Données projet'!$A$192,$EG$205^A44,IF(A44='Données projet'!$A$192,'Données projet'!$B$192,EJ43+EI44-ER43)))</f>
        <v>88.24761904761904</v>
      </c>
      <c r="EK44" s="17">
        <f>EJ44*VLOOKUP('Données projet'!$B$15,Paramètres!$A$1:$I$89,3,0)*VLOOKUP('Données projet'!$B$15,Paramètres!$A$1:$I$89,5,0)</f>
        <v>94.989737142857123</v>
      </c>
      <c r="EL44" s="13">
        <f t="shared" si="45"/>
        <v>25.764824260296784</v>
      </c>
      <c r="EM44" s="20">
        <f t="shared" si="19"/>
        <v>210.31419444382638</v>
      </c>
      <c r="EN44" s="59">
        <f t="shared" si="20"/>
        <v>503.64752777715967</v>
      </c>
      <c r="EO44" s="59">
        <f ca="1">AVERAGE(OFFSET($EN$3,0,0,'Données projet'!$E$15+1,1))-AVERAGE(OFFSET($H$3,0,0,'Données projet'!$E$15+1,1))</f>
        <v>130.76477588601989</v>
      </c>
      <c r="EP44" s="59">
        <f t="shared" si="46"/>
        <v>94.034011511502172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22.8</v>
      </c>
      <c r="FE44" s="12">
        <f>IF('Données projet'!$A$218&gt;35,FE43+FD44-FM43,IF(A44&lt;'Données projet'!$A$218,$FB$205^A44,IF(A44='Données projet'!$A$218,'Données projet'!$B$218,FE43+FD44-FM43)))</f>
        <v>514.80000000000018</v>
      </c>
      <c r="FF44" s="17">
        <f>FE44*VLOOKUP('Données projet'!$B$16,Paramètres!$A$1:$I$89,3,0)*VLOOKUP('Données projet'!$B$16,Paramètres!$A$1:$I$89,5,0)</f>
        <v>234.23400000000009</v>
      </c>
      <c r="FG44" s="13">
        <f t="shared" si="47"/>
        <v>57.197197133603488</v>
      </c>
      <c r="FH44" s="20">
        <f t="shared" si="22"/>
        <v>507.57600167435953</v>
      </c>
      <c r="FI44" s="59">
        <f t="shared" si="23"/>
        <v>800.90933500769279</v>
      </c>
      <c r="FJ44" s="59">
        <f ca="1">AVERAGE(OFFSET($FI$3,0,0,'Données projet'!$E$16+1,1))-AVERAGE(OFFSET($H$3,0,0,'Données projet'!$E$16+1,1))</f>
        <v>279.43442619866738</v>
      </c>
      <c r="FK44" s="59">
        <f t="shared" si="48"/>
        <v>355.95192241448217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40.733360355394602</v>
      </c>
      <c r="FR44" s="21">
        <f>EXP(-LN(2)/25)*FR43+(1-EXP(-LN(2)/25))/(LN(2)/25)*Calculateur!FM44*Calculateur!FO44*VLOOKUP('Données projet'!$B$16,Paramètres!$A$1:$I$89,3,0)*0.475*44/12</f>
        <v>15.76395278875947</v>
      </c>
      <c r="FS44" s="21">
        <f>EXP(-LN(2)/2)*FS43+(1-EXP(-LN(2)/2))/(LN(2)/2)*FM44*FP44*VLOOKUP('Données projet'!$B$16,Paramètres!$A$1:$I$89,3,0)*0.475*44/12</f>
        <v>4.1775627935758388</v>
      </c>
      <c r="FT44" s="22">
        <f t="shared" si="24"/>
        <v>60.674875937729908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</v>
      </c>
      <c r="N45" s="13">
        <f>IF('Données projet'!$A$36&gt;35,N44+M45-V44,IF(A45&lt;'Données projet'!$A$36,$K$205^A45,IF(A45='Données projet'!$A$36,'Données projet'!$B$36,N44+M45-V44)))</f>
        <v>320.99999999999989</v>
      </c>
      <c r="O45" s="13">
        <f>N45*VLOOKUP('Données projet'!$B$9,Paramètres!$A$1:$I$89,3,0)*VLOOKUP('Données projet'!$B$9,Paramètres!$A$1:$I$89,5,0)</f>
        <v>191.95799999999997</v>
      </c>
      <c r="P45" s="13">
        <f t="shared" si="33"/>
        <v>47.972580210954568</v>
      </c>
      <c r="Q45" s="20">
        <f t="shared" si="53"/>
        <v>417.87909386741245</v>
      </c>
      <c r="R45" s="59">
        <f t="shared" si="0"/>
        <v>711.21242720074576</v>
      </c>
      <c r="S45" s="59">
        <f ca="1">AVERAGE(OFFSET($R$3,0,0,'Données projet'!$E$9+1,1))-AVERAGE(OFFSET($H$3,0,0,'Données projet'!$E$9+1,1))</f>
        <v>227.89848316900191</v>
      </c>
      <c r="T45" s="59">
        <f t="shared" si="34"/>
        <v>239.85955661394541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41.745370040671268</v>
      </c>
      <c r="AA45" s="21">
        <f>EXP(-LN(2)/25)*AA44+(1-EXP(-LN(2)/25))/(LN(2)/25)*Calculateur!V45*Calculateur!X45*VLOOKUP('Données projet'!$B$9,Paramètres!$A$1:$I$89,3,0)*0.475*44/12</f>
        <v>11.537908735958171</v>
      </c>
      <c r="AB45" s="21">
        <f>EXP(-LN(2)/2)*AB44+(1-EXP(-LN(2)/2))/(LN(2)/2)*V45*Y45*VLOOKUP('Données projet'!$B$9,Paramètres!$A$1:$I$89,3,0)*0.475*44/12</f>
        <v>1.8930346775195985</v>
      </c>
      <c r="AC45" s="22">
        <f t="shared" si="3"/>
        <v>55.176313454149039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148</v>
      </c>
      <c r="AG45" s="12">
        <f>VLOOKUP(A45,'Données projet'!$A$61:$I$81,9,0)</f>
        <v>9</v>
      </c>
      <c r="AH45" s="12">
        <f t="array" ref="AH45">INDEX(AG:AG,MIN(IF(ISNUMBER(AG45:AG241),ROW(AG45:AG241),"")))</f>
        <v>9</v>
      </c>
      <c r="AI45" s="13">
        <f>IF('Données projet'!$A$62&gt;35,AI44+AH45-AQ44,IF(A45&lt;'Données projet'!$A$62,$AF$205^A45,IF(A45='Données projet'!$A$62,'Données projet'!$B$62,AI44+AH45-AQ44)))</f>
        <v>148.00000000000009</v>
      </c>
      <c r="AJ45" s="13">
        <f>AI45*VLOOKUP('Données projet'!$B$10,Paramètres!$A$1:$I$89,3,0)*VLOOKUP('Données projet'!$B$10,Paramètres!$A$1:$I$89,5,0)</f>
        <v>133.91040000000007</v>
      </c>
      <c r="AK45" s="13">
        <f t="shared" si="35"/>
        <v>34.898373535125124</v>
      </c>
      <c r="AL45" s="20">
        <f t="shared" si="4"/>
        <v>294.0086139070097</v>
      </c>
      <c r="AM45" s="59">
        <f t="shared" si="5"/>
        <v>587.34194724034296</v>
      </c>
      <c r="AN45" s="59">
        <f ca="1">AVERAGE(OFFSET($AM$3,0,0,'Données projet'!$E$10+1,1))-AVERAGE(OFFSET($H$3,0,0,'Données projet'!$E$10+1,1))</f>
        <v>215.7418266360167</v>
      </c>
      <c r="AO45" s="59">
        <f t="shared" si="36"/>
        <v>155.78420008229949</v>
      </c>
      <c r="AP45" s="15">
        <f>IF(ISNA(VLOOKUP(A45,'Données projet'!$A$61:$I$81,3,0)),0,VLOOKUP(A45,'Données projet'!$A$61:$I$81,3,0))</f>
        <v>2</v>
      </c>
      <c r="AQ45" s="15">
        <f>IF(ISNA(VLOOKUP(A45,'Données projet'!$A$61:$I$81,4,0)),0,VLOOKUP(A45,'Données projet'!$A$61:$I$81,4,0))</f>
        <v>41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113</v>
      </c>
      <c r="BB45" s="12">
        <f>VLOOKUP(A45,'Données projet'!$A$87:$I$107,9,0)</f>
        <v>2.6904761904761907</v>
      </c>
      <c r="BC45" s="12">
        <f t="array" ref="BC45">INDEX(BB:BB,MIN(IF(ISNUMBER(BB45:BB241),ROW(BB45:BB241),"")))</f>
        <v>2.6904761904761907</v>
      </c>
      <c r="BD45" s="12">
        <f>IF('Données projet'!$A$88&gt;35,BD44+BC45-BL44,IF(A45&lt;'Données projet'!$A$88,$BA$205^A45,IF(A45='Données projet'!$A$88,'Données projet'!$B$88,BD44+BC45-BL44)))</f>
        <v>112.99999999999999</v>
      </c>
      <c r="BE45" s="13">
        <f>BD45*VLOOKUP('Données projet'!$B$11,Paramètres!$A$1:$I$89,3,0)*VLOOKUP('Données projet'!$B$11,Paramètres!$A$1:$I$89,5,0)</f>
        <v>114.58199999999998</v>
      </c>
      <c r="BF45" s="13">
        <f t="shared" si="37"/>
        <v>30.407962048850919</v>
      </c>
      <c r="BG45" s="20">
        <f t="shared" si="7"/>
        <v>252.52418390174861</v>
      </c>
      <c r="BH45" s="59">
        <f t="shared" si="8"/>
        <v>545.8575172350819</v>
      </c>
      <c r="BI45" s="59">
        <f ca="1">AVERAGE(OFFSET($BH$3,0,0,'Données projet'!$E$11+1,1))-AVERAGE(OFFSET($H$3,0,0,'Données projet'!$E$11+1,1))</f>
        <v>179.53921263314447</v>
      </c>
      <c r="BJ45" s="59">
        <f t="shared" si="38"/>
        <v>120.81513023281337</v>
      </c>
      <c r="BK45" s="15">
        <f>IF(ISNA(VLOOKUP(A45,'Données projet'!$A$87:$I$107,3,0)),0,VLOOKUP(A45,'Données projet'!$A$87:$I$107,3,0))</f>
        <v>1</v>
      </c>
      <c r="BL45" s="15">
        <f>IF(ISNA(VLOOKUP(A45,'Données projet'!$A$87:$I$107,4,0)),0,VLOOKUP(A45,'Données projet'!$A$87:$I$107,4,0))</f>
        <v>30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15.242407407407409</v>
      </c>
      <c r="BY45" s="12">
        <f>IF('Données projet'!$A$114&gt;35,BY44+BX45-CG44,IF(A45&lt;'Données projet'!$A$114,$BV$205^A45,IF(A45='Données projet'!$A$114,'Données projet'!$B$114,BY44+BX45-CG44)))</f>
        <v>290.94037037037026</v>
      </c>
      <c r="BZ45" s="13">
        <f>BY45*VLOOKUP('Données projet'!$B$12,Paramètres!$A$1:$I$89,3,0)*VLOOKUP('Données projet'!$B$12,Paramètres!$A$1:$I$89,5,0)</f>
        <v>136.16009333333329</v>
      </c>
      <c r="CA45" s="13">
        <f t="shared" si="39"/>
        <v>35.415918036455466</v>
      </c>
      <c r="CB45" s="20">
        <f t="shared" si="10"/>
        <v>298.82821980238208</v>
      </c>
      <c r="CC45" s="59">
        <f t="shared" si="11"/>
        <v>592.16155313571539</v>
      </c>
      <c r="CD45" s="59">
        <f ca="1">AVERAGE(OFFSET($CC$3,0,0,'Données projet'!$E$12+1,1))-AVERAGE(OFFSET($H$3,0,0,'Données projet'!$E$12+1,1))</f>
        <v>310.06530483941287</v>
      </c>
      <c r="CE45" s="59">
        <f t="shared" si="40"/>
        <v>170.13425794309376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18.867680593488256</v>
      </c>
      <c r="CL45" s="21">
        <f>EXP(-LN(2)/25)*CL44+(1-EXP(-LN(2)/25))/(LN(2)/25)*Calculateur!CG45*Calculateur!CI45*VLOOKUP('Données projet'!$B$12,Paramètres!$A$1:$I$89,3,0)*0.475*44/12</f>
        <v>7.5869178575306266</v>
      </c>
      <c r="CM45" s="21">
        <f>EXP(-LN(2)/2)*CM44+(1-EXP(-LN(2)/2))/(LN(2)/2)*CG45*CJ45*VLOOKUP('Données projet'!$B$12,Paramètres!$A$1:$I$89,3,0)*0.475*44/12</f>
        <v>1.8712688291465331</v>
      </c>
      <c r="CN45" s="22">
        <f t="shared" si="12"/>
        <v>28.325867280165415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9.8333333333333339</v>
      </c>
      <c r="CT45" s="12">
        <f>IF('Données projet'!$A$140&gt;35,CT44+CS45-DB44,IF(A45&lt;'Données projet'!$A$140,$CQ$205^A45,IF(A45='Données projet'!$A$140,'Données projet'!$B$140,CT44+CS45-DB44)))</f>
        <v>253.66666666666671</v>
      </c>
      <c r="CU45" s="17">
        <f>CT45*VLOOKUP('Données projet'!$B$13,Paramètres!$A$1:$I$89,3,0)*VLOOKUP('Données projet'!$B$13,Paramètres!$A$1:$I$89,5,0)</f>
        <v>151.6926666666667</v>
      </c>
      <c r="CV45" s="13">
        <f t="shared" si="41"/>
        <v>38.96299861908853</v>
      </c>
      <c r="CW45" s="20">
        <f t="shared" si="13"/>
        <v>332.05861703935699</v>
      </c>
      <c r="CX45" s="59">
        <f t="shared" si="14"/>
        <v>625.3919503726903</v>
      </c>
      <c r="CY45" s="59">
        <f ca="1">AVERAGE(OFFSET($CX$3,0,0,'Données projet'!$E$13+1,1))-AVERAGE(OFFSET($H$3,0,0,'Données projet'!$E$13+1,1))</f>
        <v>168.08890945052406</v>
      </c>
      <c r="CZ45" s="59">
        <f t="shared" si="42"/>
        <v>182.52462557642343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31.709705341705124</v>
      </c>
      <c r="DG45" s="21">
        <f>EXP(-LN(2)/25)*DG44+(1-EXP(-LN(2)/25))/(LN(2)/25)*Calculateur!DB45*Calculateur!DD45*VLOOKUP('Données projet'!$B$13,Paramètres!$A$1:$I$89,3,0)*0.475*44/12</f>
        <v>10.893592283866628</v>
      </c>
      <c r="DH45" s="21">
        <f>EXP(-LN(2)/2)*DH44+(1-EXP(-LN(2)/2))/(LN(2)/2)*DB45*DE45*VLOOKUP('Données projet'!$B$13,Paramètres!$A$1:$I$89,3,0)*0.475*44/12</f>
        <v>2.1227098610642381</v>
      </c>
      <c r="DI45" s="22">
        <f t="shared" si="15"/>
        <v>44.726007486635993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22.8</v>
      </c>
      <c r="DO45" s="12">
        <f>IF('Données projet'!$A$166&gt;35,DO44+DN45-DW44,IF(A45&lt;'Données projet'!$A$166,$DL$205^A45,IF(A45='Données projet'!$A$166,'Données projet'!$B$166,DO44+DN45-DW44)))</f>
        <v>537.60000000000014</v>
      </c>
      <c r="DP45" s="17">
        <f>DO45*VLOOKUP('Données projet'!$B$14,Paramètres!$A$1:$I$89,3,0)*VLOOKUP('Données projet'!$B$14,Paramètres!$A$1:$I$89,5,0)</f>
        <v>300.5184000000001</v>
      </c>
      <c r="DQ45" s="13">
        <f t="shared" si="43"/>
        <v>71.285129105116411</v>
      </c>
      <c r="DR45" s="20">
        <f t="shared" si="16"/>
        <v>647.55781319141124</v>
      </c>
      <c r="DS45" s="59">
        <f t="shared" si="17"/>
        <v>940.8911465247445</v>
      </c>
      <c r="DT45" s="59">
        <f ca="1">AVERAGE(OFFSET($DS$3,0,0,'Données projet'!$E$14+1,1))-AVERAGE(OFFSET($H$3,0,0,'Données projet'!$E$14+1,1))</f>
        <v>355.23615781077405</v>
      </c>
      <c r="DU45" s="59">
        <f t="shared" si="44"/>
        <v>448.84541017639367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49.062513490286925</v>
      </c>
      <c r="EB45" s="21">
        <f>EXP(-LN(2)/25)*EB44+(1-EXP(-LN(2)/25))/(LN(2)/25)*Calculateur!DW45*Calculateur!DY45*VLOOKUP('Données projet'!$B$14,Paramètres!$A$1:$I$89,3,0)*0.475*44/12</f>
        <v>18.837546481220159</v>
      </c>
      <c r="EC45" s="21">
        <f>EXP(-LN(2)/2)*EC44+(1-EXP(-LN(2)/2))/(LN(2)/2)*DW45*DZ45*VLOOKUP('Données projet'!$B$14,Paramètres!$A$1:$I$89,3,0)*0.475*44/12</f>
        <v>3.6291790899232557</v>
      </c>
      <c r="ED45" s="22">
        <f t="shared" si="18"/>
        <v>71.529239061430346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>
        <f>VLOOKUP(A45,'Données projet'!$A$191:$I$211,2,0)</f>
        <v>90.4</v>
      </c>
      <c r="EH45" s="12">
        <f>VLOOKUP(A45,'Données projet'!$A$191:$I$211,9,0)</f>
        <v>2.1523809523809527</v>
      </c>
      <c r="EI45" s="12">
        <f t="array" ref="EI45">INDEX(EH:EH,MIN(IF(ISNUMBER(EH45:EH241),ROW(EH45:EH241),"")))</f>
        <v>2.1523809523809527</v>
      </c>
      <c r="EJ45" s="12">
        <f>IF('Données projet'!$A$192&gt;35,EJ44+EI45-ER44,IF(A45&lt;'Données projet'!$A$192,$EG$205^A45,IF(A45='Données projet'!$A$192,'Données projet'!$B$192,EJ44+EI45-ER44)))</f>
        <v>90.399999999999991</v>
      </c>
      <c r="EK45" s="17">
        <f>EJ45*VLOOKUP('Données projet'!$B$15,Paramètres!$A$1:$I$89,3,0)*VLOOKUP('Données projet'!$B$15,Paramètres!$A$1:$I$89,5,0)</f>
        <v>97.30655999999999</v>
      </c>
      <c r="EL45" s="13">
        <f t="shared" si="45"/>
        <v>26.319306503602476</v>
      </c>
      <c r="EM45" s="20">
        <f t="shared" si="19"/>
        <v>215.3150508271076</v>
      </c>
      <c r="EN45" s="59">
        <f t="shared" si="20"/>
        <v>508.64838416044091</v>
      </c>
      <c r="EO45" s="59">
        <f ca="1">AVERAGE(OFFSET($EN$3,0,0,'Données projet'!$E$15+1,1))-AVERAGE(OFFSET($H$3,0,0,'Données projet'!$E$15+1,1))</f>
        <v>130.76477588601989</v>
      </c>
      <c r="EP45" s="59">
        <f t="shared" si="46"/>
        <v>94.034011511502172</v>
      </c>
      <c r="EQ45" s="15">
        <f>IF(ISNA(VLOOKUP(A45,'Données projet'!$A$191:$I$211,3,0)),0,VLOOKUP(A45,'Données projet'!$A$191:$I$211,3,0))</f>
        <v>1</v>
      </c>
      <c r="ER45" s="15">
        <f>IF(ISNA(VLOOKUP(A45,'Données projet'!$A$191:$I$211,4,0)),0,VLOOKUP(A45,'Données projet'!$A$191:$I$211,4,0))</f>
        <v>24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22.8</v>
      </c>
      <c r="FE45" s="12">
        <f>IF('Données projet'!$A$218&gt;35,FE44+FD45-FM44,IF(A45&lt;'Données projet'!$A$218,$FB$205^A45,IF(A45='Données projet'!$A$218,'Données projet'!$B$218,FE44+FD45-FM44)))</f>
        <v>537.60000000000014</v>
      </c>
      <c r="FF45" s="17">
        <f>FE45*VLOOKUP('Données projet'!$B$16,Paramètres!$A$1:$I$89,3,0)*VLOOKUP('Données projet'!$B$16,Paramètres!$A$1:$I$89,5,0)</f>
        <v>244.60800000000003</v>
      </c>
      <c r="FG45" s="13">
        <f t="shared" si="47"/>
        <v>59.429864098180566</v>
      </c>
      <c r="FH45" s="20">
        <f t="shared" si="22"/>
        <v>529.53261330433122</v>
      </c>
      <c r="FI45" s="59">
        <f t="shared" si="23"/>
        <v>822.86594663766459</v>
      </c>
      <c r="FJ45" s="59">
        <f ca="1">AVERAGE(OFFSET($FI$3,0,0,'Données projet'!$E$16+1,1))-AVERAGE(OFFSET($H$3,0,0,'Données projet'!$E$16+1,1))</f>
        <v>279.43442619866738</v>
      </c>
      <c r="FK45" s="59">
        <f t="shared" si="48"/>
        <v>355.95192241448217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39.934604003721901</v>
      </c>
      <c r="FR45" s="21">
        <f>EXP(-LN(2)/25)*FR44+(1-EXP(-LN(2)/25))/(LN(2)/25)*Calculateur!FM45*Calculateur!FO45*VLOOKUP('Données projet'!$B$16,Paramètres!$A$1:$I$89,3,0)*0.475*44/12</f>
        <v>15.332886670760594</v>
      </c>
      <c r="FS45" s="21">
        <f>EXP(-LN(2)/2)*FS44+(1-EXP(-LN(2)/2))/(LN(2)/2)*FM45*FP45*VLOOKUP('Données projet'!$B$16,Paramètres!$A$1:$I$89,3,0)*0.475*44/12</f>
        <v>2.953982980170093</v>
      </c>
      <c r="FT45" s="22">
        <f t="shared" si="24"/>
        <v>58.221473654652591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</v>
      </c>
      <c r="N46" s="13">
        <f>IF('Données projet'!$A$36&gt;35,N45+M46-V45,IF(A46&lt;'Données projet'!$A$36,$K$205^A46,IF(A46='Données projet'!$A$36,'Données projet'!$B$36,N45+M46-V45)))</f>
        <v>331.99999999999989</v>
      </c>
      <c r="O46" s="13">
        <f>N46*VLOOKUP('Données projet'!$B$9,Paramètres!$A$1:$I$89,3,0)*VLOOKUP('Données projet'!$B$9,Paramètres!$A$1:$I$89,5,0)</f>
        <v>198.53599999999994</v>
      </c>
      <c r="P46" s="13">
        <f t="shared" si="33"/>
        <v>49.422287391228707</v>
      </c>
      <c r="Q46" s="20">
        <f t="shared" si="53"/>
        <v>431.86068387305653</v>
      </c>
      <c r="R46" s="59">
        <f t="shared" si="0"/>
        <v>725.19401720638984</v>
      </c>
      <c r="S46" s="59">
        <f ca="1">AVERAGE(OFFSET($R$3,0,0,'Données projet'!$E$9+1,1))-AVERAGE(OFFSET($H$3,0,0,'Données projet'!$E$9+1,1))</f>
        <v>227.89848316900191</v>
      </c>
      <c r="T46" s="59">
        <f t="shared" si="34"/>
        <v>239.85955661394541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40.926768796335253</v>
      </c>
      <c r="AA46" s="21">
        <f>EXP(-LN(2)/25)*AA45+(1-EXP(-LN(2)/25))/(LN(2)/25)*Calculateur!V46*Calculateur!X46*VLOOKUP('Données projet'!$B$9,Paramètres!$A$1:$I$89,3,0)*0.475*44/12</f>
        <v>11.222404014821144</v>
      </c>
      <c r="AB46" s="21">
        <f>EXP(-LN(2)/2)*AB45+(1-EXP(-LN(2)/2))/(LN(2)/2)*V46*Y46*VLOOKUP('Données projet'!$B$9,Paramètres!$A$1:$I$89,3,0)*0.475*44/12</f>
        <v>1.3385776574953974</v>
      </c>
      <c r="AC46" s="22">
        <f t="shared" si="3"/>
        <v>53.487750468651797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8.3333333333333339</v>
      </c>
      <c r="AI46" s="13">
        <f>IF('Données projet'!$A$62&gt;35,AI45+AH46-AQ45,IF(A46&lt;'Données projet'!$A$62,$AF$205^A46,IF(A46='Données projet'!$A$62,'Données projet'!$B$62,AI45+AH46-AQ45)))</f>
        <v>115.33333333333343</v>
      </c>
      <c r="AJ46" s="13">
        <f>AI46*VLOOKUP('Données projet'!$B$10,Paramètres!$A$1:$I$89,3,0)*VLOOKUP('Données projet'!$B$10,Paramètres!$A$1:$I$89,5,0)</f>
        <v>104.35360000000009</v>
      </c>
      <c r="AK46" s="13">
        <f t="shared" si="35"/>
        <v>27.996596320952669</v>
      </c>
      <c r="AL46" s="20">
        <f t="shared" si="4"/>
        <v>230.50992525899269</v>
      </c>
      <c r="AM46" s="59">
        <f t="shared" si="5"/>
        <v>523.84325859232604</v>
      </c>
      <c r="AN46" s="59">
        <f ca="1">AVERAGE(OFFSET($AM$3,0,0,'Données projet'!$E$10+1,1))-AVERAGE(OFFSET($H$3,0,0,'Données projet'!$E$10+1,1))</f>
        <v>215.7418266360167</v>
      </c>
      <c r="AO46" s="59">
        <f t="shared" si="36"/>
        <v>155.78420008229949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6.166666666666667</v>
      </c>
      <c r="BD46" s="12">
        <f>IF('Données projet'!$A$88&gt;35,BD45+BC46-BL45,IF(A46&lt;'Données projet'!$A$88,$BA$205^A46,IF(A46='Données projet'!$A$88,'Données projet'!$B$88,BD45+BC46-BL45)))</f>
        <v>89.166666666666657</v>
      </c>
      <c r="BE46" s="13">
        <f>BD46*VLOOKUP('Données projet'!$B$11,Paramètres!$A$1:$I$89,3,0)*VLOOKUP('Données projet'!$B$11,Paramètres!$A$1:$I$89,5,0)</f>
        <v>90.414999999999992</v>
      </c>
      <c r="BF46" s="13">
        <f t="shared" si="37"/>
        <v>24.665286186424698</v>
      </c>
      <c r="BG46" s="20">
        <f t="shared" si="7"/>
        <v>200.43149844135633</v>
      </c>
      <c r="BH46" s="59">
        <f t="shared" si="8"/>
        <v>493.76483177468964</v>
      </c>
      <c r="BI46" s="59">
        <f ca="1">AVERAGE(OFFSET($BH$3,0,0,'Données projet'!$E$11+1,1))-AVERAGE(OFFSET($H$3,0,0,'Données projet'!$E$11+1,1))</f>
        <v>179.53921263314447</v>
      </c>
      <c r="BJ46" s="59">
        <f t="shared" si="38"/>
        <v>120.81513023281337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15.242407407407409</v>
      </c>
      <c r="BY46" s="12">
        <f>IF('Données projet'!$A$114&gt;35,BY45+BX46-CG45,IF(A46&lt;'Données projet'!$A$114,$BV$205^A46,IF(A46='Données projet'!$A$114,'Données projet'!$B$114,BY45+BX46-CG45)))</f>
        <v>306.18277777777769</v>
      </c>
      <c r="BZ46" s="13">
        <f>BY46*VLOOKUP('Données projet'!$B$12,Paramètres!$A$1:$I$89,3,0)*VLOOKUP('Données projet'!$B$12,Paramètres!$A$1:$I$89,5,0)</f>
        <v>143.29353999999995</v>
      </c>
      <c r="CA46" s="13">
        <f t="shared" si="39"/>
        <v>37.050485147343039</v>
      </c>
      <c r="CB46" s="20">
        <f t="shared" si="10"/>
        <v>314.09917713162235</v>
      </c>
      <c r="CC46" s="59">
        <f t="shared" si="11"/>
        <v>607.43251046495561</v>
      </c>
      <c r="CD46" s="59">
        <f ca="1">AVERAGE(OFFSET($CC$3,0,0,'Données projet'!$E$12+1,1))-AVERAGE(OFFSET($H$3,0,0,'Données projet'!$E$12+1,1))</f>
        <v>310.06530483941287</v>
      </c>
      <c r="CE46" s="59">
        <f t="shared" si="40"/>
        <v>170.13425794309376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18.497696885198778</v>
      </c>
      <c r="CL46" s="21">
        <f>EXP(-LN(2)/25)*CL45+(1-EXP(-LN(2)/25))/(LN(2)/25)*Calculateur!CG46*Calculateur!CI46*VLOOKUP('Données projet'!$B$12,Paramètres!$A$1:$I$89,3,0)*0.475*44/12</f>
        <v>7.3794531897377817</v>
      </c>
      <c r="CM46" s="21">
        <f>EXP(-LN(2)/2)*CM45+(1-EXP(-LN(2)/2))/(LN(2)/2)*CG46*CJ46*VLOOKUP('Données projet'!$B$12,Paramètres!$A$1:$I$89,3,0)*0.475*44/12</f>
        <v>1.3231868785125247</v>
      </c>
      <c r="CN46" s="22">
        <f t="shared" si="12"/>
        <v>27.200336953449082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9.8333333333333339</v>
      </c>
      <c r="CT46" s="12">
        <f>IF('Données projet'!$A$140&gt;35,CT45+CS46-DB45,IF(A46&lt;'Données projet'!$A$140,$CQ$205^A46,IF(A46='Données projet'!$A$140,'Données projet'!$B$140,CT45+CS46-DB45)))</f>
        <v>263.50000000000006</v>
      </c>
      <c r="CU46" s="17">
        <f>CT46*VLOOKUP('Données projet'!$B$13,Paramètres!$A$1:$I$89,3,0)*VLOOKUP('Données projet'!$B$13,Paramètres!$A$1:$I$89,5,0)</f>
        <v>157.57300000000006</v>
      </c>
      <c r="CV46" s="13">
        <f t="shared" si="41"/>
        <v>40.294612761030372</v>
      </c>
      <c r="CW46" s="20">
        <f t="shared" si="13"/>
        <v>344.61942555879472</v>
      </c>
      <c r="CX46" s="59">
        <f t="shared" si="14"/>
        <v>637.95275889212803</v>
      </c>
      <c r="CY46" s="59">
        <f ca="1">AVERAGE(OFFSET($CX$3,0,0,'Données projet'!$E$13+1,1))-AVERAGE(OFFSET($H$3,0,0,'Données projet'!$E$13+1,1))</f>
        <v>168.08890945052406</v>
      </c>
      <c r="CZ46" s="59">
        <f t="shared" si="42"/>
        <v>182.52462557642343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31.087897360964778</v>
      </c>
      <c r="DG46" s="21">
        <f>EXP(-LN(2)/25)*DG45+(1-EXP(-LN(2)/25))/(LN(2)/25)*Calculateur!DB46*Calculateur!DD46*VLOOKUP('Données projet'!$B$13,Paramètres!$A$1:$I$89,3,0)*0.475*44/12</f>
        <v>10.595706429995174</v>
      </c>
      <c r="DH46" s="21">
        <f>EXP(-LN(2)/2)*DH45+(1-EXP(-LN(2)/2))/(LN(2)/2)*DB46*DE46*VLOOKUP('Données projet'!$B$13,Paramètres!$A$1:$I$89,3,0)*0.475*44/12</f>
        <v>1.5009825372500769</v>
      </c>
      <c r="DI46" s="22">
        <f t="shared" si="15"/>
        <v>43.184586328210024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22.8</v>
      </c>
      <c r="DO46" s="12">
        <f>IF('Données projet'!$A$166&gt;35,DO45+DN46-DW45,IF(A46&lt;'Données projet'!$A$166,$DL$205^A46,IF(A46='Données projet'!$A$166,'Données projet'!$B$166,DO45+DN46-DW45)))</f>
        <v>560.40000000000009</v>
      </c>
      <c r="DP46" s="17">
        <f>DO46*VLOOKUP('Données projet'!$B$14,Paramètres!$A$1:$I$89,3,0)*VLOOKUP('Données projet'!$B$14,Paramètres!$A$1:$I$89,5,0)</f>
        <v>313.26360000000005</v>
      </c>
      <c r="DQ46" s="13">
        <f t="shared" si="43"/>
        <v>73.949983766039026</v>
      </c>
      <c r="DR46" s="20">
        <f t="shared" si="16"/>
        <v>674.39699172585131</v>
      </c>
      <c r="DS46" s="59">
        <f t="shared" si="17"/>
        <v>967.73032505918468</v>
      </c>
      <c r="DT46" s="59">
        <f ca="1">AVERAGE(OFFSET($DS$3,0,0,'Données projet'!$E$14+1,1))-AVERAGE(OFFSET($H$3,0,0,'Données projet'!$E$14+1,1))</f>
        <v>355.23615781077405</v>
      </c>
      <c r="DU46" s="59">
        <f t="shared" si="44"/>
        <v>448.84541017639367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48.100427525920765</v>
      </c>
      <c r="EB46" s="21">
        <f>EXP(-LN(2)/25)*EB45+(1-EXP(-LN(2)/25))/(LN(2)/25)*Calculateur!DW46*Calculateur!DY46*VLOOKUP('Données projet'!$B$14,Paramètres!$A$1:$I$89,3,0)*0.475*44/12</f>
        <v>18.322432782067679</v>
      </c>
      <c r="EC46" s="21">
        <f>EXP(-LN(2)/2)*EC45+(1-EXP(-LN(2)/2))/(LN(2)/2)*DW46*DZ46*VLOOKUP('Données projet'!$B$14,Paramètres!$A$1:$I$89,3,0)*0.475*44/12</f>
        <v>2.5662171446251576</v>
      </c>
      <c r="ED46" s="22">
        <f t="shared" si="18"/>
        <v>68.9890774526136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4.9333333333333327</v>
      </c>
      <c r="EJ46" s="12">
        <f>IF('Données projet'!$A$192&gt;35,EJ45+EI46-ER45,IF(A46&lt;'Données projet'!$A$192,$EG$205^A46,IF(A46='Données projet'!$A$192,'Données projet'!$B$192,EJ45+EI46-ER45)))</f>
        <v>71.333333333333329</v>
      </c>
      <c r="EK46" s="17">
        <f>EJ46*VLOOKUP('Données projet'!$B$15,Paramètres!$A$1:$I$89,3,0)*VLOOKUP('Données projet'!$B$15,Paramètres!$A$1:$I$89,5,0)</f>
        <v>76.783199999999994</v>
      </c>
      <c r="EL46" s="13">
        <f t="shared" si="45"/>
        <v>21.3487910204793</v>
      </c>
      <c r="EM46" s="20">
        <f t="shared" si="19"/>
        <v>170.91321769400142</v>
      </c>
      <c r="EN46" s="59">
        <f t="shared" si="20"/>
        <v>464.2465510273347</v>
      </c>
      <c r="EO46" s="59">
        <f ca="1">AVERAGE(OFFSET($EN$3,0,0,'Données projet'!$E$15+1,1))-AVERAGE(OFFSET($H$3,0,0,'Données projet'!$E$15+1,1))</f>
        <v>130.76477588601989</v>
      </c>
      <c r="EP46" s="59">
        <f t="shared" si="46"/>
        <v>94.034011511502172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22.8</v>
      </c>
      <c r="FE46" s="12">
        <f>IF('Données projet'!$A$218&gt;35,FE45+FD46-FM45,IF(A46&lt;'Données projet'!$A$218,$FB$205^A46,IF(A46='Données projet'!$A$218,'Données projet'!$B$218,FE45+FD46-FM45)))</f>
        <v>560.40000000000009</v>
      </c>
      <c r="FF46" s="17">
        <f>FE46*VLOOKUP('Données projet'!$B$16,Paramètres!$A$1:$I$89,3,0)*VLOOKUP('Données projet'!$B$16,Paramètres!$A$1:$I$89,5,0)</f>
        <v>254.98200000000003</v>
      </c>
      <c r="FG46" s="13">
        <f t="shared" si="47"/>
        <v>61.651532941713178</v>
      </c>
      <c r="FH46" s="20">
        <f t="shared" si="22"/>
        <v>551.47006987348379</v>
      </c>
      <c r="FI46" s="59">
        <f t="shared" si="23"/>
        <v>844.80340320681717</v>
      </c>
      <c r="FJ46" s="59">
        <f ca="1">AVERAGE(OFFSET($FI$3,0,0,'Données projet'!$E$16+1,1))-AVERAGE(OFFSET($H$3,0,0,'Données projet'!$E$16+1,1))</f>
        <v>279.43442619866738</v>
      </c>
      <c r="FK46" s="59">
        <f t="shared" si="48"/>
        <v>355.95192241448217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39.151510776912232</v>
      </c>
      <c r="FR46" s="21">
        <f>EXP(-LN(2)/25)*FR45+(1-EXP(-LN(2)/25))/(LN(2)/25)*Calculateur!FM46*Calculateur!FO46*VLOOKUP('Données projet'!$B$16,Paramètres!$A$1:$I$89,3,0)*0.475*44/12</f>
        <v>14.913608078427179</v>
      </c>
      <c r="FS46" s="21">
        <f>EXP(-LN(2)/2)*FS45+(1-EXP(-LN(2)/2))/(LN(2)/2)*FM46*FP46*VLOOKUP('Données projet'!$B$16,Paramètres!$A$1:$I$89,3,0)*0.475*44/12</f>
        <v>2.0887813967879199</v>
      </c>
      <c r="FT46" s="22">
        <f t="shared" si="24"/>
        <v>56.153900252127336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</v>
      </c>
      <c r="N47" s="13">
        <f>IF('Données projet'!$A$36&gt;35,N46+M47-V46,IF(A47&lt;'Données projet'!$A$36,$K$205^A47,IF(A47='Données projet'!$A$36,'Données projet'!$B$36,N46+M47-V46)))</f>
        <v>342.99999999999989</v>
      </c>
      <c r="O47" s="13">
        <f>N47*VLOOKUP('Données projet'!$B$9,Paramètres!$A$1:$I$89,3,0)*VLOOKUP('Données projet'!$B$9,Paramètres!$A$1:$I$89,5,0)</f>
        <v>205.11399999999995</v>
      </c>
      <c r="P47" s="13">
        <f t="shared" si="33"/>
        <v>50.86641328088502</v>
      </c>
      <c r="Q47" s="20">
        <f t="shared" si="53"/>
        <v>445.8325531308746</v>
      </c>
      <c r="R47" s="59">
        <f t="shared" si="0"/>
        <v>739.16588646420792</v>
      </c>
      <c r="S47" s="59">
        <f ca="1">AVERAGE(OFFSET($R$3,0,0,'Données projet'!$E$9+1,1))-AVERAGE(OFFSET($H$3,0,0,'Données projet'!$E$9+1,1))</f>
        <v>227.89848316900191</v>
      </c>
      <c r="T47" s="59">
        <f t="shared" si="34"/>
        <v>239.85955661394541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40.124219823103203</v>
      </c>
      <c r="AA47" s="21">
        <f>EXP(-LN(2)/25)*AA46+(1-EXP(-LN(2)/25))/(LN(2)/25)*Calculateur!V47*Calculateur!X47*VLOOKUP('Données projet'!$B$9,Paramètres!$A$1:$I$89,3,0)*0.475*44/12</f>
        <v>10.915526786875283</v>
      </c>
      <c r="AB47" s="21">
        <f>EXP(-LN(2)/2)*AB46+(1-EXP(-LN(2)/2))/(LN(2)/2)*V47*Y47*VLOOKUP('Données projet'!$B$9,Paramètres!$A$1:$I$89,3,0)*0.475*44/12</f>
        <v>0.94651733875979938</v>
      </c>
      <c r="AC47" s="22">
        <f t="shared" si="3"/>
        <v>51.986263948738284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8.3333333333333339</v>
      </c>
      <c r="AI47" s="13">
        <f>IF('Données projet'!$A$62&gt;35,AI46+AH47-AQ46,IF(A47&lt;'Données projet'!$A$62,$AF$205^A47,IF(A47='Données projet'!$A$62,'Données projet'!$B$62,AI46+AH47-AQ46)))</f>
        <v>123.66666666666676</v>
      </c>
      <c r="AJ47" s="13">
        <f>AI47*VLOOKUP('Données projet'!$B$10,Paramètres!$A$1:$I$89,3,0)*VLOOKUP('Données projet'!$B$10,Paramètres!$A$1:$I$89,5,0)</f>
        <v>111.89360000000008</v>
      </c>
      <c r="AK47" s="13">
        <f t="shared" si="35"/>
        <v>29.776687351139657</v>
      </c>
      <c r="AL47" s="20">
        <f t="shared" si="4"/>
        <v>246.74241713656832</v>
      </c>
      <c r="AM47" s="59">
        <f t="shared" si="5"/>
        <v>540.07575046990166</v>
      </c>
      <c r="AN47" s="59">
        <f ca="1">AVERAGE(OFFSET($AM$3,0,0,'Données projet'!$E$10+1,1))-AVERAGE(OFFSET($H$3,0,0,'Données projet'!$E$10+1,1))</f>
        <v>215.7418266360167</v>
      </c>
      <c r="AO47" s="59">
        <f t="shared" si="36"/>
        <v>155.78420008229949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6.166666666666667</v>
      </c>
      <c r="BD47" s="12">
        <f>IF('Données projet'!$A$88&gt;35,BD46+BC47-BL46,IF(A47&lt;'Données projet'!$A$88,$BA$205^A47,IF(A47='Données projet'!$A$88,'Données projet'!$B$88,BD46+BC47-BL46)))</f>
        <v>95.333333333333329</v>
      </c>
      <c r="BE47" s="13">
        <f>BD47*VLOOKUP('Données projet'!$B$11,Paramètres!$A$1:$I$89,3,0)*VLOOKUP('Données projet'!$B$11,Paramètres!$A$1:$I$89,5,0)</f>
        <v>96.668000000000006</v>
      </c>
      <c r="BF47" s="13">
        <f t="shared" si="37"/>
        <v>26.166635702630764</v>
      </c>
      <c r="BG47" s="20">
        <f t="shared" si="7"/>
        <v>213.93699051541526</v>
      </c>
      <c r="BH47" s="59">
        <f t="shared" si="8"/>
        <v>507.2703238487486</v>
      </c>
      <c r="BI47" s="59">
        <f ca="1">AVERAGE(OFFSET($BH$3,0,0,'Données projet'!$E$11+1,1))-AVERAGE(OFFSET($H$3,0,0,'Données projet'!$E$11+1,1))</f>
        <v>179.53921263314447</v>
      </c>
      <c r="BJ47" s="59">
        <f t="shared" si="38"/>
        <v>120.81513023281337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15.242407407407409</v>
      </c>
      <c r="BY47" s="12">
        <f>IF('Données projet'!$A$114&gt;35,BY46+BX47-CG46,IF(A47&lt;'Données projet'!$A$114,$BV$205^A47,IF(A47='Données projet'!$A$114,'Données projet'!$B$114,BY46+BX47-CG46)))</f>
        <v>321.42518518518511</v>
      </c>
      <c r="BZ47" s="13">
        <f>BY47*VLOOKUP('Données projet'!$B$12,Paramètres!$A$1:$I$89,3,0)*VLOOKUP('Données projet'!$B$12,Paramètres!$A$1:$I$89,5,0)</f>
        <v>150.42698666666664</v>
      </c>
      <c r="CA47" s="13">
        <f t="shared" si="39"/>
        <v>38.675603814295975</v>
      </c>
      <c r="CB47" s="20">
        <f t="shared" si="10"/>
        <v>329.35367842100987</v>
      </c>
      <c r="CC47" s="59">
        <f t="shared" si="11"/>
        <v>622.68701175434319</v>
      </c>
      <c r="CD47" s="59">
        <f ca="1">AVERAGE(OFFSET($CC$3,0,0,'Données projet'!$E$12+1,1))-AVERAGE(OFFSET($H$3,0,0,'Données projet'!$E$12+1,1))</f>
        <v>310.06530483941287</v>
      </c>
      <c r="CE47" s="59">
        <f t="shared" si="40"/>
        <v>170.13425794309376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18.134968331761076</v>
      </c>
      <c r="CL47" s="21">
        <f>EXP(-LN(2)/25)*CL46+(1-EXP(-LN(2)/25))/(LN(2)/25)*Calculateur!CG47*Calculateur!CI47*VLOOKUP('Données projet'!$B$12,Paramètres!$A$1:$I$89,3,0)*0.475*44/12</f>
        <v>7.1776616541958251</v>
      </c>
      <c r="CM47" s="21">
        <f>EXP(-LN(2)/2)*CM46+(1-EXP(-LN(2)/2))/(LN(2)/2)*CG47*CJ47*VLOOKUP('Données projet'!$B$12,Paramètres!$A$1:$I$89,3,0)*0.475*44/12</f>
        <v>0.93563441457326668</v>
      </c>
      <c r="CN47" s="22">
        <f t="shared" si="12"/>
        <v>26.248264400530168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9.8333333333333339</v>
      </c>
      <c r="CT47" s="12">
        <f>IF('Données projet'!$A$140&gt;35,CT46+CS47-DB46,IF(A47&lt;'Données projet'!$A$140,$CQ$205^A47,IF(A47='Données projet'!$A$140,'Données projet'!$B$140,CT46+CS47-DB46)))</f>
        <v>273.33333333333337</v>
      </c>
      <c r="CU47" s="17">
        <f>CT47*VLOOKUP('Données projet'!$B$13,Paramètres!$A$1:$I$89,3,0)*VLOOKUP('Données projet'!$B$13,Paramètres!$A$1:$I$89,5,0)</f>
        <v>163.45333333333338</v>
      </c>
      <c r="CV47" s="13">
        <f t="shared" si="41"/>
        <v>41.620453722976563</v>
      </c>
      <c r="CW47" s="20">
        <f t="shared" si="13"/>
        <v>357.17017912307307</v>
      </c>
      <c r="CX47" s="59">
        <f t="shared" si="14"/>
        <v>650.50351245640638</v>
      </c>
      <c r="CY47" s="59">
        <f ca="1">AVERAGE(OFFSET($CX$3,0,0,'Données projet'!$E$13+1,1))-AVERAGE(OFFSET($H$3,0,0,'Données projet'!$E$13+1,1))</f>
        <v>168.08890945052406</v>
      </c>
      <c r="CZ47" s="59">
        <f t="shared" si="42"/>
        <v>182.52462557642343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30.478282655461332</v>
      </c>
      <c r="DG47" s="21">
        <f>EXP(-LN(2)/25)*DG46+(1-EXP(-LN(2)/25))/(LN(2)/25)*Calculateur!DB47*Calculateur!DD47*VLOOKUP('Données projet'!$B$13,Paramètres!$A$1:$I$89,3,0)*0.475*44/12</f>
        <v>10.305966280462972</v>
      </c>
      <c r="DH47" s="21">
        <f>EXP(-LN(2)/2)*DH46+(1-EXP(-LN(2)/2))/(LN(2)/2)*DB47*DE47*VLOOKUP('Données projet'!$B$13,Paramètres!$A$1:$I$89,3,0)*0.475*44/12</f>
        <v>1.061354930532119</v>
      </c>
      <c r="DI47" s="22">
        <f t="shared" si="15"/>
        <v>41.845603866456422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22.8</v>
      </c>
      <c r="DO47" s="12">
        <f>IF('Données projet'!$A$166&gt;35,DO46+DN47-DW46,IF(A47&lt;'Données projet'!$A$166,$DL$205^A47,IF(A47='Données projet'!$A$166,'Données projet'!$B$166,DO46+DN47-DW46)))</f>
        <v>583.20000000000005</v>
      </c>
      <c r="DP47" s="17">
        <f>DO47*VLOOKUP('Données projet'!$B$14,Paramètres!$A$1:$I$89,3,0)*VLOOKUP('Données projet'!$B$14,Paramètres!$A$1:$I$89,5,0)</f>
        <v>326.00880000000001</v>
      </c>
      <c r="DQ47" s="13">
        <f t="shared" si="43"/>
        <v>76.602244480772981</v>
      </c>
      <c r="DR47" s="20">
        <f t="shared" si="16"/>
        <v>701.2142358040129</v>
      </c>
      <c r="DS47" s="59">
        <f t="shared" si="17"/>
        <v>994.54756913734627</v>
      </c>
      <c r="DT47" s="59">
        <f ca="1">AVERAGE(OFFSET($DS$3,0,0,'Données projet'!$E$14+1,1))-AVERAGE(OFFSET($H$3,0,0,'Données projet'!$E$14+1,1))</f>
        <v>355.23615781077405</v>
      </c>
      <c r="DU47" s="59">
        <f t="shared" si="44"/>
        <v>448.84541017639367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47.157207480501327</v>
      </c>
      <c r="EB47" s="21">
        <f>EXP(-LN(2)/25)*EB46+(1-EXP(-LN(2)/25))/(LN(2)/25)*Calculateur!DW47*Calculateur!DY47*VLOOKUP('Données projet'!$B$14,Paramètres!$A$1:$I$89,3,0)*0.475*44/12</f>
        <v>17.821404894107175</v>
      </c>
      <c r="EC47" s="21">
        <f>EXP(-LN(2)/2)*EC46+(1-EXP(-LN(2)/2))/(LN(2)/2)*DW47*DZ47*VLOOKUP('Données projet'!$B$14,Paramètres!$A$1:$I$89,3,0)*0.475*44/12</f>
        <v>1.8145895449616283</v>
      </c>
      <c r="ED47" s="22">
        <f t="shared" si="18"/>
        <v>66.793201919570137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4.9333333333333327</v>
      </c>
      <c r="EJ47" s="12">
        <f>IF('Données projet'!$A$192&gt;35,EJ46+EI47-ER46,IF(A47&lt;'Données projet'!$A$192,$EG$205^A47,IF(A47='Données projet'!$A$192,'Données projet'!$B$192,EJ46+EI47-ER46)))</f>
        <v>76.266666666666666</v>
      </c>
      <c r="EK47" s="17">
        <f>EJ47*VLOOKUP('Données projet'!$B$15,Paramètres!$A$1:$I$89,3,0)*VLOOKUP('Données projet'!$B$15,Paramètres!$A$1:$I$89,5,0)</f>
        <v>82.093440000000001</v>
      </c>
      <c r="EL47" s="13">
        <f t="shared" si="45"/>
        <v>22.648269032934788</v>
      </c>
      <c r="EM47" s="20">
        <f t="shared" si="19"/>
        <v>182.42514323236142</v>
      </c>
      <c r="EN47" s="59">
        <f t="shared" si="20"/>
        <v>475.75847656569476</v>
      </c>
      <c r="EO47" s="59">
        <f ca="1">AVERAGE(OFFSET($EN$3,0,0,'Données projet'!$E$15+1,1))-AVERAGE(OFFSET($H$3,0,0,'Données projet'!$E$15+1,1))</f>
        <v>130.76477588601989</v>
      </c>
      <c r="EP47" s="59">
        <f t="shared" si="46"/>
        <v>94.034011511502172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0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22.8</v>
      </c>
      <c r="FE47" s="12">
        <f>IF('Données projet'!$A$218&gt;35,FE46+FD47-FM46,IF(A47&lt;'Données projet'!$A$218,$FB$205^A47,IF(A47='Données projet'!$A$218,'Données projet'!$B$218,FE46+FD47-FM46)))</f>
        <v>583.20000000000005</v>
      </c>
      <c r="FF47" s="17">
        <f>FE47*VLOOKUP('Données projet'!$B$16,Paramètres!$A$1:$I$89,3,0)*VLOOKUP('Données projet'!$B$16,Paramètres!$A$1:$I$89,5,0)</f>
        <v>265.35599999999999</v>
      </c>
      <c r="FG47" s="13">
        <f t="shared" si="47"/>
        <v>63.862702309129887</v>
      </c>
      <c r="FH47" s="20">
        <f t="shared" si="22"/>
        <v>573.38923985506779</v>
      </c>
      <c r="FI47" s="59">
        <f t="shared" si="23"/>
        <v>866.72257318840116</v>
      </c>
      <c r="FJ47" s="59">
        <f ca="1">AVERAGE(OFFSET($FI$3,0,0,'Données projet'!$E$16+1,1))-AVERAGE(OFFSET($H$3,0,0,'Données projet'!$E$16+1,1))</f>
        <v>279.43442619866738</v>
      </c>
      <c r="FK47" s="59">
        <f t="shared" si="48"/>
        <v>355.95192241448217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38.383773530640596</v>
      </c>
      <c r="FR47" s="21">
        <f>EXP(-LN(2)/25)*FR46+(1-EXP(-LN(2)/25))/(LN(2)/25)*Calculateur!FM47*Calculateur!FO47*VLOOKUP('Données projet'!$B$16,Paramètres!$A$1:$I$89,3,0)*0.475*44/12</f>
        <v>14.505794681250025</v>
      </c>
      <c r="FS47" s="21">
        <f>EXP(-LN(2)/2)*FS46+(1-EXP(-LN(2)/2))/(LN(2)/2)*FM47*FP47*VLOOKUP('Données projet'!$B$16,Paramètres!$A$1:$I$89,3,0)*0.475*44/12</f>
        <v>1.4769914900850469</v>
      </c>
      <c r="FT47" s="22">
        <f t="shared" si="24"/>
        <v>54.366559701975667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</v>
      </c>
      <c r="N48" s="13">
        <f>IF('Données projet'!$A$36&gt;35,N47+M48-V47,IF(A48&lt;'Données projet'!$A$36,$K$205^A48,IF(A48='Données projet'!$A$36,'Données projet'!$B$36,N47+M48-V47)))</f>
        <v>353.99999999999989</v>
      </c>
      <c r="O48" s="13">
        <f>N48*VLOOKUP('Données projet'!$B$9,Paramètres!$A$1:$I$89,3,0)*VLOOKUP('Données projet'!$B$9,Paramètres!$A$1:$I$89,5,0)</f>
        <v>211.69199999999995</v>
      </c>
      <c r="P48" s="13">
        <f t="shared" si="33"/>
        <v>52.305157403317835</v>
      </c>
      <c r="Q48" s="20">
        <f t="shared" si="53"/>
        <v>459.79504914411177</v>
      </c>
      <c r="R48" s="59">
        <f t="shared" si="0"/>
        <v>753.12838247744503</v>
      </c>
      <c r="S48" s="59">
        <f ca="1">AVERAGE(OFFSET($R$3,0,0,'Données projet'!$E$9+1,1))-AVERAGE(OFFSET($H$3,0,0,'Données projet'!$E$9+1,1))</f>
        <v>227.89848316900191</v>
      </c>
      <c r="T48" s="59">
        <f t="shared" si="34"/>
        <v>239.85955661394541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39.337408345729699</v>
      </c>
      <c r="AA48" s="21">
        <f>EXP(-LN(2)/25)*AA47+(1-EXP(-LN(2)/25))/(LN(2)/25)*Calculateur!V48*Calculateur!X48*VLOOKUP('Données projet'!$B$9,Paramètres!$A$1:$I$89,3,0)*0.475*44/12</f>
        <v>10.617041132865573</v>
      </c>
      <c r="AB48" s="21">
        <f>EXP(-LN(2)/2)*AB47+(1-EXP(-LN(2)/2))/(LN(2)/2)*V48*Y48*VLOOKUP('Données projet'!$B$9,Paramètres!$A$1:$I$89,3,0)*0.475*44/12</f>
        <v>0.66928882874769879</v>
      </c>
      <c r="AC48" s="22">
        <f t="shared" si="3"/>
        <v>50.623738307342968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8.3333333333333339</v>
      </c>
      <c r="AI48" s="13">
        <f>IF('Données projet'!$A$62&gt;35,AI47+AH48-AQ47,IF(A48&lt;'Données projet'!$A$62,$AF$205^A48,IF(A48='Données projet'!$A$62,'Données projet'!$B$62,AI47+AH48-AQ47)))</f>
        <v>132.00000000000009</v>
      </c>
      <c r="AJ48" s="13">
        <f>AI48*VLOOKUP('Données projet'!$B$10,Paramètres!$A$1:$I$89,3,0)*VLOOKUP('Données projet'!$B$10,Paramètres!$A$1:$I$89,5,0)</f>
        <v>119.43360000000007</v>
      </c>
      <c r="AK48" s="13">
        <f t="shared" si="35"/>
        <v>31.54285944220668</v>
      </c>
      <c r="AL48" s="20">
        <f t="shared" si="4"/>
        <v>262.95066686184344</v>
      </c>
      <c r="AM48" s="59">
        <f t="shared" si="5"/>
        <v>556.28400019517676</v>
      </c>
      <c r="AN48" s="59">
        <f ca="1">AVERAGE(OFFSET($AM$3,0,0,'Données projet'!$E$10+1,1))-AVERAGE(OFFSET($H$3,0,0,'Données projet'!$E$10+1,1))</f>
        <v>215.7418266360167</v>
      </c>
      <c r="AO48" s="59">
        <f t="shared" si="36"/>
        <v>155.78420008229949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6.166666666666667</v>
      </c>
      <c r="BD48" s="12">
        <f>IF('Données projet'!$A$88&gt;35,BD47+BC48-BL47,IF(A48&lt;'Données projet'!$A$88,$BA$205^A48,IF(A48='Données projet'!$A$88,'Données projet'!$B$88,BD47+BC48-BL47)))</f>
        <v>101.5</v>
      </c>
      <c r="BE48" s="13">
        <f>BD48*VLOOKUP('Données projet'!$B$11,Paramètres!$A$1:$I$89,3,0)*VLOOKUP('Données projet'!$B$11,Paramètres!$A$1:$I$89,5,0)</f>
        <v>102.92100000000002</v>
      </c>
      <c r="BF48" s="13">
        <f t="shared" si="37"/>
        <v>27.656715158188064</v>
      </c>
      <c r="BG48" s="20">
        <f t="shared" si="7"/>
        <v>227.42285390051089</v>
      </c>
      <c r="BH48" s="59">
        <f t="shared" si="8"/>
        <v>520.75618723384423</v>
      </c>
      <c r="BI48" s="59">
        <f ca="1">AVERAGE(OFFSET($BH$3,0,0,'Données projet'!$E$11+1,1))-AVERAGE(OFFSET($H$3,0,0,'Données projet'!$E$11+1,1))</f>
        <v>179.53921263314447</v>
      </c>
      <c r="BJ48" s="59">
        <f t="shared" si="38"/>
        <v>120.81513023281337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15.242407407407409</v>
      </c>
      <c r="BY48" s="12">
        <f>IF('Données projet'!$A$114&gt;35,BY47+BX48-CG47,IF(A48&lt;'Données projet'!$A$114,$BV$205^A48,IF(A48='Données projet'!$A$114,'Données projet'!$B$114,BY47+BX48-CG47)))</f>
        <v>336.66759259259254</v>
      </c>
      <c r="BZ48" s="13">
        <f>BY48*VLOOKUP('Données projet'!$B$12,Paramètres!$A$1:$I$89,3,0)*VLOOKUP('Données projet'!$B$12,Paramètres!$A$1:$I$89,5,0)</f>
        <v>157.56043333333329</v>
      </c>
      <c r="CA48" s="13">
        <f t="shared" si="39"/>
        <v>40.291773253652309</v>
      </c>
      <c r="CB48" s="20">
        <f t="shared" si="10"/>
        <v>344.59259313899992</v>
      </c>
      <c r="CC48" s="59">
        <f t="shared" si="11"/>
        <v>637.92592647233323</v>
      </c>
      <c r="CD48" s="59">
        <f ca="1">AVERAGE(OFFSET($CC$3,0,0,'Données projet'!$E$12+1,1))-AVERAGE(OFFSET($H$3,0,0,'Données projet'!$E$12+1,1))</f>
        <v>310.06530483941287</v>
      </c>
      <c r="CE48" s="59">
        <f t="shared" si="40"/>
        <v>170.13425794309376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17.779352664013718</v>
      </c>
      <c r="CL48" s="21">
        <f>EXP(-LN(2)/25)*CL47+(1-EXP(-LN(2)/25))/(LN(2)/25)*Calculateur!CG48*Calculateur!CI48*VLOOKUP('Données projet'!$B$12,Paramètres!$A$1:$I$89,3,0)*0.475*44/12</f>
        <v>6.9813881188050191</v>
      </c>
      <c r="CM48" s="21">
        <f>EXP(-LN(2)/2)*CM47+(1-EXP(-LN(2)/2))/(LN(2)/2)*CG48*CJ48*VLOOKUP('Données projet'!$B$12,Paramètres!$A$1:$I$89,3,0)*0.475*44/12</f>
        <v>0.66159343925626246</v>
      </c>
      <c r="CN48" s="22">
        <f t="shared" si="12"/>
        <v>25.422334222074998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9.8333333333333339</v>
      </c>
      <c r="CT48" s="12">
        <f>IF('Données projet'!$A$140&gt;35,CT47+CS48-DB47,IF(A48&lt;'Données projet'!$A$140,$CQ$205^A48,IF(A48='Données projet'!$A$140,'Données projet'!$B$140,CT47+CS48-DB47)))</f>
        <v>283.16666666666669</v>
      </c>
      <c r="CU48" s="17">
        <f>CT48*VLOOKUP('Données projet'!$B$13,Paramètres!$A$1:$I$89,3,0)*VLOOKUP('Données projet'!$B$13,Paramètres!$A$1:$I$89,5,0)</f>
        <v>169.33366666666672</v>
      </c>
      <c r="CV48" s="13">
        <f t="shared" si="41"/>
        <v>42.940752990888512</v>
      </c>
      <c r="CW48" s="20">
        <f t="shared" si="13"/>
        <v>369.7112809035753</v>
      </c>
      <c r="CX48" s="59">
        <f t="shared" si="14"/>
        <v>663.04461423690861</v>
      </c>
      <c r="CY48" s="59">
        <f ca="1">AVERAGE(OFFSET($CX$3,0,0,'Données projet'!$E$13+1,1))-AVERAGE(OFFSET($H$3,0,0,'Données projet'!$E$13+1,1))</f>
        <v>168.08890945052406</v>
      </c>
      <c r="CZ48" s="59">
        <f t="shared" si="42"/>
        <v>182.52462557642343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29.880622122504551</v>
      </c>
      <c r="DG48" s="21">
        <f>EXP(-LN(2)/25)*DG47+(1-EXP(-LN(2)/25))/(LN(2)/25)*Calculateur!DB48*Calculateur!DD48*VLOOKUP('Données projet'!$B$13,Paramètres!$A$1:$I$89,3,0)*0.475*44/12</f>
        <v>10.0241490905565</v>
      </c>
      <c r="DH48" s="21">
        <f>EXP(-LN(2)/2)*DH47+(1-EXP(-LN(2)/2))/(LN(2)/2)*DB48*DE48*VLOOKUP('Données projet'!$B$13,Paramètres!$A$1:$I$89,3,0)*0.475*44/12</f>
        <v>0.75049126862503845</v>
      </c>
      <c r="DI48" s="22">
        <f t="shared" si="15"/>
        <v>40.655262481686094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606</v>
      </c>
      <c r="DM48" s="12">
        <f>VLOOKUP(A48,'Données projet'!$A$165:$I$185,9,0)</f>
        <v>22.8</v>
      </c>
      <c r="DN48" s="12">
        <f t="array" ref="DN48">INDEX(DM:DM,MIN(IF(ISNUMBER(DM48:DM244),ROW(DM48:DM244),"")))</f>
        <v>22.8</v>
      </c>
      <c r="DO48" s="12">
        <f>IF('Données projet'!$A$166&gt;35,DO47+DN48-DW47,IF(A48&lt;'Données projet'!$A$166,$DL$205^A48,IF(A48='Données projet'!$A$166,'Données projet'!$B$166,DO47+DN48-DW47)))</f>
        <v>606</v>
      </c>
      <c r="DP48" s="17">
        <f>DO48*VLOOKUP('Données projet'!$B$14,Paramètres!$A$1:$I$89,3,0)*VLOOKUP('Données projet'!$B$14,Paramètres!$A$1:$I$89,5,0)</f>
        <v>338.75400000000002</v>
      </c>
      <c r="DQ48" s="13">
        <f t="shared" si="43"/>
        <v>79.242459951408904</v>
      </c>
      <c r="DR48" s="20">
        <f t="shared" si="16"/>
        <v>728.01050108203719</v>
      </c>
      <c r="DS48" s="59">
        <f t="shared" si="17"/>
        <v>1021.3438344153706</v>
      </c>
      <c r="DT48" s="59">
        <f ca="1">AVERAGE(OFFSET($DS$3,0,0,'Données projet'!$E$14+1,1))-AVERAGE(OFFSET($H$3,0,0,'Données projet'!$E$14+1,1))</f>
        <v>355.23615781077405</v>
      </c>
      <c r="DU48" s="59">
        <f t="shared" si="44"/>
        <v>448.84541017639367</v>
      </c>
      <c r="DV48" s="15">
        <f>IF(ISNA(VLOOKUP(A48,'Données projet'!$A$165:$I$185,3,0)),0,VLOOKUP(A48,'Données projet'!$A$165:$I$185,3,0))</f>
        <v>5</v>
      </c>
      <c r="DW48" s="15">
        <f>IF(ISNA(VLOOKUP(A48,'Données projet'!$A$165:$I$185,4,0)),0,VLOOKUP(A48,'Données projet'!$A$165:$I$185,4,0))</f>
        <v>66</v>
      </c>
      <c r="DX48" s="16">
        <f>IF(ISNA(VLOOKUP(A48,'Données projet'!$A$165:$I$185,5,0)),0%,VLOOKUP(A48,'Données projet'!$A$165:$I$185,5,0)*VLOOKUP('Données projet'!$B$14,Paramètres!$A$1:$I$89,7,0))</f>
        <v>0.38500000000000001</v>
      </c>
      <c r="DY48" s="16">
        <f>IF(ISNA(VLOOKUP(A48,'Données projet'!$A$165:$I$185,6,0)),0%,VLOOKUP(A48,'Données projet'!$A$165:$I$185,6,0)*VLOOKUP('Données projet'!$B$14,Paramètres!$A$1:$I$89,7,0))</f>
        <v>9.240000000000001E-2</v>
      </c>
      <c r="DZ48" s="16">
        <f>IF(ISNA(VLOOKUP(A48,'Données projet'!$A$165:$I$185,7,0)),0%,VLOOKUP(A48,'Données projet'!$A$165:$I$185,7,0))</f>
        <v>0.13200000000000001</v>
      </c>
      <c r="EA48" s="21">
        <f>EXP(-LN(2)/35)*EA47+(1-EXP(-LN(2)/35))/(LN(2)/35)*DW48*DX48*VLOOKUP('Données projet'!$B$14,Paramètres!$A$1:$I$89,3,0)*0.475*44/12</f>
        <v>65.075256977174902</v>
      </c>
      <c r="EB48" s="21">
        <f>EXP(-LN(2)/25)*EB47+(1-EXP(-LN(2)/25))/(LN(2)/25)*Calculateur!DW48*Calculateur!DY48*VLOOKUP('Données projet'!$B$14,Paramètres!$A$1:$I$89,3,0)*0.475*44/12</f>
        <v>21.838537414433894</v>
      </c>
      <c r="EC48" s="21">
        <f>EXP(-LN(2)/2)*EC47+(1-EXP(-LN(2)/2))/(LN(2)/2)*DW48*DZ48*VLOOKUP('Données projet'!$B$14,Paramètres!$A$1:$I$89,3,0)*0.475*44/12</f>
        <v>6.7970889191248478</v>
      </c>
      <c r="ED48" s="22">
        <f t="shared" si="18"/>
        <v>93.710883310733649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4.9333333333333327</v>
      </c>
      <c r="EJ48" s="12">
        <f>IF('Données projet'!$A$192&gt;35,EJ47+EI48-ER47,IF(A48&lt;'Données projet'!$A$192,$EG$205^A48,IF(A48='Données projet'!$A$192,'Données projet'!$B$192,EJ47+EI48-ER47)))</f>
        <v>81.2</v>
      </c>
      <c r="EK48" s="17">
        <f>EJ48*VLOOKUP('Données projet'!$B$15,Paramètres!$A$1:$I$89,3,0)*VLOOKUP('Données projet'!$B$15,Paramètres!$A$1:$I$89,5,0)</f>
        <v>87.403679999999994</v>
      </c>
      <c r="EL48" s="13">
        <f t="shared" si="45"/>
        <v>23.937992357455176</v>
      </c>
      <c r="EM48" s="20">
        <f t="shared" si="19"/>
        <v>193.92007935590107</v>
      </c>
      <c r="EN48" s="59">
        <f t="shared" si="20"/>
        <v>487.25341268923438</v>
      </c>
      <c r="EO48" s="59">
        <f ca="1">AVERAGE(OFFSET($EN$3,0,0,'Données projet'!$E$15+1,1))-AVERAGE(OFFSET($H$3,0,0,'Données projet'!$E$15+1,1))</f>
        <v>130.76477588601989</v>
      </c>
      <c r="EP48" s="59">
        <f t="shared" si="46"/>
        <v>94.034011511502172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0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606</v>
      </c>
      <c r="FC48" s="12">
        <f>VLOOKUP(A48,'Données projet'!$A$217:$I$237,9,0)</f>
        <v>22.8</v>
      </c>
      <c r="FD48" s="12">
        <f t="array" ref="FD48">INDEX(FC:FC,MIN(IF(ISNUMBER(FC48:FC244),ROW(FC48:FC244),"")))</f>
        <v>22.8</v>
      </c>
      <c r="FE48" s="12">
        <f>IF('Données projet'!$A$218&gt;35,FE47+FD48-FM47,IF(A48&lt;'Données projet'!$A$218,$FB$205^A48,IF(A48='Données projet'!$A$218,'Données projet'!$B$218,FE47+FD48-FM47)))</f>
        <v>606</v>
      </c>
      <c r="FF48" s="17">
        <f>FE48*VLOOKUP('Données projet'!$B$16,Paramètres!$A$1:$I$89,3,0)*VLOOKUP('Données projet'!$B$16,Paramètres!$A$1:$I$89,5,0)</f>
        <v>275.73</v>
      </c>
      <c r="FG48" s="13">
        <f t="shared" si="47"/>
        <v>66.06382964914539</v>
      </c>
      <c r="FH48" s="20">
        <f t="shared" si="22"/>
        <v>595.29091997226158</v>
      </c>
      <c r="FI48" s="59">
        <f t="shared" si="23"/>
        <v>888.62425330559495</v>
      </c>
      <c r="FJ48" s="59">
        <f ca="1">AVERAGE(OFFSET($FI$3,0,0,'Données projet'!$E$16+1,1))-AVERAGE(OFFSET($H$3,0,0,'Données projet'!$E$16+1,1))</f>
        <v>279.43442619866738</v>
      </c>
      <c r="FK48" s="59">
        <f t="shared" si="48"/>
        <v>355.95192241448217</v>
      </c>
      <c r="FL48" s="15">
        <f>IF(ISNA(VLOOKUP(A48,'Données projet'!$A$217:$I$237,3,0)),0,VLOOKUP(A48,'Données projet'!$A$217:$I$237,3,0))</f>
        <v>5</v>
      </c>
      <c r="FM48" s="15">
        <f>IF(ISNA(VLOOKUP(A48,'Données projet'!$A$217:$I$237,4,0)),0,VLOOKUP(A48,'Données projet'!$A$217:$I$237,4,0))</f>
        <v>66</v>
      </c>
      <c r="FN48" s="16">
        <f>IF(ISNA(VLOOKUP(A48,'Données projet'!$A$217:$I$237,5,0)),0%,VLOOKUP(A48,'Données projet'!$A$217:$I$237,5,0)*VLOOKUP('Données projet'!$B$16,Paramètres!$A$1:$I$89,7,0))</f>
        <v>0.38500000000000001</v>
      </c>
      <c r="FO48" s="16">
        <f>IF(ISNA(VLOOKUP(A48,'Données projet'!$A$217:$I$237,6,0)),0%,VLOOKUP(A48,'Données projet'!$A$217:$I$237,6,0)*VLOOKUP('Données projet'!$B$16,Paramètres!$A$1:$I$89,7,0))</f>
        <v>9.240000000000001E-2</v>
      </c>
      <c r="FP48" s="16">
        <f>IF(ISNA(VLOOKUP(A48,'Données projet'!$A$217:$I$237,7,0)),0%,VLOOKUP(A48,'Données projet'!$A$217:$I$237,7,0))</f>
        <v>0.13200000000000001</v>
      </c>
      <c r="FQ48" s="21">
        <f>EXP(-LN(2)/35)*FQ47+(1-EXP(-LN(2)/35))/(LN(2)/35)*FM48*FN48*VLOOKUP('Données projet'!$B$16,Paramètres!$A$1:$I$89,3,0)*0.475*44/12</f>
        <v>52.968232423281876</v>
      </c>
      <c r="FR48" s="21">
        <f>EXP(-LN(2)/25)*FR47+(1-EXP(-LN(2)/25))/(LN(2)/25)*Calculateur!FM48*Calculateur!FO48*VLOOKUP('Données projet'!$B$16,Paramètres!$A$1:$I$89,3,0)*0.475*44/12</f>
        <v>17.775553709422937</v>
      </c>
      <c r="FS48" s="21">
        <f>EXP(-LN(2)/2)*FS47+(1-EXP(-LN(2)/2))/(LN(2)/2)*FM48*FP48*VLOOKUP('Données projet'!$B$16,Paramètres!$A$1:$I$89,3,0)*0.475*44/12</f>
        <v>5.5325142364969704</v>
      </c>
      <c r="FT48" s="22">
        <f t="shared" si="24"/>
        <v>76.276300369201778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365</v>
      </c>
      <c r="L49" s="12">
        <f>VLOOKUP(A49,'Données projet'!$A$35:$I$55,9,0)</f>
        <v>11</v>
      </c>
      <c r="M49" s="12">
        <f t="array" ref="M49">INDEX(L:L,MIN(IF(ISNUMBER(L49:L245),ROW(L49:L245),"")))</f>
        <v>11</v>
      </c>
      <c r="N49" s="13">
        <f>IF('Données projet'!$A$36&gt;35,N48+M49-V48,IF(A49&lt;'Données projet'!$A$36,$K$205^A49,IF(A49='Données projet'!$A$36,'Données projet'!$B$36,N48+M49-V48)))</f>
        <v>364.99999999999989</v>
      </c>
      <c r="O49" s="13">
        <f>N49*VLOOKUP('Données projet'!$B$9,Paramètres!$A$1:$I$89,3,0)*VLOOKUP('Données projet'!$B$9,Paramètres!$A$1:$I$89,5,0)</f>
        <v>218.26999999999995</v>
      </c>
      <c r="P49" s="13">
        <f t="shared" si="33"/>
        <v>53.738706177800289</v>
      </c>
      <c r="Q49" s="20">
        <f t="shared" si="53"/>
        <v>473.74849659300207</v>
      </c>
      <c r="R49" s="59">
        <f t="shared" si="0"/>
        <v>767.08182992633533</v>
      </c>
      <c r="S49" s="59">
        <f ca="1">AVERAGE(OFFSET($R$3,0,0,'Données projet'!$E$9+1,1))-AVERAGE(OFFSET($H$3,0,0,'Données projet'!$E$9+1,1))</f>
        <v>227.89848316900191</v>
      </c>
      <c r="T49" s="59">
        <f t="shared" si="34"/>
        <v>239.85955661394541</v>
      </c>
      <c r="U49" s="15">
        <f>IF(ISNA(VLOOKUP(A49,'Données projet'!$A$35:$I$55,3,0)),0,VLOOKUP(A49,'Données projet'!$A$35:$I$55,3,0))</f>
        <v>7</v>
      </c>
      <c r="V49" s="15">
        <f>IF(ISNA(VLOOKUP(A49,'Données projet'!$A$35:$I$55,4,0)),0,VLOOKUP(A49,'Données projet'!$A$35:$I$55,4,0))</f>
        <v>21</v>
      </c>
      <c r="W49" s="16">
        <f>IF(ISNA(VLOOKUP(A49,'Données projet'!$A$35:$I$55,5,0)),0%,VLOOKUP(A49,'Données projet'!$A$35:$I$55,5,0)*VLOOKUP('Données projet'!$B$9,Paramètres!$A$1:$I$89,7,0))</f>
        <v>0.315</v>
      </c>
      <c r="X49" s="16">
        <f>IF(ISNA(VLOOKUP(A49,'Données projet'!$A$35:$I$55,6,0)),0%,VLOOKUP(A49,'Données projet'!$A$35:$I$55,6,0)*VLOOKUP('Données projet'!$B$9,Paramètres!$A$1:$I$89,7,0))</f>
        <v>7.5600000000000001E-2</v>
      </c>
      <c r="Y49" s="16">
        <f>IF(ISNA(VLOOKUP(A49,'Données projet'!$A$35:$I$55,7,0)),0%,VLOOKUP(A49,'Données projet'!$A$35:$I$55,7,0))</f>
        <v>0.13200000000000001</v>
      </c>
      <c r="Z49" s="21">
        <f>EXP(-LN(2)/35)*Z48+(1-EXP(-LN(2)/35))/(LN(2)/35)*V49*W49*VLOOKUP('Données projet'!$B$9,Paramètres!$A$1:$I$89,3,0)*0.475*44/12</f>
        <v>43.813609637413947</v>
      </c>
      <c r="AA49" s="21">
        <f>EXP(-LN(2)/25)*AA48+(1-EXP(-LN(2)/25))/(LN(2)/25)*Calculateur!V49*Calculateur!X49*VLOOKUP('Données projet'!$B$9,Paramètres!$A$1:$I$89,3,0)*0.475*44/12</f>
        <v>11.581178898046666</v>
      </c>
      <c r="AB49" s="21">
        <f>EXP(-LN(2)/2)*AB48+(1-EXP(-LN(2)/2))/(LN(2)/2)*V49*Y49*VLOOKUP('Données projet'!$B$9,Paramètres!$A$1:$I$89,3,0)*0.475*44/12</f>
        <v>2.3501103307684317</v>
      </c>
      <c r="AC49" s="22">
        <f t="shared" si="3"/>
        <v>57.744898866229043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8.3333333333333339</v>
      </c>
      <c r="AI49" s="13">
        <f>IF('Données projet'!$A$62&gt;35,AI48+AH49-AQ48,IF(A49&lt;'Données projet'!$A$62,$AF$205^A49,IF(A49='Données projet'!$A$62,'Données projet'!$B$62,AI48+AH49-AQ48)))</f>
        <v>140.33333333333343</v>
      </c>
      <c r="AJ49" s="13">
        <f>AI49*VLOOKUP('Données projet'!$B$10,Paramètres!$A$1:$I$89,3,0)*VLOOKUP('Données projet'!$B$10,Paramètres!$A$1:$I$89,5,0)</f>
        <v>126.97360000000009</v>
      </c>
      <c r="AK49" s="13">
        <f t="shared" si="35"/>
        <v>33.296091343362306</v>
      </c>
      <c r="AL49" s="20">
        <f t="shared" si="4"/>
        <v>279.13637908968957</v>
      </c>
      <c r="AM49" s="59">
        <f t="shared" si="5"/>
        <v>572.46971242302288</v>
      </c>
      <c r="AN49" s="59">
        <f ca="1">AVERAGE(OFFSET($AM$3,0,0,'Données projet'!$E$10+1,1))-AVERAGE(OFFSET($H$3,0,0,'Données projet'!$E$10+1,1))</f>
        <v>215.7418266360167</v>
      </c>
      <c r="AO49" s="59">
        <f t="shared" si="36"/>
        <v>155.78420008229949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6.166666666666667</v>
      </c>
      <c r="BD49" s="12">
        <f>IF('Données projet'!$A$88&gt;35,BD48+BC49-BL48,IF(A49&lt;'Données projet'!$A$88,$BA$205^A49,IF(A49='Données projet'!$A$88,'Données projet'!$B$88,BD48+BC49-BL48)))</f>
        <v>107.66666666666667</v>
      </c>
      <c r="BE49" s="13">
        <f>BD49*VLOOKUP('Données projet'!$B$11,Paramètres!$A$1:$I$89,3,0)*VLOOKUP('Données projet'!$B$11,Paramètres!$A$1:$I$89,5,0)</f>
        <v>109.17400000000001</v>
      </c>
      <c r="BF49" s="13">
        <f t="shared" si="37"/>
        <v>29.136287240258813</v>
      </c>
      <c r="BG49" s="20">
        <f t="shared" si="7"/>
        <v>240.89041694345076</v>
      </c>
      <c r="BH49" s="59">
        <f t="shared" si="8"/>
        <v>534.22375027678413</v>
      </c>
      <c r="BI49" s="59">
        <f ca="1">AVERAGE(OFFSET($BH$3,0,0,'Données projet'!$E$11+1,1))-AVERAGE(OFFSET($H$3,0,0,'Données projet'!$E$11+1,1))</f>
        <v>179.53921263314447</v>
      </c>
      <c r="BJ49" s="59">
        <f t="shared" si="38"/>
        <v>120.81513023281337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15.242407407407409</v>
      </c>
      <c r="BY49" s="12">
        <f>IF('Données projet'!$A$114&gt;35,BY48+BX49-CG48,IF(A49&lt;'Données projet'!$A$114,$BV$205^A49,IF(A49='Données projet'!$A$114,'Données projet'!$B$114,BY48+BX49-CG48)))</f>
        <v>351.90999999999997</v>
      </c>
      <c r="BZ49" s="13">
        <f>BY49*VLOOKUP('Données projet'!$B$12,Paramètres!$A$1:$I$89,3,0)*VLOOKUP('Données projet'!$B$12,Paramètres!$A$1:$I$89,5,0)</f>
        <v>164.69387999999998</v>
      </c>
      <c r="CA49" s="13">
        <f t="shared" si="39"/>
        <v>41.899444923088247</v>
      </c>
      <c r="CB49" s="20">
        <f t="shared" si="10"/>
        <v>359.8167075743786</v>
      </c>
      <c r="CC49" s="59">
        <f t="shared" si="11"/>
        <v>653.15004090771185</v>
      </c>
      <c r="CD49" s="59">
        <f ca="1">AVERAGE(OFFSET($CC$3,0,0,'Données projet'!$E$12+1,1))-AVERAGE(OFFSET($H$3,0,0,'Données projet'!$E$12+1,1))</f>
        <v>310.06530483941287</v>
      </c>
      <c r="CE49" s="59">
        <f t="shared" si="40"/>
        <v>170.13425794309376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17.430710402606746</v>
      </c>
      <c r="CL49" s="21">
        <f>EXP(-LN(2)/25)*CL48+(1-EXP(-LN(2)/25))/(LN(2)/25)*Calculateur!CG49*Calculateur!CI49*VLOOKUP('Données projet'!$B$12,Paramètres!$A$1:$I$89,3,0)*0.475*44/12</f>
        <v>6.790481693561051</v>
      </c>
      <c r="CM49" s="21">
        <f>EXP(-LN(2)/2)*CM48+(1-EXP(-LN(2)/2))/(LN(2)/2)*CG49*CJ49*VLOOKUP('Données projet'!$B$12,Paramètres!$A$1:$I$89,3,0)*0.475*44/12</f>
        <v>0.46781720728663345</v>
      </c>
      <c r="CN49" s="22">
        <f t="shared" si="12"/>
        <v>24.68900930345443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>
        <f>VLOOKUP(A49,'Données projet'!$A$139:$I$159,2,0)</f>
        <v>293</v>
      </c>
      <c r="CR49" s="12">
        <f>VLOOKUP(A49,'Données projet'!$A$139:$I$159,9,0)</f>
        <v>9.8333333333333339</v>
      </c>
      <c r="CS49" s="12">
        <f t="array" ref="CS49">INDEX(CR:CR,MIN(IF(ISNUMBER(CR49:CR245),ROW(CR49:CR245),"")))</f>
        <v>9.8333333333333339</v>
      </c>
      <c r="CT49" s="12">
        <f>IF('Données projet'!$A$140&gt;35,CT48+CS49-DB48,IF(A49&lt;'Données projet'!$A$140,$CQ$205^A49,IF(A49='Données projet'!$A$140,'Données projet'!$B$140,CT48+CS49-DB48)))</f>
        <v>293</v>
      </c>
      <c r="CU49" s="17">
        <f>CT49*VLOOKUP('Données projet'!$B$13,Paramètres!$A$1:$I$89,3,0)*VLOOKUP('Données projet'!$B$13,Paramètres!$A$1:$I$89,5,0)</f>
        <v>175.214</v>
      </c>
      <c r="CV49" s="13">
        <f t="shared" si="41"/>
        <v>44.255725061661991</v>
      </c>
      <c r="CW49" s="20">
        <f t="shared" si="13"/>
        <v>382.24310448239459</v>
      </c>
      <c r="CX49" s="59">
        <f t="shared" si="14"/>
        <v>675.5764378157279</v>
      </c>
      <c r="CY49" s="59">
        <f ca="1">AVERAGE(OFFSET($CX$3,0,0,'Données projet'!$E$13+1,1))-AVERAGE(OFFSET($H$3,0,0,'Données projet'!$E$13+1,1))</f>
        <v>168.08890945052406</v>
      </c>
      <c r="CZ49" s="59">
        <f t="shared" si="42"/>
        <v>182.52462557642343</v>
      </c>
      <c r="DA49" s="15">
        <f>IF(ISNA(VLOOKUP(A49,'Données projet'!$A$139:$I$159,3,0)),0,VLOOKUP(A49,'Données projet'!$A$139:$I$159,3,0))</f>
        <v>7</v>
      </c>
      <c r="DB49" s="15">
        <f>IF(ISNA(VLOOKUP(A49,'Données projet'!$A$139:$I$159,4,0)),0,VLOOKUP(A49,'Données projet'!$A$139:$I$159,4,0))</f>
        <v>29</v>
      </c>
      <c r="DC49" s="16">
        <f>IF(ISNA(VLOOKUP(A49,'Données projet'!$A$139:$I$159,5,0)),0%,VLOOKUP(A49,'Données projet'!$A$139:$I$159,5,0)*VLOOKUP('Données projet'!$B$13,Paramètres!$A$1:$I$89,7,0))</f>
        <v>0.315</v>
      </c>
      <c r="DD49" s="16">
        <f>IF(ISNA(VLOOKUP(A49,'Données projet'!$A$139:$I$159,6,0)),0%,VLOOKUP(A49,'Données projet'!$A$139:$I$159,6,0)*VLOOKUP('Données projet'!$B$13,Paramètres!$A$1:$I$89,7,0))</f>
        <v>7.5600000000000001E-2</v>
      </c>
      <c r="DE49" s="16">
        <f>IF(ISNA(VLOOKUP(A49,'Données projet'!$A$139:$I$159,7,0)),0%,VLOOKUP(A49,'Données projet'!$A$139:$I$159,7,0))</f>
        <v>0.13200000000000001</v>
      </c>
      <c r="DF49" s="21">
        <f>EXP(-LN(2)/35)*DF48+(1-EXP(-LN(2)/35))/(LN(2)/35)*DB49*DC49*VLOOKUP('Données projet'!$B$13,Paramètres!$A$1:$I$89,3,0)*0.475*44/12</f>
        <v>36.541344795725365</v>
      </c>
      <c r="DG49" s="21">
        <f>EXP(-LN(2)/25)*DG48+(1-EXP(-LN(2)/25))/(LN(2)/25)*Calculateur!DB49*Calculateur!DD49*VLOOKUP('Données projet'!$B$13,Paramètres!$A$1:$I$89,3,0)*0.475*44/12</f>
        <v>11.482389543922032</v>
      </c>
      <c r="DH49" s="21">
        <f>EXP(-LN(2)/2)*DH48+(1-EXP(-LN(2)/2))/(LN(2)/2)*DB49*DE49*VLOOKUP('Données projet'!$B$13,Paramètres!$A$1:$I$89,3,0)*0.475*44/12</f>
        <v>3.1225202357549842</v>
      </c>
      <c r="DI49" s="22">
        <f t="shared" si="15"/>
        <v>51.146254575402381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17.8</v>
      </c>
      <c r="DO49" s="12">
        <f>IF('Données projet'!$A$166&gt;35,DO48+DN49-DW48,IF(A49&lt;'Données projet'!$A$166,$DL$205^A49,IF(A49='Données projet'!$A$166,'Données projet'!$B$166,DO48+DN49-DW48)))</f>
        <v>557.79999999999995</v>
      </c>
      <c r="DP49" s="17">
        <f>DO49*VLOOKUP('Données projet'!$B$14,Paramètres!$A$1:$I$89,3,0)*VLOOKUP('Données projet'!$B$14,Paramètres!$A$1:$I$89,5,0)</f>
        <v>311.81020000000001</v>
      </c>
      <c r="DQ49" s="13">
        <f t="shared" si="43"/>
        <v>73.646743780370684</v>
      </c>
      <c r="DR49" s="20">
        <f t="shared" si="16"/>
        <v>671.33751041747894</v>
      </c>
      <c r="DS49" s="59">
        <f t="shared" si="17"/>
        <v>964.67084375081231</v>
      </c>
      <c r="DT49" s="59">
        <f ca="1">AVERAGE(OFFSET($DS$3,0,0,'Données projet'!$E$14+1,1))-AVERAGE(OFFSET($H$3,0,0,'Données projet'!$E$14+1,1))</f>
        <v>355.23615781077405</v>
      </c>
      <c r="DU49" s="59">
        <f t="shared" si="44"/>
        <v>448.84541017639367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63.799170879839998</v>
      </c>
      <c r="EB49" s="21">
        <f>EXP(-LN(2)/25)*EB48+(1-EXP(-LN(2)/25))/(LN(2)/25)*Calculateur!DW49*Calculateur!DY49*VLOOKUP('Données projet'!$B$14,Paramètres!$A$1:$I$89,3,0)*0.475*44/12</f>
        <v>21.241361460397428</v>
      </c>
      <c r="EC49" s="21">
        <f>EXP(-LN(2)/2)*EC48+(1-EXP(-LN(2)/2))/(LN(2)/2)*DW49*DZ49*VLOOKUP('Données projet'!$B$14,Paramètres!$A$1:$I$89,3,0)*0.475*44/12</f>
        <v>4.8062676670411211</v>
      </c>
      <c r="ED49" s="22">
        <f t="shared" si="18"/>
        <v>89.84680000727856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4.9333333333333327</v>
      </c>
      <c r="EJ49" s="12">
        <f>IF('Données projet'!$A$192&gt;35,EJ48+EI49-ER48,IF(A49&lt;'Données projet'!$A$192,$EG$205^A49,IF(A49='Données projet'!$A$192,'Données projet'!$B$192,EJ48+EI49-ER48)))</f>
        <v>86.13333333333334</v>
      </c>
      <c r="EK49" s="17">
        <f>EJ49*VLOOKUP('Données projet'!$B$15,Paramètres!$A$1:$I$89,3,0)*VLOOKUP('Données projet'!$B$15,Paramètres!$A$1:$I$89,5,0)</f>
        <v>92.713920000000002</v>
      </c>
      <c r="EL49" s="13">
        <f t="shared" si="45"/>
        <v>25.218621130262552</v>
      </c>
      <c r="EM49" s="20">
        <f t="shared" si="19"/>
        <v>205.39917580187389</v>
      </c>
      <c r="EN49" s="59">
        <f t="shared" si="20"/>
        <v>498.73250913520724</v>
      </c>
      <c r="EO49" s="59">
        <f ca="1">AVERAGE(OFFSET($EN$3,0,0,'Données projet'!$E$15+1,1))-AVERAGE(OFFSET($H$3,0,0,'Données projet'!$E$15+1,1))</f>
        <v>130.76477588601989</v>
      </c>
      <c r="EP49" s="59">
        <f t="shared" si="46"/>
        <v>94.034011511502172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0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17.8</v>
      </c>
      <c r="FE49" s="12">
        <f>IF('Données projet'!$A$218&gt;35,FE48+FD49-FM48,IF(A49&lt;'Données projet'!$A$218,$FB$205^A49,IF(A49='Données projet'!$A$218,'Données projet'!$B$218,FE48+FD49-FM48)))</f>
        <v>557.79999999999995</v>
      </c>
      <c r="FF49" s="17">
        <f>FE49*VLOOKUP('Données projet'!$B$16,Paramètres!$A$1:$I$89,3,0)*VLOOKUP('Données projet'!$B$16,Paramètres!$A$1:$I$89,5,0)</f>
        <v>253.79899999999995</v>
      </c>
      <c r="FG49" s="13">
        <f t="shared" si="47"/>
        <v>61.398724096956329</v>
      </c>
      <c r="FH49" s="20">
        <f t="shared" si="22"/>
        <v>548.96936946886547</v>
      </c>
      <c r="FI49" s="59">
        <f t="shared" si="23"/>
        <v>842.30270280219884</v>
      </c>
      <c r="FJ49" s="59">
        <f ca="1">AVERAGE(OFFSET($FI$3,0,0,'Données projet'!$E$16+1,1))-AVERAGE(OFFSET($H$3,0,0,'Données projet'!$E$16+1,1))</f>
        <v>279.43442619866738</v>
      </c>
      <c r="FK49" s="59">
        <f t="shared" si="48"/>
        <v>355.95192241448217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51.929557692892999</v>
      </c>
      <c r="FR49" s="21">
        <f>EXP(-LN(2)/25)*FR48+(1-EXP(-LN(2)/25))/(LN(2)/25)*Calculateur!FM49*Calculateur!FO49*VLOOKUP('Données projet'!$B$16,Paramètres!$A$1:$I$89,3,0)*0.475*44/12</f>
        <v>17.289480258463023</v>
      </c>
      <c r="FS49" s="21">
        <f>EXP(-LN(2)/2)*FS48+(1-EXP(-LN(2)/2))/(LN(2)/2)*FM49*FP49*VLOOKUP('Données projet'!$B$16,Paramètres!$A$1:$I$89,3,0)*0.475*44/12</f>
        <v>3.9120783336381226</v>
      </c>
      <c r="FT49" s="22">
        <f t="shared" si="24"/>
        <v>73.13111628499415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7.25</v>
      </c>
      <c r="N50" s="13">
        <f>IF('Données projet'!$A$36&gt;35,N49+M50-V49,IF(A50&lt;'Données projet'!$A$36,$K$205^A50,IF(A50='Données projet'!$A$36,'Données projet'!$B$36,N49+M50-V49)))</f>
        <v>351.24999999999989</v>
      </c>
      <c r="O50" s="13">
        <f>N50*VLOOKUP('Données projet'!$B$9,Paramètres!$A$1:$I$89,3,0)*VLOOKUP('Données projet'!$B$9,Paramètres!$A$1:$I$89,5,0)</f>
        <v>210.04749999999996</v>
      </c>
      <c r="P50" s="13">
        <f t="shared" si="33"/>
        <v>51.945965506750461</v>
      </c>
      <c r="Q50" s="20">
        <f t="shared" si="53"/>
        <v>456.3052857575903</v>
      </c>
      <c r="R50" s="59">
        <f t="shared" si="0"/>
        <v>749.63861909092361</v>
      </c>
      <c r="S50" s="59">
        <f ca="1">AVERAGE(OFFSET($R$3,0,0,'Données projet'!$E$9+1,1))-AVERAGE(OFFSET($H$3,0,0,'Données projet'!$E$9+1,1))</f>
        <v>227.89848316900191</v>
      </c>
      <c r="T50" s="59">
        <f t="shared" si="34"/>
        <v>239.85955661394541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42.954451476087392</v>
      </c>
      <c r="AA50" s="21">
        <f>EXP(-LN(2)/25)*AA49+(1-EXP(-LN(2)/25))/(LN(2)/25)*Calculateur!V50*Calculateur!X50*VLOOKUP('Données projet'!$B$9,Paramètres!$A$1:$I$89,3,0)*0.475*44/12</f>
        <v>11.264490952051851</v>
      </c>
      <c r="AB50" s="21">
        <f>EXP(-LN(2)/2)*AB49+(1-EXP(-LN(2)/2))/(LN(2)/2)*V50*Y50*VLOOKUP('Données projet'!$B$9,Paramètres!$A$1:$I$89,3,0)*0.475*44/12</f>
        <v>1.6617789514229184</v>
      </c>
      <c r="AC50" s="22">
        <f t="shared" si="3"/>
        <v>55.880721379562161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8.3333333333333339</v>
      </c>
      <c r="AI50" s="13">
        <f>IF('Données projet'!$A$62&gt;35,AI49+AH50-AQ49,IF(A50&lt;'Données projet'!$A$62,$AF$205^A50,IF(A50='Données projet'!$A$62,'Données projet'!$B$62,AI49+AH50-AQ49)))</f>
        <v>148.66666666666677</v>
      </c>
      <c r="AJ50" s="13">
        <f>AI50*VLOOKUP('Données projet'!$B$10,Paramètres!$A$1:$I$89,3,0)*VLOOKUP('Données projet'!$B$10,Paramètres!$A$1:$I$89,5,0)</f>
        <v>134.51360000000008</v>
      </c>
      <c r="AK50" s="13">
        <f t="shared" si="35"/>
        <v>35.037238995886284</v>
      </c>
      <c r="AL50" s="20">
        <f t="shared" si="4"/>
        <v>295.30104458450205</v>
      </c>
      <c r="AM50" s="59">
        <f t="shared" si="5"/>
        <v>588.63437791783531</v>
      </c>
      <c r="AN50" s="59">
        <f ca="1">AVERAGE(OFFSET($AM$3,0,0,'Données projet'!$E$10+1,1))-AVERAGE(OFFSET($H$3,0,0,'Données projet'!$E$10+1,1))</f>
        <v>215.7418266360167</v>
      </c>
      <c r="AO50" s="59">
        <f t="shared" si="36"/>
        <v>155.78420008229949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6.166666666666667</v>
      </c>
      <c r="BD50" s="12">
        <f>IF('Données projet'!$A$88&gt;35,BD49+BC50-BL49,IF(A50&lt;'Données projet'!$A$88,$BA$205^A50,IF(A50='Données projet'!$A$88,'Données projet'!$B$88,BD49+BC50-BL49)))</f>
        <v>113.83333333333334</v>
      </c>
      <c r="BE50" s="13">
        <f>BD50*VLOOKUP('Données projet'!$B$11,Paramètres!$A$1:$I$89,3,0)*VLOOKUP('Données projet'!$B$11,Paramètres!$A$1:$I$89,5,0)</f>
        <v>115.42700000000002</v>
      </c>
      <c r="BF50" s="13">
        <f t="shared" si="37"/>
        <v>30.606022334593323</v>
      </c>
      <c r="BG50" s="20">
        <f t="shared" si="7"/>
        <v>254.34084723275001</v>
      </c>
      <c r="BH50" s="59">
        <f t="shared" si="8"/>
        <v>547.67418056608335</v>
      </c>
      <c r="BI50" s="59">
        <f ca="1">AVERAGE(OFFSET($BH$3,0,0,'Données projet'!$E$11+1,1))-AVERAGE(OFFSET($H$3,0,0,'Données projet'!$E$11+1,1))</f>
        <v>179.53921263314447</v>
      </c>
      <c r="BJ50" s="59">
        <f t="shared" si="38"/>
        <v>120.81513023281337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15.242407407407409</v>
      </c>
      <c r="BY50" s="12">
        <f>IF('Données projet'!$A$114&gt;35,BY49+BX50-CG49,IF(A50&lt;'Données projet'!$A$114,$BV$205^A50,IF(A50='Données projet'!$A$114,'Données projet'!$B$114,BY49+BX50-CG49)))</f>
        <v>367.1524074074074</v>
      </c>
      <c r="BZ50" s="13">
        <f>BY50*VLOOKUP('Données projet'!$B$12,Paramètres!$A$1:$I$89,3,0)*VLOOKUP('Données projet'!$B$12,Paramètres!$A$1:$I$89,5,0)</f>
        <v>171.82732666666664</v>
      </c>
      <c r="CA50" s="13">
        <f t="shared" si="39"/>
        <v>43.499028960312621</v>
      </c>
      <c r="CB50" s="20">
        <f t="shared" si="10"/>
        <v>375.0267360503222</v>
      </c>
      <c r="CC50" s="59">
        <f t="shared" si="11"/>
        <v>668.36006938365551</v>
      </c>
      <c r="CD50" s="59">
        <f ca="1">AVERAGE(OFFSET($CC$3,0,0,'Données projet'!$E$12+1,1))-AVERAGE(OFFSET($H$3,0,0,'Données projet'!$E$12+1,1))</f>
        <v>310.06530483941287</v>
      </c>
      <c r="CE50" s="59">
        <f t="shared" si="40"/>
        <v>170.13425794309376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17.088904803295183</v>
      </c>
      <c r="CL50" s="21">
        <f>EXP(-LN(2)/25)*CL49+(1-EXP(-LN(2)/25))/(LN(2)/25)*Calculateur!CG50*Calculateur!CI50*VLOOKUP('Données projet'!$B$12,Paramètres!$A$1:$I$89,3,0)*0.475*44/12</f>
        <v>6.6047956145547113</v>
      </c>
      <c r="CM50" s="21">
        <f>EXP(-LN(2)/2)*CM49+(1-EXP(-LN(2)/2))/(LN(2)/2)*CG50*CJ50*VLOOKUP('Données projet'!$B$12,Paramètres!$A$1:$I$89,3,0)*0.475*44/12</f>
        <v>0.33079671962813129</v>
      </c>
      <c r="CN50" s="22">
        <f t="shared" si="12"/>
        <v>24.024497137478026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5.875</v>
      </c>
      <c r="CT50" s="12">
        <f>IF('Données projet'!$A$140&gt;35,CT49+CS50-DB49,IF(A50&lt;'Données projet'!$A$140,$CQ$205^A50,IF(A50='Données projet'!$A$140,'Données projet'!$B$140,CT49+CS50-DB49)))</f>
        <v>269.875</v>
      </c>
      <c r="CU50" s="17">
        <f>CT50*VLOOKUP('Données projet'!$B$13,Paramètres!$A$1:$I$89,3,0)*VLOOKUP('Données projet'!$B$13,Paramètres!$A$1:$I$89,5,0)</f>
        <v>161.38525000000001</v>
      </c>
      <c r="CV50" s="13">
        <f t="shared" si="41"/>
        <v>41.154805478559268</v>
      </c>
      <c r="CW50" s="20">
        <f t="shared" si="13"/>
        <v>352.75726329182407</v>
      </c>
      <c r="CX50" s="59">
        <f t="shared" si="14"/>
        <v>646.09059662515733</v>
      </c>
      <c r="CY50" s="59">
        <f ca="1">AVERAGE(OFFSET($CX$3,0,0,'Données projet'!$E$13+1,1))-AVERAGE(OFFSET($H$3,0,0,'Données projet'!$E$13+1,1))</f>
        <v>168.08890945052406</v>
      </c>
      <c r="CZ50" s="59">
        <f t="shared" si="42"/>
        <v>182.52462557642343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35.824791312300754</v>
      </c>
      <c r="DG50" s="21">
        <f>EXP(-LN(2)/25)*DG49+(1-EXP(-LN(2)/25))/(LN(2)/25)*Calculateur!DB50*Calculateur!DD50*VLOOKUP('Données projet'!$B$13,Paramètres!$A$1:$I$89,3,0)*0.475*44/12</f>
        <v>11.168402998010862</v>
      </c>
      <c r="DH50" s="21">
        <f>EXP(-LN(2)/2)*DH49+(1-EXP(-LN(2)/2))/(LN(2)/2)*DB50*DE50*VLOOKUP('Données projet'!$B$13,Paramètres!$A$1:$I$89,3,0)*0.475*44/12</f>
        <v>2.2079552330945664</v>
      </c>
      <c r="DI50" s="22">
        <f t="shared" si="15"/>
        <v>49.201149543406181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17.8</v>
      </c>
      <c r="DO50" s="12">
        <f>IF('Données projet'!$A$166&gt;35,DO49+DN50-DW49,IF(A50&lt;'Données projet'!$A$166,$DL$205^A50,IF(A50='Données projet'!$A$166,'Données projet'!$B$166,DO49+DN50-DW49)))</f>
        <v>575.59999999999991</v>
      </c>
      <c r="DP50" s="17">
        <f>DO50*VLOOKUP('Données projet'!$B$14,Paramètres!$A$1:$I$89,3,0)*VLOOKUP('Données projet'!$B$14,Paramètres!$A$1:$I$89,5,0)</f>
        <v>321.76039999999995</v>
      </c>
      <c r="DQ50" s="13">
        <f t="shared" si="43"/>
        <v>75.719522083505169</v>
      </c>
      <c r="DR50" s="20">
        <f t="shared" si="16"/>
        <v>692.27753096210472</v>
      </c>
      <c r="DS50" s="59">
        <f t="shared" si="17"/>
        <v>985.61086429543798</v>
      </c>
      <c r="DT50" s="59">
        <f ca="1">AVERAGE(OFFSET($DS$3,0,0,'Données projet'!$E$14+1,1))-AVERAGE(OFFSET($H$3,0,0,'Données projet'!$E$14+1,1))</f>
        <v>355.23615781077405</v>
      </c>
      <c r="DU50" s="59">
        <f t="shared" si="44"/>
        <v>448.84541017639367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62.548108052538169</v>
      </c>
      <c r="EB50" s="21">
        <f>EXP(-LN(2)/25)*EB49+(1-EXP(-LN(2)/25))/(LN(2)/25)*Calculateur!DW50*Calculateur!DY50*VLOOKUP('Données projet'!$B$14,Paramètres!$A$1:$I$89,3,0)*0.475*44/12</f>
        <v>20.66051531422821</v>
      </c>
      <c r="EC50" s="21">
        <f>EXP(-LN(2)/2)*EC49+(1-EXP(-LN(2)/2))/(LN(2)/2)*DW50*DZ50*VLOOKUP('Données projet'!$B$14,Paramètres!$A$1:$I$89,3,0)*0.475*44/12</f>
        <v>3.3985444595624243</v>
      </c>
      <c r="ED50" s="22">
        <f t="shared" si="18"/>
        <v>86.607167826328805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4.9333333333333327</v>
      </c>
      <c r="EJ50" s="12">
        <f>IF('Données projet'!$A$192&gt;35,EJ49+EI50-ER49,IF(A50&lt;'Données projet'!$A$192,$EG$205^A50,IF(A50='Données projet'!$A$192,'Données projet'!$B$192,EJ49+EI50-ER49)))</f>
        <v>91.066666666666677</v>
      </c>
      <c r="EK50" s="17">
        <f>EJ50*VLOOKUP('Données projet'!$B$15,Paramètres!$A$1:$I$89,3,0)*VLOOKUP('Données projet'!$B$15,Paramètres!$A$1:$I$89,5,0)</f>
        <v>98.024160000000009</v>
      </c>
      <c r="EL50" s="13">
        <f t="shared" si="45"/>
        <v>26.49073559701791</v>
      </c>
      <c r="EM50" s="20">
        <f t="shared" si="19"/>
        <v>216.8634431648062</v>
      </c>
      <c r="EN50" s="59">
        <f t="shared" si="20"/>
        <v>510.19677649813951</v>
      </c>
      <c r="EO50" s="59">
        <f ca="1">AVERAGE(OFFSET($EN$3,0,0,'Données projet'!$E$15+1,1))-AVERAGE(OFFSET($H$3,0,0,'Données projet'!$E$15+1,1))</f>
        <v>130.76477588601989</v>
      </c>
      <c r="EP50" s="59">
        <f t="shared" si="46"/>
        <v>94.034011511502172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0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17.8</v>
      </c>
      <c r="FE50" s="12">
        <f>IF('Données projet'!$A$218&gt;35,FE49+FD50-FM49,IF(A50&lt;'Données projet'!$A$218,$FB$205^A50,IF(A50='Données projet'!$A$218,'Données projet'!$B$218,FE49+FD50-FM49)))</f>
        <v>575.59999999999991</v>
      </c>
      <c r="FF50" s="17">
        <f>FE50*VLOOKUP('Données projet'!$B$16,Paramètres!$A$1:$I$89,3,0)*VLOOKUP('Données projet'!$B$16,Paramètres!$A$1:$I$89,5,0)</f>
        <v>261.89799999999997</v>
      </c>
      <c r="FG50" s="13">
        <f t="shared" si="47"/>
        <v>63.126783432856428</v>
      </c>
      <c r="FH50" s="20">
        <f t="shared" si="22"/>
        <v>566.08483114555816</v>
      </c>
      <c r="FI50" s="59">
        <f t="shared" si="23"/>
        <v>859.41816447889141</v>
      </c>
      <c r="FJ50" s="59">
        <f ca="1">AVERAGE(OFFSET($FI$3,0,0,'Données projet'!$E$16+1,1))-AVERAGE(OFFSET($H$3,0,0,'Données projet'!$E$16+1,1))</f>
        <v>279.43442619866738</v>
      </c>
      <c r="FK50" s="59">
        <f t="shared" si="48"/>
        <v>355.95192241448217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50.911250740438021</v>
      </c>
      <c r="FR50" s="21">
        <f>EXP(-LN(2)/25)*FR49+(1-EXP(-LN(2)/25))/(LN(2)/25)*Calculateur!FM50*Calculateur!FO50*VLOOKUP('Données projet'!$B$16,Paramètres!$A$1:$I$89,3,0)*0.475*44/12</f>
        <v>16.816698511581102</v>
      </c>
      <c r="FS50" s="21">
        <f>EXP(-LN(2)/2)*FS49+(1-EXP(-LN(2)/2))/(LN(2)/2)*FM50*FP50*VLOOKUP('Données projet'!$B$16,Paramètres!$A$1:$I$89,3,0)*0.475*44/12</f>
        <v>2.7662571182484856</v>
      </c>
      <c r="FT50" s="22">
        <f t="shared" si="24"/>
        <v>70.494206370267619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7.25</v>
      </c>
      <c r="N51" s="13">
        <f>IF('Données projet'!$A$36&gt;35,N50+M51-V50,IF(A51&lt;'Données projet'!$A$36,$K$205^A51,IF(A51='Données projet'!$A$36,'Données projet'!$B$36,N50+M51-V50)))</f>
        <v>358.49999999999989</v>
      </c>
      <c r="O51" s="13">
        <f>N51*VLOOKUP('Données projet'!$B$9,Paramètres!$A$1:$I$89,3,0)*VLOOKUP('Données projet'!$B$9,Paramètres!$A$1:$I$89,5,0)</f>
        <v>214.38299999999995</v>
      </c>
      <c r="P51" s="13">
        <f t="shared" si="33"/>
        <v>52.892226959987113</v>
      </c>
      <c r="Q51" s="20">
        <f t="shared" si="53"/>
        <v>465.50435362197749</v>
      </c>
      <c r="R51" s="59">
        <f t="shared" si="0"/>
        <v>758.8376869553108</v>
      </c>
      <c r="S51" s="59">
        <f ca="1">AVERAGE(OFFSET($R$3,0,0,'Données projet'!$E$9+1,1))-AVERAGE(OFFSET($H$3,0,0,'Données projet'!$E$9+1,1))</f>
        <v>227.89848316900191</v>
      </c>
      <c r="T51" s="59">
        <f t="shared" si="34"/>
        <v>239.85955661394541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42.112140882269721</v>
      </c>
      <c r="AA51" s="21">
        <f>EXP(-LN(2)/25)*AA50+(1-EXP(-LN(2)/25))/(LN(2)/25)*Calculateur!V51*Calculateur!X51*VLOOKUP('Données projet'!$B$9,Paramètres!$A$1:$I$89,3,0)*0.475*44/12</f>
        <v>10.956462854594159</v>
      </c>
      <c r="AB51" s="21">
        <f>EXP(-LN(2)/2)*AB50+(1-EXP(-LN(2)/2))/(LN(2)/2)*V51*Y51*VLOOKUP('Données projet'!$B$9,Paramètres!$A$1:$I$89,3,0)*0.475*44/12</f>
        <v>1.1750551653842161</v>
      </c>
      <c r="AC51" s="22">
        <f t="shared" si="3"/>
        <v>54.243658902248093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157</v>
      </c>
      <c r="AG51" s="12">
        <f>VLOOKUP(A51,'Données projet'!$A$61:$I$81,9,0)</f>
        <v>8.3333333333333339</v>
      </c>
      <c r="AH51" s="12">
        <f t="array" ref="AH51">INDEX(AG:AG,MIN(IF(ISNUMBER(AG51:AG247),ROW(AG51:AG247),"")))</f>
        <v>8.3333333333333339</v>
      </c>
      <c r="AI51" s="13">
        <f>IF('Données projet'!$A$62&gt;35,AI50+AH51-AQ50,IF(A51&lt;'Données projet'!$A$62,$AF$205^A51,IF(A51='Données projet'!$A$62,'Données projet'!$B$62,AI50+AH51-AQ50)))</f>
        <v>157.00000000000011</v>
      </c>
      <c r="AJ51" s="13">
        <f>AI51*VLOOKUP('Données projet'!$B$10,Paramètres!$A$1:$I$89,3,0)*VLOOKUP('Données projet'!$B$10,Paramètres!$A$1:$I$89,5,0)</f>
        <v>142.0536000000001</v>
      </c>
      <c r="AK51" s="13">
        <f t="shared" si="35"/>
        <v>36.767056963845924</v>
      </c>
      <c r="AL51" s="20">
        <f t="shared" si="4"/>
        <v>311.44597754536511</v>
      </c>
      <c r="AM51" s="59">
        <f t="shared" si="5"/>
        <v>604.77931087869842</v>
      </c>
      <c r="AN51" s="59">
        <f ca="1">AVERAGE(OFFSET($AM$3,0,0,'Données projet'!$E$10+1,1))-AVERAGE(OFFSET($H$3,0,0,'Données projet'!$E$10+1,1))</f>
        <v>215.7418266360167</v>
      </c>
      <c r="AO51" s="59">
        <f t="shared" si="36"/>
        <v>155.78420008229949</v>
      </c>
      <c r="AP51" s="15">
        <f>IF(ISNA(VLOOKUP(A51,'Données projet'!$A$61:$I$81,3,0)),0,VLOOKUP(A51,'Données projet'!$A$61:$I$81,3,0))</f>
        <v>3</v>
      </c>
      <c r="AQ51" s="15">
        <f>IF(ISNA(VLOOKUP(A51,'Données projet'!$A$61:$I$81,4,0)),0,VLOOKUP(A51,'Données projet'!$A$61:$I$81,4,0))</f>
        <v>41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>
        <f>VLOOKUP(A51,'Données projet'!$A$87:$I$107,2,0)</f>
        <v>120</v>
      </c>
      <c r="BB51" s="12">
        <f>VLOOKUP(A51,'Données projet'!$A$87:$I$107,9,0)</f>
        <v>6.166666666666667</v>
      </c>
      <c r="BC51" s="12">
        <f t="array" ref="BC51">INDEX(BB:BB,MIN(IF(ISNUMBER(BB51:BB247),ROW(BB51:BB247),"")))</f>
        <v>6.166666666666667</v>
      </c>
      <c r="BD51" s="12">
        <f>IF('Données projet'!$A$88&gt;35,BD50+BC51-BL50,IF(A51&lt;'Données projet'!$A$88,$BA$205^A51,IF(A51='Données projet'!$A$88,'Données projet'!$B$88,BD50+BC51-BL50)))</f>
        <v>120.00000000000001</v>
      </c>
      <c r="BE51" s="13">
        <f>BD51*VLOOKUP('Données projet'!$B$11,Paramètres!$A$1:$I$89,3,0)*VLOOKUP('Données projet'!$B$11,Paramètres!$A$1:$I$89,5,0)</f>
        <v>121.68000000000002</v>
      </c>
      <c r="BF51" s="13">
        <f t="shared" si="37"/>
        <v>32.066514091456284</v>
      </c>
      <c r="BG51" s="20">
        <f t="shared" si="7"/>
        <v>267.77517870928637</v>
      </c>
      <c r="BH51" s="59">
        <f t="shared" si="8"/>
        <v>561.10851204261962</v>
      </c>
      <c r="BI51" s="59">
        <f ca="1">AVERAGE(OFFSET($BH$3,0,0,'Données projet'!$E$11+1,1))-AVERAGE(OFFSET($H$3,0,0,'Données projet'!$E$11+1,1))</f>
        <v>179.53921263314447</v>
      </c>
      <c r="BJ51" s="59">
        <f t="shared" si="38"/>
        <v>120.81513023281337</v>
      </c>
      <c r="BK51" s="15">
        <f>IF(ISNA(VLOOKUP(A51,'Données projet'!$A$87:$I$107,3,0)),0,VLOOKUP(A51,'Données projet'!$A$87:$I$107,3,0))</f>
        <v>2</v>
      </c>
      <c r="BL51" s="15">
        <f>IF(ISNA(VLOOKUP(A51,'Données projet'!$A$87:$I$107,4,0)),0,VLOOKUP(A51,'Données projet'!$A$87:$I$107,4,0))</f>
        <v>28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15.242407407407409</v>
      </c>
      <c r="BY51" s="12">
        <f>IF('Données projet'!$A$114&gt;35,BY50+BX51-CG50,IF(A51&lt;'Données projet'!$A$114,$BV$205^A51,IF(A51='Données projet'!$A$114,'Données projet'!$B$114,BY50+BX51-CG50)))</f>
        <v>382.39481481481482</v>
      </c>
      <c r="BZ51" s="13">
        <f>BY51*VLOOKUP('Données projet'!$B$12,Paramètres!$A$1:$I$89,3,0)*VLOOKUP('Données projet'!$B$12,Paramètres!$A$1:$I$89,5,0)</f>
        <v>178.96077333333335</v>
      </c>
      <c r="CA51" s="13">
        <f t="shared" si="39"/>
        <v>45.090899522421338</v>
      </c>
      <c r="CB51" s="20">
        <f t="shared" si="10"/>
        <v>390.22333022377279</v>
      </c>
      <c r="CC51" s="59">
        <f t="shared" si="11"/>
        <v>683.55666355710605</v>
      </c>
      <c r="CD51" s="59">
        <f ca="1">AVERAGE(OFFSET($CC$3,0,0,'Données projet'!$E$12+1,1))-AVERAGE(OFFSET($H$3,0,0,'Données projet'!$E$12+1,1))</f>
        <v>310.06530483941287</v>
      </c>
      <c r="CE51" s="59">
        <f t="shared" si="40"/>
        <v>170.13425794309376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16.75380180330529</v>
      </c>
      <c r="CL51" s="21">
        <f>EXP(-LN(2)/25)*CL50+(1-EXP(-LN(2)/25))/(LN(2)/25)*Calculateur!CG51*Calculateur!CI51*VLOOKUP('Données projet'!$B$12,Paramètres!$A$1:$I$89,3,0)*0.475*44/12</f>
        <v>6.424187131143607</v>
      </c>
      <c r="CM51" s="21">
        <f>EXP(-LN(2)/2)*CM50+(1-EXP(-LN(2)/2))/(LN(2)/2)*CG51*CJ51*VLOOKUP('Données projet'!$B$12,Paramètres!$A$1:$I$89,3,0)*0.475*44/12</f>
        <v>0.23390860364331675</v>
      </c>
      <c r="CN51" s="22">
        <f t="shared" si="12"/>
        <v>23.411897538092216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5.875</v>
      </c>
      <c r="CT51" s="12">
        <f>IF('Données projet'!$A$140&gt;35,CT50+CS51-DB50,IF(A51&lt;'Données projet'!$A$140,$CQ$205^A51,IF(A51='Données projet'!$A$140,'Données projet'!$B$140,CT50+CS51-DB50)))</f>
        <v>275.75</v>
      </c>
      <c r="CU51" s="17">
        <f>CT51*VLOOKUP('Données projet'!$B$13,Paramètres!$A$1:$I$89,3,0)*VLOOKUP('Données projet'!$B$13,Paramètres!$A$1:$I$89,5,0)</f>
        <v>164.89850000000001</v>
      </c>
      <c r="CV51" s="13">
        <f t="shared" si="41"/>
        <v>41.94543913753872</v>
      </c>
      <c r="CW51" s="20">
        <f t="shared" si="13"/>
        <v>360.25319399788003</v>
      </c>
      <c r="CX51" s="59">
        <f t="shared" si="14"/>
        <v>653.58652733121335</v>
      </c>
      <c r="CY51" s="59">
        <f ca="1">AVERAGE(OFFSET($CX$3,0,0,'Données projet'!$E$13+1,1))-AVERAGE(OFFSET($H$3,0,0,'Données projet'!$E$13+1,1))</f>
        <v>168.08890945052406</v>
      </c>
      <c r="CZ51" s="59">
        <f t="shared" si="42"/>
        <v>182.52462557642343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35.122289005631636</v>
      </c>
      <c r="DG51" s="21">
        <f>EXP(-LN(2)/25)*DG50+(1-EXP(-LN(2)/25))/(LN(2)/25)*Calculateur!DB51*Calculateur!DD51*VLOOKUP('Données projet'!$B$13,Paramètres!$A$1:$I$89,3,0)*0.475*44/12</f>
        <v>10.863002430709466</v>
      </c>
      <c r="DH51" s="21">
        <f>EXP(-LN(2)/2)*DH50+(1-EXP(-LN(2)/2))/(LN(2)/2)*DB51*DE51*VLOOKUP('Données projet'!$B$13,Paramètres!$A$1:$I$89,3,0)*0.475*44/12</f>
        <v>1.5612601178774923</v>
      </c>
      <c r="DI51" s="22">
        <f t="shared" si="15"/>
        <v>47.546551554218595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17.8</v>
      </c>
      <c r="DO51" s="12">
        <f>IF('Données projet'!$A$166&gt;35,DO50+DN51-DW50,IF(A51&lt;'Données projet'!$A$166,$DL$205^A51,IF(A51='Données projet'!$A$166,'Données projet'!$B$166,DO50+DN51-DW50)))</f>
        <v>593.39999999999986</v>
      </c>
      <c r="DP51" s="17">
        <f>DO51*VLOOKUP('Données projet'!$B$14,Paramètres!$A$1:$I$89,3,0)*VLOOKUP('Données projet'!$B$14,Paramètres!$A$1:$I$89,5,0)</f>
        <v>331.71059999999994</v>
      </c>
      <c r="DQ51" s="13">
        <f t="shared" si="43"/>
        <v>77.784851407016433</v>
      </c>
      <c r="DR51" s="20">
        <f t="shared" si="16"/>
        <v>713.20457786722011</v>
      </c>
      <c r="DS51" s="59">
        <f t="shared" si="17"/>
        <v>1006.5379112005535</v>
      </c>
      <c r="DT51" s="59">
        <f ca="1">AVERAGE(OFFSET($DS$3,0,0,'Données projet'!$E$14+1,1))-AVERAGE(OFFSET($H$3,0,0,'Données projet'!$E$14+1,1))</f>
        <v>355.23615781077405</v>
      </c>
      <c r="DU51" s="59">
        <f t="shared" si="44"/>
        <v>448.84541017639367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61.321577804206747</v>
      </c>
      <c r="EB51" s="21">
        <f>EXP(-LN(2)/25)*EB50+(1-EXP(-LN(2)/25))/(LN(2)/25)*Calculateur!DW51*Calculateur!DY51*VLOOKUP('Données projet'!$B$14,Paramètres!$A$1:$I$89,3,0)*0.475*44/12</f>
        <v>20.095552436471358</v>
      </c>
      <c r="EC51" s="21">
        <f>EXP(-LN(2)/2)*EC50+(1-EXP(-LN(2)/2))/(LN(2)/2)*DW51*DZ51*VLOOKUP('Données projet'!$B$14,Paramètres!$A$1:$I$89,3,0)*0.475*44/12</f>
        <v>2.403133833520561</v>
      </c>
      <c r="ED51" s="22">
        <f t="shared" si="18"/>
        <v>83.820264074198661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>
        <f>VLOOKUP(A51,'Données projet'!$A$191:$I$211,2,0)</f>
        <v>96</v>
      </c>
      <c r="EH51" s="12">
        <f>VLOOKUP(A51,'Données projet'!$A$191:$I$211,9,0)</f>
        <v>4.9333333333333327</v>
      </c>
      <c r="EI51" s="12">
        <f t="array" ref="EI51">INDEX(EH:EH,MIN(IF(ISNUMBER(EH51:EH247),ROW(EH51:EH247),"")))</f>
        <v>4.9333333333333327</v>
      </c>
      <c r="EJ51" s="12">
        <f>IF('Données projet'!$A$192&gt;35,EJ50+EI51-ER50,IF(A51&lt;'Données projet'!$A$192,$EG$205^A51,IF(A51='Données projet'!$A$192,'Données projet'!$B$192,EJ50+EI51-ER50)))</f>
        <v>96.000000000000014</v>
      </c>
      <c r="EK51" s="17">
        <f>EJ51*VLOOKUP('Données projet'!$B$15,Paramètres!$A$1:$I$89,3,0)*VLOOKUP('Données projet'!$B$15,Paramètres!$A$1:$I$89,5,0)</f>
        <v>103.33440000000002</v>
      </c>
      <c r="EL51" s="13">
        <f t="shared" si="45"/>
        <v>27.754849585752435</v>
      </c>
      <c r="EM51" s="20">
        <f t="shared" si="19"/>
        <v>228.31377636185218</v>
      </c>
      <c r="EN51" s="59">
        <f t="shared" si="20"/>
        <v>521.64710969518546</v>
      </c>
      <c r="EO51" s="59">
        <f ca="1">AVERAGE(OFFSET($EN$3,0,0,'Données projet'!$E$15+1,1))-AVERAGE(OFFSET($H$3,0,0,'Données projet'!$E$15+1,1))</f>
        <v>130.76477588601989</v>
      </c>
      <c r="EP51" s="59">
        <f t="shared" si="46"/>
        <v>94.034011511502172</v>
      </c>
      <c r="EQ51" s="15">
        <f>IF(ISNA(VLOOKUP(A51,'Données projet'!$A$191:$I$211,3,0)),0,VLOOKUP(A51,'Données projet'!$A$191:$I$211,3,0))</f>
        <v>2</v>
      </c>
      <c r="ER51" s="15">
        <f>IF(ISNA(VLOOKUP(A51,'Données projet'!$A$191:$I$211,4,0)),0,VLOOKUP(A51,'Données projet'!$A$191:$I$211,4,0))</f>
        <v>22.400000000000002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0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17.8</v>
      </c>
      <c r="FE51" s="12">
        <f>IF('Données projet'!$A$218&gt;35,FE50+FD51-FM50,IF(A51&lt;'Données projet'!$A$218,$FB$205^A51,IF(A51='Données projet'!$A$218,'Données projet'!$B$218,FE50+FD51-FM50)))</f>
        <v>593.39999999999986</v>
      </c>
      <c r="FF51" s="17">
        <f>FE51*VLOOKUP('Données projet'!$B$16,Paramètres!$A$1:$I$89,3,0)*VLOOKUP('Données projet'!$B$16,Paramètres!$A$1:$I$89,5,0)</f>
        <v>269.99699999999996</v>
      </c>
      <c r="FG51" s="13">
        <f t="shared" si="47"/>
        <v>64.848632611712048</v>
      </c>
      <c r="FH51" s="20">
        <f t="shared" si="22"/>
        <v>583.18947679873168</v>
      </c>
      <c r="FI51" s="59">
        <f t="shared" si="23"/>
        <v>876.52281013206493</v>
      </c>
      <c r="FJ51" s="59">
        <f ca="1">AVERAGE(OFFSET($FI$3,0,0,'Données projet'!$E$16+1,1))-AVERAGE(OFFSET($H$3,0,0,'Données projet'!$E$16+1,1))</f>
        <v>279.43442619866738</v>
      </c>
      <c r="FK51" s="59">
        <f t="shared" si="48"/>
        <v>355.95192241448217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49.912912166214774</v>
      </c>
      <c r="FR51" s="21">
        <f>EXP(-LN(2)/25)*FR50+(1-EXP(-LN(2)/25))/(LN(2)/25)*Calculateur!FM51*Calculateur!FO51*VLOOKUP('Données projet'!$B$16,Paramètres!$A$1:$I$89,3,0)*0.475*44/12</f>
        <v>16.356845006430177</v>
      </c>
      <c r="FS51" s="21">
        <f>EXP(-LN(2)/2)*FS50+(1-EXP(-LN(2)/2))/(LN(2)/2)*FM51*FP51*VLOOKUP('Données projet'!$B$16,Paramètres!$A$1:$I$89,3,0)*0.475*44/12</f>
        <v>1.9560391668190615</v>
      </c>
      <c r="FT51" s="22">
        <f t="shared" si="24"/>
        <v>68.225796339464011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7.25</v>
      </c>
      <c r="N52" s="13">
        <f>IF('Données projet'!$A$36&gt;35,N51+M52-V51,IF(A52&lt;'Données projet'!$A$36,$K$205^A52,IF(A52='Données projet'!$A$36,'Données projet'!$B$36,N51+M52-V51)))</f>
        <v>365.74999999999989</v>
      </c>
      <c r="O52" s="13">
        <f>N52*VLOOKUP('Données projet'!$B$9,Paramètres!$A$1:$I$89,3,0)*VLOOKUP('Données projet'!$B$9,Paramètres!$A$1:$I$89,5,0)</f>
        <v>218.71849999999995</v>
      </c>
      <c r="P52" s="13">
        <f t="shared" si="33"/>
        <v>53.836263396856545</v>
      </c>
      <c r="Q52" s="20">
        <f t="shared" si="53"/>
        <v>474.69954624952516</v>
      </c>
      <c r="R52" s="59">
        <f t="shared" si="0"/>
        <v>768.03287958285841</v>
      </c>
      <c r="S52" s="59">
        <f ca="1">AVERAGE(OFFSET($R$3,0,0,'Données projet'!$E$9+1,1))-AVERAGE(OFFSET($H$3,0,0,'Données projet'!$E$9+1,1))</f>
        <v>227.89848316900191</v>
      </c>
      <c r="T52" s="59">
        <f t="shared" si="34"/>
        <v>239.85955661394541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41.286347485438078</v>
      </c>
      <c r="AA52" s="21">
        <f>EXP(-LN(2)/25)*AA51+(1-EXP(-LN(2)/25))/(LN(2)/25)*Calculateur!V52*Calculateur!X52*VLOOKUP('Données projet'!$B$9,Paramètres!$A$1:$I$89,3,0)*0.475*44/12</f>
        <v>10.656857801659942</v>
      </c>
      <c r="AB52" s="21">
        <f>EXP(-LN(2)/2)*AB51+(1-EXP(-LN(2)/2))/(LN(2)/2)*V52*Y52*VLOOKUP('Données projet'!$B$9,Paramètres!$A$1:$I$89,3,0)*0.475*44/12</f>
        <v>0.83088947571145932</v>
      </c>
      <c r="AC52" s="22">
        <f t="shared" si="3"/>
        <v>52.774094762809483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7.833333333333333</v>
      </c>
      <c r="AI52" s="13">
        <f>IF('Données projet'!$A$62&gt;35,AI51+AH52-AQ51,IF(A52&lt;'Données projet'!$A$62,$AF$205^A52,IF(A52='Données projet'!$A$62,'Données projet'!$B$62,AI51+AH52-AQ51)))</f>
        <v>123.83333333333346</v>
      </c>
      <c r="AJ52" s="13">
        <f>AI52*VLOOKUP('Données projet'!$B$10,Paramètres!$A$1:$I$89,3,0)*VLOOKUP('Données projet'!$B$10,Paramètres!$A$1:$I$89,5,0)</f>
        <v>112.0444000000001</v>
      </c>
      <c r="AK52" s="13">
        <f t="shared" si="35"/>
        <v>29.812143709975075</v>
      </c>
      <c r="AL52" s="20">
        <f t="shared" si="4"/>
        <v>247.06681362820675</v>
      </c>
      <c r="AM52" s="59">
        <f t="shared" si="5"/>
        <v>540.40014696154003</v>
      </c>
      <c r="AN52" s="59">
        <f ca="1">AVERAGE(OFFSET($AM$3,0,0,'Données projet'!$E$10+1,1))-AVERAGE(OFFSET($H$3,0,0,'Données projet'!$E$10+1,1))</f>
        <v>215.7418266360167</v>
      </c>
      <c r="AO52" s="59">
        <f t="shared" si="36"/>
        <v>155.78420008229949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5.75</v>
      </c>
      <c r="BD52" s="12">
        <f>IF('Données projet'!$A$88&gt;35,BD51+BC52-BL51,IF(A52&lt;'Données projet'!$A$88,$BA$205^A52,IF(A52='Données projet'!$A$88,'Données projet'!$B$88,BD51+BC52-BL51)))</f>
        <v>97.750000000000014</v>
      </c>
      <c r="BE52" s="13">
        <f>BD52*VLOOKUP('Données projet'!$B$11,Paramètres!$A$1:$I$89,3,0)*VLOOKUP('Données projet'!$B$11,Paramètres!$A$1:$I$89,5,0)</f>
        <v>99.118500000000012</v>
      </c>
      <c r="BF52" s="13">
        <f t="shared" si="37"/>
        <v>26.751884234249314</v>
      </c>
      <c r="BG52" s="20">
        <f t="shared" si="7"/>
        <v>219.22425254131755</v>
      </c>
      <c r="BH52" s="59">
        <f t="shared" si="8"/>
        <v>512.55758587465084</v>
      </c>
      <c r="BI52" s="59">
        <f ca="1">AVERAGE(OFFSET($BH$3,0,0,'Données projet'!$E$11+1,1))-AVERAGE(OFFSET($H$3,0,0,'Données projet'!$E$11+1,1))</f>
        <v>179.53921263314447</v>
      </c>
      <c r="BJ52" s="59">
        <f t="shared" si="38"/>
        <v>120.81513023281337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15.242407407407409</v>
      </c>
      <c r="BY52" s="12">
        <f>IF('Données projet'!$A$114&gt;35,BY51+BX52-CG51,IF(A52&lt;'Données projet'!$A$114,$BV$205^A52,IF(A52='Données projet'!$A$114,'Données projet'!$B$114,BY51+BX52-CG51)))</f>
        <v>397.63722222222225</v>
      </c>
      <c r="BZ52" s="13">
        <f>BY52*VLOOKUP('Données projet'!$B$12,Paramètres!$A$1:$I$89,3,0)*VLOOKUP('Données projet'!$B$12,Paramètres!$A$1:$I$89,5,0)</f>
        <v>186.09422000000004</v>
      </c>
      <c r="CA52" s="13">
        <f t="shared" si="39"/>
        <v>46.675399249974703</v>
      </c>
      <c r="CB52" s="20">
        <f t="shared" si="10"/>
        <v>405.4070868603726</v>
      </c>
      <c r="CC52" s="59">
        <f t="shared" si="11"/>
        <v>698.74042019370586</v>
      </c>
      <c r="CD52" s="59">
        <f ca="1">AVERAGE(OFFSET($CC$3,0,0,'Données projet'!$E$12+1,1))-AVERAGE(OFFSET($H$3,0,0,'Données projet'!$E$12+1,1))</f>
        <v>310.06530483941287</v>
      </c>
      <c r="CE52" s="59">
        <f t="shared" si="40"/>
        <v>170.13425794309376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16.425269968752549</v>
      </c>
      <c r="CL52" s="21">
        <f>EXP(-LN(2)/25)*CL51+(1-EXP(-LN(2)/25))/(LN(2)/25)*Calculateur!CG52*Calculateur!CI52*VLOOKUP('Données projet'!$B$12,Paramètres!$A$1:$I$89,3,0)*0.475*44/12</f>
        <v>6.2485173962091665</v>
      </c>
      <c r="CM52" s="21">
        <f>EXP(-LN(2)/2)*CM51+(1-EXP(-LN(2)/2))/(LN(2)/2)*CG52*CJ52*VLOOKUP('Données projet'!$B$12,Paramètres!$A$1:$I$89,3,0)*0.475*44/12</f>
        <v>0.16539835981406567</v>
      </c>
      <c r="CN52" s="22">
        <f t="shared" si="12"/>
        <v>22.839185724775781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5.875</v>
      </c>
      <c r="CT52" s="12">
        <f>IF('Données projet'!$A$140&gt;35,CT51+CS52-DB51,IF(A52&lt;'Données projet'!$A$140,$CQ$205^A52,IF(A52='Données projet'!$A$140,'Données projet'!$B$140,CT51+CS52-DB51)))</f>
        <v>281.625</v>
      </c>
      <c r="CU52" s="17">
        <f>CT52*VLOOKUP('Données projet'!$B$13,Paramètres!$A$1:$I$89,3,0)*VLOOKUP('Données projet'!$B$13,Paramètres!$A$1:$I$89,5,0)</f>
        <v>168.41175000000001</v>
      </c>
      <c r="CV52" s="13">
        <f t="shared" si="41"/>
        <v>42.73411432638013</v>
      </c>
      <c r="CW52" s="20">
        <f t="shared" si="13"/>
        <v>367.74571370177881</v>
      </c>
      <c r="CX52" s="59">
        <f t="shared" si="14"/>
        <v>661.07904703511213</v>
      </c>
      <c r="CY52" s="59">
        <f ca="1">AVERAGE(OFFSET($CX$3,0,0,'Données projet'!$E$13+1,1))-AVERAGE(OFFSET($H$3,0,0,'Données projet'!$E$13+1,1))</f>
        <v>168.08890945052406</v>
      </c>
      <c r="CZ52" s="59">
        <f t="shared" si="42"/>
        <v>182.52462557642343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34.4335623407122</v>
      </c>
      <c r="DG52" s="21">
        <f>EXP(-LN(2)/25)*DG51+(1-EXP(-LN(2)/25))/(LN(2)/25)*Calculateur!DB52*Calculateur!DD52*VLOOKUP('Données projet'!$B$13,Paramètres!$A$1:$I$89,3,0)*0.475*44/12</f>
        <v>10.565953057981245</v>
      </c>
      <c r="DH52" s="21">
        <f>EXP(-LN(2)/2)*DH51+(1-EXP(-LN(2)/2))/(LN(2)/2)*DB52*DE52*VLOOKUP('Données projet'!$B$13,Paramètres!$A$1:$I$89,3,0)*0.475*44/12</f>
        <v>1.1039776165472834</v>
      </c>
      <c r="DI52" s="22">
        <f t="shared" si="15"/>
        <v>46.10349301524073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17.8</v>
      </c>
      <c r="DO52" s="12">
        <f>IF('Données projet'!$A$166&gt;35,DO51+DN52-DW51,IF(A52&lt;'Données projet'!$A$166,$DL$205^A52,IF(A52='Données projet'!$A$166,'Données projet'!$B$166,DO51+DN52-DW51)))</f>
        <v>611.19999999999982</v>
      </c>
      <c r="DP52" s="17">
        <f>DO52*VLOOKUP('Données projet'!$B$14,Paramètres!$A$1:$I$89,3,0)*VLOOKUP('Données projet'!$B$14,Paramètres!$A$1:$I$89,5,0)</f>
        <v>341.66079999999988</v>
      </c>
      <c r="DQ52" s="13">
        <f t="shared" si="43"/>
        <v>79.842980844864144</v>
      </c>
      <c r="DR52" s="20">
        <f t="shared" si="16"/>
        <v>734.11908497147158</v>
      </c>
      <c r="DS52" s="59">
        <f t="shared" si="17"/>
        <v>1027.452418304805</v>
      </c>
      <c r="DT52" s="59">
        <f ca="1">AVERAGE(OFFSET($DS$3,0,0,'Données projet'!$E$14+1,1))-AVERAGE(OFFSET($H$3,0,0,'Données projet'!$E$14+1,1))</f>
        <v>355.23615781077405</v>
      </c>
      <c r="DU52" s="59">
        <f t="shared" si="44"/>
        <v>448.84541017639367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60.119099065935529</v>
      </c>
      <c r="EB52" s="21">
        <f>EXP(-LN(2)/25)*EB51+(1-EXP(-LN(2)/25))/(LN(2)/25)*Calculateur!DW52*Calculateur!DY52*VLOOKUP('Données projet'!$B$14,Paramètres!$A$1:$I$89,3,0)*0.475*44/12</f>
        <v>19.546038498316875</v>
      </c>
      <c r="EC52" s="21">
        <f>EXP(-LN(2)/2)*EC51+(1-EXP(-LN(2)/2))/(LN(2)/2)*DW52*DZ52*VLOOKUP('Données projet'!$B$14,Paramètres!$A$1:$I$89,3,0)*0.475*44/12</f>
        <v>1.6992722297812126</v>
      </c>
      <c r="ED52" s="22">
        <f t="shared" si="18"/>
        <v>81.36440979403362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4.6000000000000014</v>
      </c>
      <c r="EJ52" s="12">
        <f>IF('Données projet'!$A$192&gt;35,EJ51+EI52-ER51,IF(A52&lt;'Données projet'!$A$192,$EG$205^A52,IF(A52='Données projet'!$A$192,'Données projet'!$B$192,EJ51+EI52-ER51)))</f>
        <v>78.200000000000017</v>
      </c>
      <c r="EK52" s="17">
        <f>EJ52*VLOOKUP('Données projet'!$B$15,Paramètres!$A$1:$I$89,3,0)*VLOOKUP('Données projet'!$B$15,Paramètres!$A$1:$I$89,5,0)</f>
        <v>84.174480000000017</v>
      </c>
      <c r="EL52" s="13">
        <f t="shared" si="45"/>
        <v>23.154825028358164</v>
      </c>
      <c r="EM52" s="20">
        <f t="shared" si="19"/>
        <v>186.93187292439049</v>
      </c>
      <c r="EN52" s="59">
        <f t="shared" si="20"/>
        <v>480.26520625772378</v>
      </c>
      <c r="EO52" s="59">
        <f ca="1">AVERAGE(OFFSET($EN$3,0,0,'Données projet'!$E$15+1,1))-AVERAGE(OFFSET($H$3,0,0,'Données projet'!$E$15+1,1))</f>
        <v>130.76477588601989</v>
      </c>
      <c r="EP52" s="59">
        <f t="shared" si="46"/>
        <v>94.034011511502172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0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17.8</v>
      </c>
      <c r="FE52" s="12">
        <f>IF('Données projet'!$A$218&gt;35,FE51+FD52-FM51,IF(A52&lt;'Données projet'!$A$218,$FB$205^A52,IF(A52='Données projet'!$A$218,'Données projet'!$B$218,FE51+FD52-FM51)))</f>
        <v>611.19999999999982</v>
      </c>
      <c r="FF52" s="17">
        <f>FE52*VLOOKUP('Données projet'!$B$16,Paramètres!$A$1:$I$89,3,0)*VLOOKUP('Données projet'!$B$16,Paramètres!$A$1:$I$89,5,0)</f>
        <v>278.09599999999995</v>
      </c>
      <c r="FG52" s="13">
        <f t="shared" si="47"/>
        <v>66.5644793012424</v>
      </c>
      <c r="FH52" s="20">
        <f t="shared" si="22"/>
        <v>600.28366811633032</v>
      </c>
      <c r="FI52" s="59">
        <f t="shared" si="23"/>
        <v>893.61700144966358</v>
      </c>
      <c r="FJ52" s="59">
        <f ca="1">AVERAGE(OFFSET($FI$3,0,0,'Données projet'!$E$16+1,1))-AVERAGE(OFFSET($H$3,0,0,'Données projet'!$E$16+1,1))</f>
        <v>279.43442619866738</v>
      </c>
      <c r="FK52" s="59">
        <f t="shared" si="48"/>
        <v>355.95192241448217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48.934150402505644</v>
      </c>
      <c r="FR52" s="21">
        <f>EXP(-LN(2)/25)*FR51+(1-EXP(-LN(2)/25))/(LN(2)/25)*Calculateur!FM52*Calculateur!FO52*VLOOKUP('Données projet'!$B$16,Paramètres!$A$1:$I$89,3,0)*0.475*44/12</f>
        <v>15.909566219560249</v>
      </c>
      <c r="FS52" s="21">
        <f>EXP(-LN(2)/2)*FS51+(1-EXP(-LN(2)/2))/(LN(2)/2)*FM52*FP52*VLOOKUP('Données projet'!$B$16,Paramètres!$A$1:$I$89,3,0)*0.475*44/12</f>
        <v>1.383128559124243</v>
      </c>
      <c r="FT52" s="22">
        <f t="shared" si="24"/>
        <v>66.226845181190143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7.25</v>
      </c>
      <c r="N53" s="13">
        <f>IF('Données projet'!$A$36&gt;35,N52+M53-V52,IF(A53&lt;'Données projet'!$A$36,$K$205^A53,IF(A53='Données projet'!$A$36,'Données projet'!$B$36,N52+M53-V52)))</f>
        <v>372.99999999999989</v>
      </c>
      <c r="O53" s="13">
        <f>N53*VLOOKUP('Données projet'!$B$9,Paramètres!$A$1:$I$89,3,0)*VLOOKUP('Données projet'!$B$9,Paramètres!$A$1:$I$89,5,0)</f>
        <v>223.05399999999995</v>
      </c>
      <c r="P53" s="13">
        <f t="shared" si="33"/>
        <v>54.778124005813339</v>
      </c>
      <c r="Q53" s="20">
        <f t="shared" si="53"/>
        <v>483.89094931012482</v>
      </c>
      <c r="R53" s="59">
        <f t="shared" si="0"/>
        <v>777.22428264345808</v>
      </c>
      <c r="S53" s="59">
        <f ca="1">AVERAGE(OFFSET($R$3,0,0,'Données projet'!$E$9+1,1))-AVERAGE(OFFSET($H$3,0,0,'Données projet'!$E$9+1,1))</f>
        <v>227.89848316900191</v>
      </c>
      <c r="T53" s="59">
        <f t="shared" si="34"/>
        <v>239.85955661394541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40.476747393434067</v>
      </c>
      <c r="AA53" s="21">
        <f>EXP(-LN(2)/25)*AA52+(1-EXP(-LN(2)/25))/(LN(2)/25)*Calculateur!V53*Calculateur!X53*VLOOKUP('Données projet'!$B$9,Paramètres!$A$1:$I$89,3,0)*0.475*44/12</f>
        <v>10.365445464653757</v>
      </c>
      <c r="AB53" s="21">
        <f>EXP(-LN(2)/2)*AB52+(1-EXP(-LN(2)/2))/(LN(2)/2)*V53*Y53*VLOOKUP('Données projet'!$B$9,Paramètres!$A$1:$I$89,3,0)*0.475*44/12</f>
        <v>0.58752758269210814</v>
      </c>
      <c r="AC53" s="22">
        <f t="shared" si="3"/>
        <v>51.429720440779938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7.833333333333333</v>
      </c>
      <c r="AI53" s="13">
        <f>IF('Données projet'!$A$62&gt;35,AI52+AH53-AQ52,IF(A53&lt;'Données projet'!$A$62,$AF$205^A53,IF(A53='Données projet'!$A$62,'Données projet'!$B$62,AI52+AH53-AQ52)))</f>
        <v>131.6666666666668</v>
      </c>
      <c r="AJ53" s="13">
        <f>AI53*VLOOKUP('Données projet'!$B$10,Paramètres!$A$1:$I$89,3,0)*VLOOKUP('Données projet'!$B$10,Paramètres!$A$1:$I$89,5,0)</f>
        <v>119.13200000000013</v>
      </c>
      <c r="AK53" s="13">
        <f t="shared" si="35"/>
        <v>31.472467091979855</v>
      </c>
      <c r="AL53" s="20">
        <f t="shared" si="4"/>
        <v>262.30278018519846</v>
      </c>
      <c r="AM53" s="59">
        <f t="shared" si="5"/>
        <v>555.63611351853183</v>
      </c>
      <c r="AN53" s="59">
        <f ca="1">AVERAGE(OFFSET($AM$3,0,0,'Données projet'!$E$10+1,1))-AVERAGE(OFFSET($H$3,0,0,'Données projet'!$E$10+1,1))</f>
        <v>215.7418266360167</v>
      </c>
      <c r="AO53" s="59">
        <f t="shared" si="36"/>
        <v>155.78420008229949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5.75</v>
      </c>
      <c r="BD53" s="12">
        <f>IF('Données projet'!$A$88&gt;35,BD52+BC53-BL52,IF(A53&lt;'Données projet'!$A$88,$BA$205^A53,IF(A53='Données projet'!$A$88,'Données projet'!$B$88,BD52+BC53-BL52)))</f>
        <v>103.50000000000001</v>
      </c>
      <c r="BE53" s="13">
        <f>BD53*VLOOKUP('Données projet'!$B$11,Paramètres!$A$1:$I$89,3,0)*VLOOKUP('Données projet'!$B$11,Paramètres!$A$1:$I$89,5,0)</f>
        <v>104.94900000000001</v>
      </c>
      <c r="BF53" s="13">
        <f t="shared" si="37"/>
        <v>28.137693523665153</v>
      </c>
      <c r="BG53" s="20">
        <f t="shared" si="7"/>
        <v>231.79265788705015</v>
      </c>
      <c r="BH53" s="59">
        <f t="shared" si="8"/>
        <v>525.12599122038341</v>
      </c>
      <c r="BI53" s="59">
        <f ca="1">AVERAGE(OFFSET($BH$3,0,0,'Données projet'!$E$11+1,1))-AVERAGE(OFFSET($H$3,0,0,'Données projet'!$E$11+1,1))</f>
        <v>179.53921263314447</v>
      </c>
      <c r="BJ53" s="59">
        <f t="shared" si="38"/>
        <v>120.81513023281337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412.87962962962962</v>
      </c>
      <c r="BW53" s="12">
        <f>VLOOKUP(A53,'Données projet'!$A$113:$I$133,9,0)</f>
        <v>15.242407407407409</v>
      </c>
      <c r="BX53" s="12">
        <f t="array" ref="BX53">INDEX(BW:BW,MIN(IF(ISNUMBER(BW53:BW249),ROW(BW53:BW249),"")))</f>
        <v>15.242407407407409</v>
      </c>
      <c r="BY53" s="12">
        <f>IF('Données projet'!$A$114&gt;35,BY52+BX53-CG52,IF(A53&lt;'Données projet'!$A$114,$BV$205^A53,IF(A53='Données projet'!$A$114,'Données projet'!$B$114,BY52+BX53-CG52)))</f>
        <v>412.87962962962968</v>
      </c>
      <c r="BZ53" s="13">
        <f>BY53*VLOOKUP('Données projet'!$B$12,Paramètres!$A$1:$I$89,3,0)*VLOOKUP('Données projet'!$B$12,Paramètres!$A$1:$I$89,5,0)</f>
        <v>193.22766666666669</v>
      </c>
      <c r="CA53" s="13">
        <f t="shared" si="39"/>
        <v>48.252843027347772</v>
      </c>
      <c r="CB53" s="20">
        <f t="shared" si="10"/>
        <v>420.57855438374185</v>
      </c>
      <c r="CC53" s="59">
        <f t="shared" si="11"/>
        <v>713.91188771707516</v>
      </c>
      <c r="CD53" s="59">
        <f ca="1">AVERAGE(OFFSET($CC$3,0,0,'Données projet'!$E$12+1,1))-AVERAGE(OFFSET($H$3,0,0,'Données projet'!$E$12+1,1))</f>
        <v>310.06530483941287</v>
      </c>
      <c r="CE53" s="59">
        <f t="shared" si="40"/>
        <v>170.13425794309376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68.788888888888891</v>
      </c>
      <c r="CH53" s="16">
        <f>IF(ISNA(VLOOKUP(A53,'Données projet'!$A$113:$I$133,5,0)),0%,VLOOKUP(A53,'Données projet'!$A$113:$I$133,5,0)*VLOOKUP('Données projet'!$B$12,Paramètres!$A$1:$I$89,7,0))</f>
        <v>0.38500000000000001</v>
      </c>
      <c r="CI53" s="16">
        <f>IF(ISNA(VLOOKUP(A53,'Données projet'!$A$113:$I$133,6,0)),0%,VLOOKUP(A53,'Données projet'!$A$113:$I$133,6,0)*VLOOKUP('Données projet'!$B$12,Paramètres!$A$1:$I$89,7,0))</f>
        <v>9.240000000000001E-2</v>
      </c>
      <c r="CJ53" s="16">
        <f>IF(ISNA(VLOOKUP(A53,'Données projet'!$A$113:$I$133,7,0)),0%,VLOOKUP(A53,'Données projet'!$A$113:$I$133,7,0))</f>
        <v>0.13200000000000001</v>
      </c>
      <c r="CK53" s="21">
        <f>EXP(-LN(2)/35)*CK52+(1-EXP(-LN(2)/35))/(LN(2)/35)*CG53*CH53*VLOOKUP('Données projet'!$B$12,Paramètres!$A$1:$I$89,3,0)*0.475*44/12</f>
        <v>32.545127051430391</v>
      </c>
      <c r="CL53" s="21">
        <f>EXP(-LN(2)/25)*CL52+(1-EXP(-LN(2)/25))/(LN(2)/25)*Calculateur!CG53*Calculateur!CI53*VLOOKUP('Données projet'!$B$12,Paramètres!$A$1:$I$89,3,0)*0.475*44/12</f>
        <v>10.008181375335329</v>
      </c>
      <c r="CM53" s="21">
        <f>EXP(-LN(2)/2)*CM52+(1-EXP(-LN(2)/2))/(LN(2)/2)*CG53*CJ53*VLOOKUP('Données projet'!$B$12,Paramètres!$A$1:$I$89,3,0)*0.475*44/12</f>
        <v>4.9283781675178888</v>
      </c>
      <c r="CN53" s="22">
        <f t="shared" si="12"/>
        <v>47.481686594283616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5.875</v>
      </c>
      <c r="CT53" s="12">
        <f>IF('Données projet'!$A$140&gt;35,CT52+CS53-DB52,IF(A53&lt;'Données projet'!$A$140,$CQ$205^A53,IF(A53='Données projet'!$A$140,'Données projet'!$B$140,CT52+CS53-DB52)))</f>
        <v>287.5</v>
      </c>
      <c r="CU53" s="17">
        <f>CT53*VLOOKUP('Données projet'!$B$13,Paramètres!$A$1:$I$89,3,0)*VLOOKUP('Données projet'!$B$13,Paramètres!$A$1:$I$89,5,0)</f>
        <v>171.92500000000001</v>
      </c>
      <c r="CV53" s="13">
        <f t="shared" si="41"/>
        <v>43.520876607827979</v>
      </c>
      <c r="CW53" s="20">
        <f t="shared" si="13"/>
        <v>375.23490175863367</v>
      </c>
      <c r="CX53" s="59">
        <f t="shared" si="14"/>
        <v>668.56823509196693</v>
      </c>
      <c r="CY53" s="59">
        <f ca="1">AVERAGE(OFFSET($CX$3,0,0,'Données projet'!$E$13+1,1))-AVERAGE(OFFSET($H$3,0,0,'Données projet'!$E$13+1,1))</f>
        <v>168.08890945052406</v>
      </c>
      <c r="CZ53" s="59">
        <f t="shared" si="42"/>
        <v>182.52462557642343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33.75834118561005</v>
      </c>
      <c r="DG53" s="21">
        <f>EXP(-LN(2)/25)*DG52+(1-EXP(-LN(2)/25))/(LN(2)/25)*Calculateur!DB53*Calculateur!DD53*VLOOKUP('Données projet'!$B$13,Paramètres!$A$1:$I$89,3,0)*0.475*44/12</f>
        <v>10.277026515971425</v>
      </c>
      <c r="DH53" s="21">
        <f>EXP(-LN(2)/2)*DH52+(1-EXP(-LN(2)/2))/(LN(2)/2)*DB53*DE53*VLOOKUP('Données projet'!$B$13,Paramètres!$A$1:$I$89,3,0)*0.475*44/12</f>
        <v>0.78063005893874626</v>
      </c>
      <c r="DI53" s="22">
        <f t="shared" si="15"/>
        <v>44.815997760520226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629</v>
      </c>
      <c r="DM53" s="12">
        <f>VLOOKUP(A53,'Données projet'!$A$165:$I$185,9,0)</f>
        <v>17.8</v>
      </c>
      <c r="DN53" s="12">
        <f t="array" ref="DN53">INDEX(DM:DM,MIN(IF(ISNUMBER(DM53:DM249),ROW(DM53:DM249),"")))</f>
        <v>17.8</v>
      </c>
      <c r="DO53" s="12">
        <f>IF('Données projet'!$A$166&gt;35,DO52+DN53-DW52,IF(A53&lt;'Données projet'!$A$166,$DL$205^A53,IF(A53='Données projet'!$A$166,'Données projet'!$B$166,DO52+DN53-DW52)))</f>
        <v>628.99999999999977</v>
      </c>
      <c r="DP53" s="17">
        <f>DO53*VLOOKUP('Données projet'!$B$14,Paramètres!$A$1:$I$89,3,0)*VLOOKUP('Données projet'!$B$14,Paramètres!$A$1:$I$89,5,0)</f>
        <v>351.61099999999988</v>
      </c>
      <c r="DQ53" s="13">
        <f t="shared" si="43"/>
        <v>81.89414415728541</v>
      </c>
      <c r="DR53" s="20">
        <f t="shared" si="16"/>
        <v>755.02145940727178</v>
      </c>
      <c r="DS53" s="59">
        <f t="shared" si="17"/>
        <v>1048.354792740605</v>
      </c>
      <c r="DT53" s="59">
        <f ca="1">AVERAGE(OFFSET($DS$3,0,0,'Données projet'!$E$14+1,1))-AVERAGE(OFFSET($H$3,0,0,'Données projet'!$E$14+1,1))</f>
        <v>355.23615781077405</v>
      </c>
      <c r="DU53" s="59">
        <f t="shared" si="44"/>
        <v>448.84541017639367</v>
      </c>
      <c r="DV53" s="15">
        <f>IF(ISNA(VLOOKUP(A53,'Données projet'!$A$165:$I$185,3,0)),0,VLOOKUP(A53,'Données projet'!$A$165:$I$185,3,0))</f>
        <v>6</v>
      </c>
      <c r="DW53" s="15">
        <f>IF(ISNA(VLOOKUP(A53,'Données projet'!$A$165:$I$185,4,0)),0,VLOOKUP(A53,'Données projet'!$A$165:$I$185,4,0))</f>
        <v>48</v>
      </c>
      <c r="DX53" s="16">
        <f>IF(ISNA(VLOOKUP(A53,'Données projet'!$A$165:$I$185,5,0)),0%,VLOOKUP(A53,'Données projet'!$A$165:$I$185,5,0)*VLOOKUP('Données projet'!$B$14,Paramètres!$A$1:$I$89,7,0))</f>
        <v>0.38500000000000001</v>
      </c>
      <c r="DY53" s="16">
        <f>IF(ISNA(VLOOKUP(A53,'Données projet'!$A$165:$I$185,6,0)),0%,VLOOKUP(A53,'Données projet'!$A$165:$I$185,6,0)*VLOOKUP('Données projet'!$B$14,Paramètres!$A$1:$I$89,7,0))</f>
        <v>9.240000000000001E-2</v>
      </c>
      <c r="DZ53" s="16">
        <f>IF(ISNA(VLOOKUP(A53,'Données projet'!$A$165:$I$185,7,0)),0%,VLOOKUP(A53,'Données projet'!$A$165:$I$185,7,0))</f>
        <v>0.13200000000000001</v>
      </c>
      <c r="EA53" s="21">
        <f>EXP(-LN(2)/35)*EA52+(1-EXP(-LN(2)/35))/(LN(2)/35)*DW53*DX53*VLOOKUP('Données projet'!$B$14,Paramètres!$A$1:$I$89,3,0)*0.475*44/12</f>
        <v>72.64403552759839</v>
      </c>
      <c r="EB53" s="21">
        <f>EXP(-LN(2)/25)*EB52+(1-EXP(-LN(2)/25))/(LN(2)/25)*Calculateur!DW53*Calculateur!DY53*VLOOKUP('Données projet'!$B$14,Paramètres!$A$1:$I$89,3,0)*0.475*44/12</f>
        <v>22.287521792675662</v>
      </c>
      <c r="EC53" s="21">
        <f>EXP(-LN(2)/2)*EC52+(1-EXP(-LN(2)/2))/(LN(2)/2)*DW53*DZ53*VLOOKUP('Données projet'!$B$14,Paramètres!$A$1:$I$89,3,0)*0.475*44/12</f>
        <v>5.2117344417146576</v>
      </c>
      <c r="ED53" s="22">
        <f t="shared" si="18"/>
        <v>100.14329176198871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4.6000000000000014</v>
      </c>
      <c r="EJ53" s="12">
        <f>IF('Données projet'!$A$192&gt;35,EJ52+EI53-ER52,IF(A53&lt;'Données projet'!$A$192,$EG$205^A53,IF(A53='Données projet'!$A$192,'Données projet'!$B$192,EJ52+EI53-ER52)))</f>
        <v>82.800000000000011</v>
      </c>
      <c r="EK53" s="17">
        <f>EJ53*VLOOKUP('Données projet'!$B$15,Paramètres!$A$1:$I$89,3,0)*VLOOKUP('Données projet'!$B$15,Paramètres!$A$1:$I$89,5,0)</f>
        <v>89.125920000000008</v>
      </c>
      <c r="EL53" s="13">
        <f t="shared" si="45"/>
        <v>24.354298356596342</v>
      </c>
      <c r="EM53" s="20">
        <f t="shared" si="19"/>
        <v>197.64471363773865</v>
      </c>
      <c r="EN53" s="59">
        <f t="shared" si="20"/>
        <v>490.97804697107199</v>
      </c>
      <c r="EO53" s="59">
        <f ca="1">AVERAGE(OFFSET($EN$3,0,0,'Données projet'!$E$15+1,1))-AVERAGE(OFFSET($H$3,0,0,'Données projet'!$E$15+1,1))</f>
        <v>130.76477588601989</v>
      </c>
      <c r="EP53" s="59">
        <f t="shared" si="46"/>
        <v>94.034011511502172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0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629</v>
      </c>
      <c r="FC53" s="12">
        <f>VLOOKUP(A53,'Données projet'!$A$217:$I$237,9,0)</f>
        <v>17.8</v>
      </c>
      <c r="FD53" s="12">
        <f t="array" ref="FD53">INDEX(FC:FC,MIN(IF(ISNUMBER(FC53:FC249),ROW(FC53:FC249),"")))</f>
        <v>17.8</v>
      </c>
      <c r="FE53" s="12">
        <f>IF('Données projet'!$A$218&gt;35,FE52+FD53-FM52,IF(A53&lt;'Données projet'!$A$218,$FB$205^A53,IF(A53='Données projet'!$A$218,'Données projet'!$B$218,FE52+FD53-FM52)))</f>
        <v>628.99999999999977</v>
      </c>
      <c r="FF53" s="17">
        <f>FE53*VLOOKUP('Données projet'!$B$16,Paramètres!$A$1:$I$89,3,0)*VLOOKUP('Données projet'!$B$16,Paramètres!$A$1:$I$89,5,0)</f>
        <v>286.19499999999988</v>
      </c>
      <c r="FG53" s="13">
        <f t="shared" si="47"/>
        <v>68.274518385559929</v>
      </c>
      <c r="FH53" s="20">
        <f t="shared" si="22"/>
        <v>617.36774452151656</v>
      </c>
      <c r="FI53" s="59">
        <f t="shared" si="23"/>
        <v>910.70107785484993</v>
      </c>
      <c r="FJ53" s="59">
        <f ca="1">AVERAGE(OFFSET($FI$3,0,0,'Données projet'!$E$16+1,1))-AVERAGE(OFFSET($H$3,0,0,'Données projet'!$E$16+1,1))</f>
        <v>279.43442619866738</v>
      </c>
      <c r="FK53" s="59">
        <f t="shared" si="48"/>
        <v>355.95192241448217</v>
      </c>
      <c r="FL53" s="15">
        <f>IF(ISNA(VLOOKUP(A53,'Données projet'!$A$217:$I$237,3,0)),0,VLOOKUP(A53,'Données projet'!$A$217:$I$237,3,0))</f>
        <v>6</v>
      </c>
      <c r="FM53" s="15">
        <f>IF(ISNA(VLOOKUP(A53,'Données projet'!$A$217:$I$237,4,0)),0,VLOOKUP(A53,'Données projet'!$A$217:$I$237,4,0))</f>
        <v>48</v>
      </c>
      <c r="FN53" s="16">
        <f>IF(ISNA(VLOOKUP(A53,'Données projet'!$A$217:$I$237,5,0)),0%,VLOOKUP(A53,'Données projet'!$A$217:$I$237,5,0)*VLOOKUP('Données projet'!$B$16,Paramètres!$A$1:$I$89,7,0))</f>
        <v>0.38500000000000001</v>
      </c>
      <c r="FO53" s="16">
        <f>IF(ISNA(VLOOKUP(A53,'Données projet'!$A$217:$I$237,6,0)),0%,VLOOKUP(A53,'Données projet'!$A$217:$I$237,6,0)*VLOOKUP('Données projet'!$B$16,Paramètres!$A$1:$I$89,7,0))</f>
        <v>9.240000000000001E-2</v>
      </c>
      <c r="FP53" s="16">
        <f>IF(ISNA(VLOOKUP(A53,'Données projet'!$A$217:$I$237,7,0)),0%,VLOOKUP(A53,'Données projet'!$A$217:$I$237,7,0))</f>
        <v>0.13200000000000001</v>
      </c>
      <c r="FQ53" s="21">
        <f>EXP(-LN(2)/35)*FQ52+(1-EXP(-LN(2)/35))/(LN(2)/35)*FM53*FN53*VLOOKUP('Données projet'!$B$16,Paramètres!$A$1:$I$89,3,0)*0.475*44/12</f>
        <v>59.128866127114954</v>
      </c>
      <c r="FR53" s="21">
        <f>EXP(-LN(2)/25)*FR52+(1-EXP(-LN(2)/25))/(LN(2)/25)*Calculateur!FM53*Calculateur!FO53*VLOOKUP('Données projet'!$B$16,Paramètres!$A$1:$I$89,3,0)*0.475*44/12</f>
        <v>18.141006110317399</v>
      </c>
      <c r="FS53" s="21">
        <f>EXP(-LN(2)/2)*FS52+(1-EXP(-LN(2)/2))/(LN(2)/2)*FM53*FP53*VLOOKUP('Données projet'!$B$16,Paramètres!$A$1:$I$89,3,0)*0.475*44/12</f>
        <v>4.2421094293026282</v>
      </c>
      <c r="FT53" s="22">
        <f t="shared" si="24"/>
        <v>81.511981666734982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7.25</v>
      </c>
      <c r="N54" s="13">
        <f>IF('Données projet'!$A$36&gt;35,N53+M54-V53,IF(A54&lt;'Données projet'!$A$36,$K$205^A54,IF(A54='Données projet'!$A$36,'Données projet'!$B$36,N53+M54-V53)))</f>
        <v>380.24999999999989</v>
      </c>
      <c r="O54" s="13">
        <f>N54*VLOOKUP('Données projet'!$B$9,Paramètres!$A$1:$I$89,3,0)*VLOOKUP('Données projet'!$B$9,Paramètres!$A$1:$I$89,5,0)</f>
        <v>227.38949999999997</v>
      </c>
      <c r="P54" s="13">
        <f t="shared" si="33"/>
        <v>55.717855953778901</v>
      </c>
      <c r="Q54" s="20">
        <f t="shared" si="53"/>
        <v>493.07864495283161</v>
      </c>
      <c r="R54" s="59">
        <f t="shared" si="0"/>
        <v>786.41197828616487</v>
      </c>
      <c r="S54" s="59">
        <f ca="1">AVERAGE(OFFSET($R$3,0,0,'Données projet'!$E$9+1,1))-AVERAGE(OFFSET($H$3,0,0,'Données projet'!$E$9+1,1))</f>
        <v>227.89848316900191</v>
      </c>
      <c r="T54" s="59">
        <f t="shared" si="34"/>
        <v>239.85955661394541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39.683023065426958</v>
      </c>
      <c r="AA54" s="21">
        <f>EXP(-LN(2)/25)*AA53+(1-EXP(-LN(2)/25))/(LN(2)/25)*Calculateur!V54*Calculateur!X54*VLOOKUP('Données projet'!$B$9,Paramètres!$A$1:$I$89,3,0)*0.475*44/12</f>
        <v>10.082001813327713</v>
      </c>
      <c r="AB54" s="21">
        <f>EXP(-LN(2)/2)*AB53+(1-EXP(-LN(2)/2))/(LN(2)/2)*V54*Y54*VLOOKUP('Données projet'!$B$9,Paramètres!$A$1:$I$89,3,0)*0.475*44/12</f>
        <v>0.41544473785572977</v>
      </c>
      <c r="AC54" s="22">
        <f t="shared" si="3"/>
        <v>50.180469616610402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7.833333333333333</v>
      </c>
      <c r="AI54" s="13">
        <f>IF('Données projet'!$A$62&gt;35,AI53+AH54-AQ53,IF(A54&lt;'Données projet'!$A$62,$AF$205^A54,IF(A54='Données projet'!$A$62,'Données projet'!$B$62,AI53+AH54-AQ53)))</f>
        <v>139.50000000000014</v>
      </c>
      <c r="AJ54" s="13">
        <f>AI54*VLOOKUP('Données projet'!$B$10,Paramètres!$A$1:$I$89,3,0)*VLOOKUP('Données projet'!$B$10,Paramètres!$A$1:$I$89,5,0)</f>
        <v>126.21960000000013</v>
      </c>
      <c r="AK54" s="13">
        <f t="shared" si="35"/>
        <v>33.121325210832396</v>
      </c>
      <c r="AL54" s="20">
        <f t="shared" si="4"/>
        <v>277.51877807553331</v>
      </c>
      <c r="AM54" s="59">
        <f t="shared" si="5"/>
        <v>570.85211140886668</v>
      </c>
      <c r="AN54" s="59">
        <f ca="1">AVERAGE(OFFSET($AM$3,0,0,'Données projet'!$E$10+1,1))-AVERAGE(OFFSET($H$3,0,0,'Données projet'!$E$10+1,1))</f>
        <v>215.7418266360167</v>
      </c>
      <c r="AO54" s="59">
        <f t="shared" si="36"/>
        <v>155.78420008229949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5.75</v>
      </c>
      <c r="BD54" s="12">
        <f>IF('Données projet'!$A$88&gt;35,BD53+BC54-BL53,IF(A54&lt;'Données projet'!$A$88,$BA$205^A54,IF(A54='Données projet'!$A$88,'Données projet'!$B$88,BD53+BC54-BL53)))</f>
        <v>109.25000000000001</v>
      </c>
      <c r="BE54" s="13">
        <f>BD54*VLOOKUP('Données projet'!$B$11,Paramètres!$A$1:$I$89,3,0)*VLOOKUP('Données projet'!$B$11,Paramètres!$A$1:$I$89,5,0)</f>
        <v>110.77950000000003</v>
      </c>
      <c r="BF54" s="13">
        <f t="shared" si="37"/>
        <v>29.514565306741407</v>
      </c>
      <c r="BG54" s="20">
        <f t="shared" si="7"/>
        <v>244.34549707590796</v>
      </c>
      <c r="BH54" s="59">
        <f t="shared" si="8"/>
        <v>537.6788304092413</v>
      </c>
      <c r="BI54" s="59">
        <f ca="1">AVERAGE(OFFSET($BH$3,0,0,'Données projet'!$E$11+1,1))-AVERAGE(OFFSET($H$3,0,0,'Données projet'!$E$11+1,1))</f>
        <v>179.53921263314447</v>
      </c>
      <c r="BJ54" s="59">
        <f t="shared" si="38"/>
        <v>120.81513023281337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18.709598765432116</v>
      </c>
      <c r="BY54" s="12">
        <f>IF('Données projet'!$A$114&gt;35,BY53+BX54-CG53,IF(A54&lt;'Données projet'!$A$114,$BV$205^A54,IF(A54='Données projet'!$A$114,'Données projet'!$B$114,BY53+BX54-CG53)))</f>
        <v>362.80033950617292</v>
      </c>
      <c r="BZ54" s="13">
        <f>BY54*VLOOKUP('Données projet'!$B$12,Paramètres!$A$1:$I$89,3,0)*VLOOKUP('Données projet'!$B$12,Paramètres!$A$1:$I$89,5,0)</f>
        <v>169.79055888888894</v>
      </c>
      <c r="CA54" s="13">
        <f t="shared" si="39"/>
        <v>43.043112378651671</v>
      </c>
      <c r="CB54" s="20">
        <f t="shared" si="10"/>
        <v>370.68531079096653</v>
      </c>
      <c r="CC54" s="59">
        <f t="shared" si="11"/>
        <v>664.01864412429984</v>
      </c>
      <c r="CD54" s="59">
        <f ca="1">AVERAGE(OFFSET($CC$3,0,0,'Données projet'!$E$12+1,1))-AVERAGE(OFFSET($H$3,0,0,'Données projet'!$E$12+1,1))</f>
        <v>310.06530483941287</v>
      </c>
      <c r="CE54" s="59">
        <f t="shared" si="40"/>
        <v>170.13425794309376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31.906936960519261</v>
      </c>
      <c r="CL54" s="21">
        <f>EXP(-LN(2)/25)*CL53+(1-EXP(-LN(2)/25))/(LN(2)/25)*Calculateur!CG54*Calculateur!CI54*VLOOKUP('Données projet'!$B$12,Paramètres!$A$1:$I$89,3,0)*0.475*44/12</f>
        <v>9.7345071293194003</v>
      </c>
      <c r="CM54" s="21">
        <f>EXP(-LN(2)/2)*CM53+(1-EXP(-LN(2)/2))/(LN(2)/2)*CG54*CJ54*VLOOKUP('Données projet'!$B$12,Paramètres!$A$1:$I$89,3,0)*0.475*44/12</f>
        <v>3.4848896225036303</v>
      </c>
      <c r="CN54" s="22">
        <f t="shared" si="12"/>
        <v>45.126333712342287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5.875</v>
      </c>
      <c r="CT54" s="12">
        <f>IF('Données projet'!$A$140&gt;35,CT53+CS54-DB53,IF(A54&lt;'Données projet'!$A$140,$CQ$205^A54,IF(A54='Données projet'!$A$140,'Données projet'!$B$140,CT53+CS54-DB53)))</f>
        <v>293.375</v>
      </c>
      <c r="CU54" s="17">
        <f>CT54*VLOOKUP('Données projet'!$B$13,Paramètres!$A$1:$I$89,3,0)*VLOOKUP('Données projet'!$B$13,Paramètres!$A$1:$I$89,5,0)</f>
        <v>175.43825000000004</v>
      </c>
      <c r="CV54" s="13">
        <f t="shared" si="41"/>
        <v>44.305769576051844</v>
      </c>
      <c r="CW54" s="20">
        <f t="shared" si="13"/>
        <v>382.72083409495696</v>
      </c>
      <c r="CX54" s="59">
        <f t="shared" si="14"/>
        <v>676.05416742829027</v>
      </c>
      <c r="CY54" s="59">
        <f ca="1">AVERAGE(OFFSET($CX$3,0,0,'Données projet'!$E$13+1,1))-AVERAGE(OFFSET($H$3,0,0,'Données projet'!$E$13+1,1))</f>
        <v>168.08890945052406</v>
      </c>
      <c r="CZ54" s="59">
        <f t="shared" si="42"/>
        <v>182.52462557642343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33.09636070551521</v>
      </c>
      <c r="DG54" s="21">
        <f>EXP(-LN(2)/25)*DG53+(1-EXP(-LN(2)/25))/(LN(2)/25)*Calculateur!DB54*Calculateur!DD54*VLOOKUP('Données projet'!$B$13,Paramètres!$A$1:$I$89,3,0)*0.475*44/12</f>
        <v>9.9960006854468499</v>
      </c>
      <c r="DH54" s="21">
        <f>EXP(-LN(2)/2)*DH53+(1-EXP(-LN(2)/2))/(LN(2)/2)*DB54*DE54*VLOOKUP('Données projet'!$B$13,Paramètres!$A$1:$I$89,3,0)*0.475*44/12</f>
        <v>0.55198880827364183</v>
      </c>
      <c r="DI54" s="22">
        <f t="shared" si="15"/>
        <v>43.644350199235703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13.8</v>
      </c>
      <c r="DO54" s="12">
        <f>IF('Données projet'!$A$166&gt;35,DO53+DN54-DW53,IF(A54&lt;'Données projet'!$A$166,$DL$205^A54,IF(A54='Données projet'!$A$166,'Données projet'!$B$166,DO53+DN54-DW53)))</f>
        <v>594.79999999999973</v>
      </c>
      <c r="DP54" s="17">
        <f>DO54*VLOOKUP('Données projet'!$B$14,Paramètres!$A$1:$I$89,3,0)*VLOOKUP('Données projet'!$B$14,Paramètres!$A$1:$I$89,5,0)</f>
        <v>332.49319999999983</v>
      </c>
      <c r="DQ54" s="13">
        <f t="shared" si="43"/>
        <v>77.946984490524827</v>
      </c>
      <c r="DR54" s="20">
        <f t="shared" si="16"/>
        <v>714.84998798766367</v>
      </c>
      <c r="DS54" s="59">
        <f t="shared" si="17"/>
        <v>1008.183321320997</v>
      </c>
      <c r="DT54" s="59">
        <f ca="1">AVERAGE(OFFSET($DS$3,0,0,'Données projet'!$E$14+1,1))-AVERAGE(OFFSET($H$3,0,0,'Données projet'!$E$14+1,1))</f>
        <v>355.23615781077405</v>
      </c>
      <c r="DU54" s="59">
        <f t="shared" si="44"/>
        <v>448.84541017639367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71.219530299388765</v>
      </c>
      <c r="EB54" s="21">
        <f>EXP(-LN(2)/25)*EB53+(1-EXP(-LN(2)/25))/(LN(2)/25)*Calculateur!DW54*Calculateur!DY54*VLOOKUP('Données projet'!$B$14,Paramètres!$A$1:$I$89,3,0)*0.475*44/12</f>
        <v>21.678068337205115</v>
      </c>
      <c r="EC54" s="21">
        <f>EXP(-LN(2)/2)*EC53+(1-EXP(-LN(2)/2))/(LN(2)/2)*DW54*DZ54*VLOOKUP('Données projet'!$B$14,Paramètres!$A$1:$I$89,3,0)*0.475*44/12</f>
        <v>3.6852527654799201</v>
      </c>
      <c r="ED54" s="22">
        <f t="shared" si="18"/>
        <v>96.5828514020738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4.6000000000000014</v>
      </c>
      <c r="EJ54" s="12">
        <f>IF('Données projet'!$A$192&gt;35,EJ53+EI54-ER53,IF(A54&lt;'Données projet'!$A$192,$EG$205^A54,IF(A54='Données projet'!$A$192,'Données projet'!$B$192,EJ53+EI54-ER53)))</f>
        <v>87.4</v>
      </c>
      <c r="EK54" s="17">
        <f>EJ54*VLOOKUP('Données projet'!$B$15,Paramètres!$A$1:$I$89,3,0)*VLOOKUP('Données projet'!$B$15,Paramètres!$A$1:$I$89,5,0)</f>
        <v>94.077359999999999</v>
      </c>
      <c r="EL54" s="13">
        <f t="shared" si="45"/>
        <v>25.546035915881891</v>
      </c>
      <c r="EM54" s="20">
        <f t="shared" si="19"/>
        <v>208.34408122016092</v>
      </c>
      <c r="EN54" s="59">
        <f t="shared" si="20"/>
        <v>501.67741455349426</v>
      </c>
      <c r="EO54" s="59">
        <f ca="1">AVERAGE(OFFSET($EN$3,0,0,'Données projet'!$E$15+1,1))-AVERAGE(OFFSET($H$3,0,0,'Données projet'!$E$15+1,1))</f>
        <v>130.76477588601989</v>
      </c>
      <c r="EP54" s="59">
        <f t="shared" si="46"/>
        <v>94.034011511502172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0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13.8</v>
      </c>
      <c r="FE54" s="12">
        <f>IF('Données projet'!$A$218&gt;35,FE53+FD54-FM53,IF(A54&lt;'Données projet'!$A$218,$FB$205^A54,IF(A54='Données projet'!$A$218,'Données projet'!$B$218,FE53+FD54-FM53)))</f>
        <v>594.79999999999973</v>
      </c>
      <c r="FF54" s="17">
        <f>FE54*VLOOKUP('Données projet'!$B$16,Paramètres!$A$1:$I$89,3,0)*VLOOKUP('Données projet'!$B$16,Paramètres!$A$1:$I$89,5,0)</f>
        <v>270.63399999999984</v>
      </c>
      <c r="FG54" s="13">
        <f t="shared" si="47"/>
        <v>64.983801716961395</v>
      </c>
      <c r="FH54" s="20">
        <f t="shared" si="22"/>
        <v>584.53433799037418</v>
      </c>
      <c r="FI54" s="59">
        <f t="shared" si="23"/>
        <v>877.86767132370755</v>
      </c>
      <c r="FJ54" s="59">
        <f ca="1">AVERAGE(OFFSET($FI$3,0,0,'Données projet'!$E$16+1,1))-AVERAGE(OFFSET($H$3,0,0,'Données projet'!$E$16+1,1))</f>
        <v>279.43442619866738</v>
      </c>
      <c r="FK54" s="59">
        <f t="shared" si="48"/>
        <v>355.95192241448217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57.969385127409438</v>
      </c>
      <c r="FR54" s="21">
        <f>EXP(-LN(2)/25)*FR53+(1-EXP(-LN(2)/25))/(LN(2)/25)*Calculateur!FM54*Calculateur!FO54*VLOOKUP('Données projet'!$B$16,Paramètres!$A$1:$I$89,3,0)*0.475*44/12</f>
        <v>17.644939344236722</v>
      </c>
      <c r="FS54" s="21">
        <f>EXP(-LN(2)/2)*FS53+(1-EXP(-LN(2)/2))/(LN(2)/2)*FM54*FP54*VLOOKUP('Données projet'!$B$16,Paramètres!$A$1:$I$89,3,0)*0.475*44/12</f>
        <v>2.9996243439952837</v>
      </c>
      <c r="FT54" s="22">
        <f t="shared" si="24"/>
        <v>78.613948815641436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7.25</v>
      </c>
      <c r="N55" s="13">
        <f>IF('Données projet'!$A$36&gt;35,N54+M55-V54,IF(A55&lt;'Données projet'!$A$36,$K$205^A55,IF(A55='Données projet'!$A$36,'Données projet'!$B$36,N54+M55-V54)))</f>
        <v>387.49999999999989</v>
      </c>
      <c r="O55" s="13">
        <f>N55*VLOOKUP('Données projet'!$B$9,Paramètres!$A$1:$I$89,3,0)*VLOOKUP('Données projet'!$B$9,Paramètres!$A$1:$I$89,5,0)</f>
        <v>231.72499999999994</v>
      </c>
      <c r="P55" s="13">
        <f t="shared" si="33"/>
        <v>56.655504506153761</v>
      </c>
      <c r="Q55" s="20">
        <f t="shared" si="53"/>
        <v>502.2627120148843</v>
      </c>
      <c r="R55" s="59">
        <f t="shared" si="0"/>
        <v>795.59604534821756</v>
      </c>
      <c r="S55" s="59">
        <f ca="1">AVERAGE(OFFSET($R$3,0,0,'Données projet'!$E$9+1,1))-AVERAGE(OFFSET($H$3,0,0,'Données projet'!$E$9+1,1))</f>
        <v>227.89848316900191</v>
      </c>
      <c r="T55" s="59">
        <f t="shared" si="34"/>
        <v>239.85955661394541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38.904863187368036</v>
      </c>
      <c r="AA55" s="21">
        <f>EXP(-LN(2)/25)*AA54+(1-EXP(-LN(2)/25))/(LN(2)/25)*Calculateur!V55*Calculateur!X55*VLOOKUP('Données projet'!$B$9,Paramètres!$A$1:$I$89,3,0)*0.475*44/12</f>
        <v>9.8063089435528337</v>
      </c>
      <c r="AB55" s="21">
        <f>EXP(-LN(2)/2)*AB54+(1-EXP(-LN(2)/2))/(LN(2)/2)*V55*Y55*VLOOKUP('Données projet'!$B$9,Paramètres!$A$1:$I$89,3,0)*0.475*44/12</f>
        <v>0.29376379134605413</v>
      </c>
      <c r="AC55" s="22">
        <f t="shared" si="3"/>
        <v>49.004935922266924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7.833333333333333</v>
      </c>
      <c r="AI55" s="13">
        <f>IF('Données projet'!$A$62&gt;35,AI54+AH55-AQ54,IF(A55&lt;'Données projet'!$A$62,$AF$205^A55,IF(A55='Données projet'!$A$62,'Données projet'!$B$62,AI54+AH55-AQ54)))</f>
        <v>147.33333333333348</v>
      </c>
      <c r="AJ55" s="13">
        <f>AI55*VLOOKUP('Données projet'!$B$10,Paramètres!$A$1:$I$89,3,0)*VLOOKUP('Données projet'!$B$10,Paramètres!$A$1:$I$89,5,0)</f>
        <v>133.30720000000014</v>
      </c>
      <c r="AK55" s="13">
        <f t="shared" si="35"/>
        <v>34.759435244472897</v>
      </c>
      <c r="AL55" s="20">
        <f t="shared" si="4"/>
        <v>292.71605638412387</v>
      </c>
      <c r="AM55" s="59">
        <f t="shared" si="5"/>
        <v>586.04938971745719</v>
      </c>
      <c r="AN55" s="59">
        <f ca="1">AVERAGE(OFFSET($AM$3,0,0,'Données projet'!$E$10+1,1))-AVERAGE(OFFSET($H$3,0,0,'Données projet'!$E$10+1,1))</f>
        <v>215.7418266360167</v>
      </c>
      <c r="AO55" s="59">
        <f t="shared" si="36"/>
        <v>155.78420008229949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5.75</v>
      </c>
      <c r="BD55" s="12">
        <f>IF('Données projet'!$A$88&gt;35,BD54+BC55-BL54,IF(A55&lt;'Données projet'!$A$88,$BA$205^A55,IF(A55='Données projet'!$A$88,'Données projet'!$B$88,BD54+BC55-BL54)))</f>
        <v>115.00000000000001</v>
      </c>
      <c r="BE55" s="13">
        <f>BD55*VLOOKUP('Données projet'!$B$11,Paramètres!$A$1:$I$89,3,0)*VLOOKUP('Données projet'!$B$11,Paramètres!$A$1:$I$89,5,0)</f>
        <v>116.61000000000003</v>
      </c>
      <c r="BF55" s="13">
        <f t="shared" si="37"/>
        <v>30.883023623410974</v>
      </c>
      <c r="BG55" s="20">
        <f t="shared" si="7"/>
        <v>256.88368281077419</v>
      </c>
      <c r="BH55" s="59">
        <f t="shared" si="8"/>
        <v>550.21701614410745</v>
      </c>
      <c r="BI55" s="59">
        <f ca="1">AVERAGE(OFFSET($BH$3,0,0,'Données projet'!$E$11+1,1))-AVERAGE(OFFSET($H$3,0,0,'Données projet'!$E$11+1,1))</f>
        <v>179.53921263314447</v>
      </c>
      <c r="BJ55" s="59">
        <f t="shared" si="38"/>
        <v>120.81513023281337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18.709598765432116</v>
      </c>
      <c r="BY55" s="12">
        <f>IF('Données projet'!$A$114&gt;35,BY54+BX55-CG54,IF(A55&lt;'Données projet'!$A$114,$BV$205^A55,IF(A55='Données projet'!$A$114,'Données projet'!$B$114,BY54+BX55-CG54)))</f>
        <v>381.50993827160505</v>
      </c>
      <c r="BZ55" s="13">
        <f>BY55*VLOOKUP('Données projet'!$B$12,Paramètres!$A$1:$I$89,3,0)*VLOOKUP('Données projet'!$B$12,Paramètres!$A$1:$I$89,5,0)</f>
        <v>178.54665111111117</v>
      </c>
      <c r="CA55" s="13">
        <f t="shared" si="39"/>
        <v>44.998690412389188</v>
      </c>
      <c r="CB55" s="20">
        <f t="shared" si="10"/>
        <v>389.34146982009651</v>
      </c>
      <c r="CC55" s="59">
        <f t="shared" si="11"/>
        <v>682.67480315342982</v>
      </c>
      <c r="CD55" s="59">
        <f ca="1">AVERAGE(OFFSET($CC$3,0,0,'Données projet'!$E$12+1,1))-AVERAGE(OFFSET($H$3,0,0,'Données projet'!$E$12+1,1))</f>
        <v>310.06530483941287</v>
      </c>
      <c r="CE55" s="59">
        <f t="shared" si="40"/>
        <v>170.13425794309376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31.281261388033379</v>
      </c>
      <c r="CL55" s="21">
        <f>EXP(-LN(2)/25)*CL54+(1-EXP(-LN(2)/25))/(LN(2)/25)*Calculateur!CG55*Calculateur!CI55*VLOOKUP('Données projet'!$B$12,Paramètres!$A$1:$I$89,3,0)*0.475*44/12</f>
        <v>9.4683165199526798</v>
      </c>
      <c r="CM55" s="21">
        <f>EXP(-LN(2)/2)*CM54+(1-EXP(-LN(2)/2))/(LN(2)/2)*CG55*CJ55*VLOOKUP('Données projet'!$B$12,Paramètres!$A$1:$I$89,3,0)*0.475*44/12</f>
        <v>2.4641890837589449</v>
      </c>
      <c r="CN55" s="22">
        <f t="shared" si="12"/>
        <v>43.213766991745004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5.875</v>
      </c>
      <c r="CT55" s="12">
        <f>IF('Données projet'!$A$140&gt;35,CT54+CS55-DB54,IF(A55&lt;'Données projet'!$A$140,$CQ$205^A55,IF(A55='Données projet'!$A$140,'Données projet'!$B$140,CT54+CS55-DB54)))</f>
        <v>299.25</v>
      </c>
      <c r="CU55" s="17">
        <f>CT55*VLOOKUP('Données projet'!$B$13,Paramètres!$A$1:$I$89,3,0)*VLOOKUP('Données projet'!$B$13,Paramètres!$A$1:$I$89,5,0)</f>
        <v>178.95150000000001</v>
      </c>
      <c r="CV55" s="13">
        <f t="shared" si="41"/>
        <v>45.088834979390157</v>
      </c>
      <c r="CW55" s="20">
        <f t="shared" si="13"/>
        <v>390.20358342243782</v>
      </c>
      <c r="CX55" s="59">
        <f t="shared" si="14"/>
        <v>683.53691675577113</v>
      </c>
      <c r="CY55" s="59">
        <f ca="1">AVERAGE(OFFSET($CX$3,0,0,'Données projet'!$E$13+1,1))-AVERAGE(OFFSET($H$3,0,0,'Données projet'!$E$13+1,1))</f>
        <v>168.08890945052406</v>
      </c>
      <c r="CZ55" s="59">
        <f t="shared" si="42"/>
        <v>182.52462557642343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32.447361258866806</v>
      </c>
      <c r="DG55" s="21">
        <f>EXP(-LN(2)/25)*DG54+(1-EXP(-LN(2)/25))/(LN(2)/25)*Calculateur!DB55*Calculateur!DD55*VLOOKUP('Données projet'!$B$13,Paramètres!$A$1:$I$89,3,0)*0.475*44/12</f>
        <v>9.7226595210364763</v>
      </c>
      <c r="DH55" s="21">
        <f>EXP(-LN(2)/2)*DH54+(1-EXP(-LN(2)/2))/(LN(2)/2)*DB55*DE55*VLOOKUP('Données projet'!$B$13,Paramètres!$A$1:$I$89,3,0)*0.475*44/12</f>
        <v>0.39031502946937319</v>
      </c>
      <c r="DI55" s="22">
        <f t="shared" si="15"/>
        <v>42.560335809372653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13.8</v>
      </c>
      <c r="DO55" s="12">
        <f>IF('Données projet'!$A$166&gt;35,DO54+DN55-DW54,IF(A55&lt;'Données projet'!$A$166,$DL$205^A55,IF(A55='Données projet'!$A$166,'Données projet'!$B$166,DO54+DN55-DW54)))</f>
        <v>608.59999999999968</v>
      </c>
      <c r="DP55" s="17">
        <f>DO55*VLOOKUP('Données projet'!$B$14,Paramètres!$A$1:$I$89,3,0)*VLOOKUP('Données projet'!$B$14,Paramètres!$A$1:$I$89,5,0)</f>
        <v>340.20739999999984</v>
      </c>
      <c r="DQ55" s="13">
        <f t="shared" si="43"/>
        <v>79.542795053996059</v>
      </c>
      <c r="DR55" s="20">
        <f t="shared" si="16"/>
        <v>731.06492305237623</v>
      </c>
      <c r="DS55" s="59">
        <f t="shared" si="17"/>
        <v>1024.3982563857096</v>
      </c>
      <c r="DT55" s="59">
        <f ca="1">AVERAGE(OFFSET($DS$3,0,0,'Données projet'!$E$14+1,1))-AVERAGE(OFFSET($H$3,0,0,'Données projet'!$E$14+1,1))</f>
        <v>355.23615781077405</v>
      </c>
      <c r="DU55" s="59">
        <f t="shared" si="44"/>
        <v>448.84541017639367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69.822958749841931</v>
      </c>
      <c r="EB55" s="21">
        <f>EXP(-LN(2)/25)*EB54+(1-EXP(-LN(2)/25))/(LN(2)/25)*Calculateur!DW55*Calculateur!DY55*VLOOKUP('Données projet'!$B$14,Paramètres!$A$1:$I$89,3,0)*0.475*44/12</f>
        <v>21.085280418524174</v>
      </c>
      <c r="EC55" s="21">
        <f>EXP(-LN(2)/2)*EC54+(1-EXP(-LN(2)/2))/(LN(2)/2)*DW55*DZ55*VLOOKUP('Données projet'!$B$14,Paramètres!$A$1:$I$89,3,0)*0.475*44/12</f>
        <v>2.6058672208573292</v>
      </c>
      <c r="ED55" s="22">
        <f t="shared" si="18"/>
        <v>93.514106389223443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4.6000000000000014</v>
      </c>
      <c r="EJ55" s="12">
        <f>IF('Données projet'!$A$192&gt;35,EJ54+EI55-ER54,IF(A55&lt;'Données projet'!$A$192,$EG$205^A55,IF(A55='Données projet'!$A$192,'Données projet'!$B$192,EJ54+EI55-ER54)))</f>
        <v>92</v>
      </c>
      <c r="EK55" s="17">
        <f>EJ55*VLOOKUP('Données projet'!$B$15,Paramètres!$A$1:$I$89,3,0)*VLOOKUP('Données projet'!$B$15,Paramètres!$A$1:$I$89,5,0)</f>
        <v>99.028800000000004</v>
      </c>
      <c r="EL55" s="13">
        <f t="shared" si="45"/>
        <v>26.730491283721712</v>
      </c>
      <c r="EM55" s="20">
        <f t="shared" si="19"/>
        <v>219.03076565248196</v>
      </c>
      <c r="EN55" s="59">
        <f t="shared" si="20"/>
        <v>512.3640989858153</v>
      </c>
      <c r="EO55" s="59">
        <f ca="1">AVERAGE(OFFSET($EN$3,0,0,'Données projet'!$E$15+1,1))-AVERAGE(OFFSET($H$3,0,0,'Données projet'!$E$15+1,1))</f>
        <v>130.76477588601989</v>
      </c>
      <c r="EP55" s="59">
        <f t="shared" si="46"/>
        <v>94.034011511502172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0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13.8</v>
      </c>
      <c r="FE55" s="12">
        <f>IF('Données projet'!$A$218&gt;35,FE54+FD55-FM54,IF(A55&lt;'Données projet'!$A$218,$FB$205^A55,IF(A55='Données projet'!$A$218,'Données projet'!$B$218,FE54+FD55-FM54)))</f>
        <v>608.59999999999968</v>
      </c>
      <c r="FF55" s="17">
        <f>FE55*VLOOKUP('Données projet'!$B$16,Paramètres!$A$1:$I$89,3,0)*VLOOKUP('Données projet'!$B$16,Paramètres!$A$1:$I$89,5,0)</f>
        <v>276.91299999999984</v>
      </c>
      <c r="FG55" s="13">
        <f t="shared" si="47"/>
        <v>66.314216715210009</v>
      </c>
      <c r="FH55" s="20">
        <f t="shared" si="22"/>
        <v>597.78740244565722</v>
      </c>
      <c r="FI55" s="59">
        <f t="shared" si="23"/>
        <v>891.12073577899059</v>
      </c>
      <c r="FJ55" s="59">
        <f ca="1">AVERAGE(OFFSET($FI$3,0,0,'Données projet'!$E$16+1,1))-AVERAGE(OFFSET($H$3,0,0,'Données projet'!$E$16+1,1))</f>
        <v>279.43442619866738</v>
      </c>
      <c r="FK55" s="59">
        <f t="shared" si="48"/>
        <v>355.95192241448217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56.83264084289457</v>
      </c>
      <c r="FR55" s="21">
        <f>EXP(-LN(2)/25)*FR54+(1-EXP(-LN(2)/25))/(LN(2)/25)*Calculateur!FM55*Calculateur!FO55*VLOOKUP('Données projet'!$B$16,Paramètres!$A$1:$I$89,3,0)*0.475*44/12</f>
        <v>17.162437549961538</v>
      </c>
      <c r="FS55" s="21">
        <f>EXP(-LN(2)/2)*FS54+(1-EXP(-LN(2)/2))/(LN(2)/2)*FM55*FP55*VLOOKUP('Données projet'!$B$16,Paramètres!$A$1:$I$89,3,0)*0.475*44/12</f>
        <v>2.1210547146513146</v>
      </c>
      <c r="FT55" s="22">
        <f t="shared" si="24"/>
        <v>76.116133107507409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7.25</v>
      </c>
      <c r="N56" s="13">
        <f>IF('Données projet'!$A$36&gt;35,N55+M56-V55,IF(A56&lt;'Données projet'!$A$36,$K$205^A56,IF(A56='Données projet'!$A$36,'Données projet'!$B$36,N55+M56-V55)))</f>
        <v>394.74999999999989</v>
      </c>
      <c r="O56" s="13">
        <f>N56*VLOOKUP('Données projet'!$B$9,Paramètres!$A$1:$I$89,3,0)*VLOOKUP('Données projet'!$B$9,Paramètres!$A$1:$I$89,5,0)</f>
        <v>236.06049999999993</v>
      </c>
      <c r="P56" s="13">
        <f t="shared" si="33"/>
        <v>57.591113137594284</v>
      </c>
      <c r="Q56" s="20">
        <f t="shared" si="53"/>
        <v>511.44322621464318</v>
      </c>
      <c r="R56" s="59">
        <f t="shared" si="0"/>
        <v>804.77655954797649</v>
      </c>
      <c r="S56" s="59">
        <f ca="1">AVERAGE(OFFSET($R$3,0,0,'Données projet'!$E$9+1,1))-AVERAGE(OFFSET($H$3,0,0,'Données projet'!$E$9+1,1))</f>
        <v>227.89848316900191</v>
      </c>
      <c r="T56" s="59">
        <f t="shared" si="34"/>
        <v>239.85955661394541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38.141962549887189</v>
      </c>
      <c r="AA56" s="21">
        <f>EXP(-LN(2)/25)*AA55+(1-EXP(-LN(2)/25))/(LN(2)/25)*Calculateur!V56*Calculateur!X56*VLOOKUP('Données projet'!$B$9,Paramètres!$A$1:$I$89,3,0)*0.475*44/12</f>
        <v>9.5381549098000065</v>
      </c>
      <c r="AB56" s="21">
        <f>EXP(-LN(2)/2)*AB55+(1-EXP(-LN(2)/2))/(LN(2)/2)*V56*Y56*VLOOKUP('Données projet'!$B$9,Paramètres!$A$1:$I$89,3,0)*0.475*44/12</f>
        <v>0.20772236892786491</v>
      </c>
      <c r="AC56" s="22">
        <f t="shared" si="3"/>
        <v>47.887839828615064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7.833333333333333</v>
      </c>
      <c r="AI56" s="13">
        <f>IF('Données projet'!$A$62&gt;35,AI55+AH56-AQ55,IF(A56&lt;'Données projet'!$A$62,$AF$205^A56,IF(A56='Données projet'!$A$62,'Données projet'!$B$62,AI55+AH56-AQ55)))</f>
        <v>155.16666666666683</v>
      </c>
      <c r="AJ56" s="13">
        <f>AI56*VLOOKUP('Données projet'!$B$10,Paramètres!$A$1:$I$89,3,0)*VLOOKUP('Données projet'!$B$10,Paramètres!$A$1:$I$89,5,0)</f>
        <v>140.39480000000015</v>
      </c>
      <c r="AK56" s="13">
        <f t="shared" si="35"/>
        <v>36.387433802709175</v>
      </c>
      <c r="AL56" s="20">
        <f t="shared" si="4"/>
        <v>307.89572387305208</v>
      </c>
      <c r="AM56" s="59">
        <f t="shared" si="5"/>
        <v>601.22905720638539</v>
      </c>
      <c r="AN56" s="59">
        <f ca="1">AVERAGE(OFFSET($AM$3,0,0,'Données projet'!$E$10+1,1))-AVERAGE(OFFSET($H$3,0,0,'Données projet'!$E$10+1,1))</f>
        <v>215.7418266360167</v>
      </c>
      <c r="AO56" s="59">
        <f t="shared" si="36"/>
        <v>155.78420008229949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5.75</v>
      </c>
      <c r="BD56" s="12">
        <f>IF('Données projet'!$A$88&gt;35,BD55+BC56-BL55,IF(A56&lt;'Données projet'!$A$88,$BA$205^A56,IF(A56='Données projet'!$A$88,'Données projet'!$B$88,BD55+BC56-BL55)))</f>
        <v>120.75000000000001</v>
      </c>
      <c r="BE56" s="13">
        <f>BD56*VLOOKUP('Données projet'!$B$11,Paramètres!$A$1:$I$89,3,0)*VLOOKUP('Données projet'!$B$11,Paramètres!$A$1:$I$89,5,0)</f>
        <v>122.44050000000003</v>
      </c>
      <c r="BF56" s="13">
        <f t="shared" si="37"/>
        <v>32.24353714933843</v>
      </c>
      <c r="BG56" s="20">
        <f t="shared" si="7"/>
        <v>269.40803136843112</v>
      </c>
      <c r="BH56" s="59">
        <f t="shared" si="8"/>
        <v>562.7413647017645</v>
      </c>
      <c r="BI56" s="59">
        <f ca="1">AVERAGE(OFFSET($BH$3,0,0,'Données projet'!$E$11+1,1))-AVERAGE(OFFSET($H$3,0,0,'Données projet'!$E$11+1,1))</f>
        <v>179.53921263314447</v>
      </c>
      <c r="BJ56" s="59">
        <f t="shared" si="38"/>
        <v>120.81513023281337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18.709598765432116</v>
      </c>
      <c r="BY56" s="12">
        <f>IF('Données projet'!$A$114&gt;35,BY55+BX56-CG55,IF(A56&lt;'Données projet'!$A$114,$BV$205^A56,IF(A56='Données projet'!$A$114,'Données projet'!$B$114,BY55+BX56-CG55)))</f>
        <v>400.21953703703718</v>
      </c>
      <c r="BZ56" s="13">
        <f>BY56*VLOOKUP('Données projet'!$B$12,Paramètres!$A$1:$I$89,3,0)*VLOOKUP('Données projet'!$B$12,Paramètres!$A$1:$I$89,5,0)</f>
        <v>187.30274333333338</v>
      </c>
      <c r="CA56" s="13">
        <f t="shared" si="39"/>
        <v>46.94313238474399</v>
      </c>
      <c r="CB56" s="20">
        <f t="shared" si="10"/>
        <v>407.97823354231809</v>
      </c>
      <c r="CC56" s="59">
        <f t="shared" si="11"/>
        <v>701.31156687565135</v>
      </c>
      <c r="CD56" s="59">
        <f ca="1">AVERAGE(OFFSET($CC$3,0,0,'Données projet'!$E$12+1,1))-AVERAGE(OFFSET($H$3,0,0,'Données projet'!$E$12+1,1))</f>
        <v>310.06530483941287</v>
      </c>
      <c r="CE56" s="59">
        <f t="shared" si="40"/>
        <v>170.13425794309376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30.667854931899527</v>
      </c>
      <c r="CL56" s="21">
        <f>EXP(-LN(2)/25)*CL55+(1-EXP(-LN(2)/25))/(LN(2)/25)*Calculateur!CG56*Calculateur!CI56*VLOOKUP('Données projet'!$B$12,Paramètres!$A$1:$I$89,3,0)*0.475*44/12</f>
        <v>9.2094049067974488</v>
      </c>
      <c r="CM56" s="21">
        <f>EXP(-LN(2)/2)*CM55+(1-EXP(-LN(2)/2))/(LN(2)/2)*CG56*CJ56*VLOOKUP('Données projet'!$B$12,Paramètres!$A$1:$I$89,3,0)*0.475*44/12</f>
        <v>1.7424448112518154</v>
      </c>
      <c r="CN56" s="22">
        <f t="shared" si="12"/>
        <v>41.619704649948787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5.875</v>
      </c>
      <c r="CT56" s="12">
        <f>IF('Données projet'!$A$140&gt;35,CT55+CS56-DB55,IF(A56&lt;'Données projet'!$A$140,$CQ$205^A56,IF(A56='Données projet'!$A$140,'Données projet'!$B$140,CT55+CS56-DB55)))</f>
        <v>305.125</v>
      </c>
      <c r="CU56" s="17">
        <f>CT56*VLOOKUP('Données projet'!$B$13,Paramètres!$A$1:$I$89,3,0)*VLOOKUP('Données projet'!$B$13,Paramètres!$A$1:$I$89,5,0)</f>
        <v>182.46475000000004</v>
      </c>
      <c r="CV56" s="13">
        <f t="shared" si="41"/>
        <v>45.870112833182944</v>
      </c>
      <c r="CW56" s="20">
        <f t="shared" si="13"/>
        <v>397.68321943446034</v>
      </c>
      <c r="CX56" s="59">
        <f t="shared" si="14"/>
        <v>691.01655276779366</v>
      </c>
      <c r="CY56" s="59">
        <f ca="1">AVERAGE(OFFSET($CX$3,0,0,'Données projet'!$E$13+1,1))-AVERAGE(OFFSET($H$3,0,0,'Données projet'!$E$13+1,1))</f>
        <v>168.08890945052406</v>
      </c>
      <c r="CZ56" s="59">
        <f t="shared" si="42"/>
        <v>182.52462557642343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31.811088295516605</v>
      </c>
      <c r="DG56" s="21">
        <f>EXP(-LN(2)/25)*DG55+(1-EXP(-LN(2)/25))/(LN(2)/25)*Calculateur!DB56*Calculateur!DD56*VLOOKUP('Données projet'!$B$13,Paramètres!$A$1:$I$89,3,0)*0.475*44/12</f>
        <v>9.4567928851412919</v>
      </c>
      <c r="DH56" s="21">
        <f>EXP(-LN(2)/2)*DH55+(1-EXP(-LN(2)/2))/(LN(2)/2)*DB56*DE56*VLOOKUP('Données projet'!$B$13,Paramètres!$A$1:$I$89,3,0)*0.475*44/12</f>
        <v>0.27599440413682091</v>
      </c>
      <c r="DI56" s="22">
        <f t="shared" si="15"/>
        <v>41.543875584794719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13.8</v>
      </c>
      <c r="DO56" s="12">
        <f>IF('Données projet'!$A$166&gt;35,DO55+DN56-DW55,IF(A56&lt;'Données projet'!$A$166,$DL$205^A56,IF(A56='Données projet'!$A$166,'Données projet'!$B$166,DO55+DN56-DW55)))</f>
        <v>622.39999999999964</v>
      </c>
      <c r="DP56" s="17">
        <f>DO56*VLOOKUP('Données projet'!$B$14,Paramètres!$A$1:$I$89,3,0)*VLOOKUP('Données projet'!$B$14,Paramètres!$A$1:$I$89,5,0)</f>
        <v>347.92159999999978</v>
      </c>
      <c r="DQ56" s="13">
        <f t="shared" si="43"/>
        <v>81.134398856989449</v>
      </c>
      <c r="DR56" s="20">
        <f t="shared" si="16"/>
        <v>747.27253134258956</v>
      </c>
      <c r="DS56" s="59">
        <f t="shared" si="17"/>
        <v>1040.6058646759229</v>
      </c>
      <c r="DT56" s="59">
        <f ca="1">AVERAGE(OFFSET($DS$3,0,0,'Données projet'!$E$14+1,1))-AVERAGE(OFFSET($H$3,0,0,'Données projet'!$E$14+1,1))</f>
        <v>355.23615781077405</v>
      </c>
      <c r="DU56" s="59">
        <f t="shared" si="44"/>
        <v>448.84541017639367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68.453773116557173</v>
      </c>
      <c r="EB56" s="21">
        <f>EXP(-LN(2)/25)*EB55+(1-EXP(-LN(2)/25))/(LN(2)/25)*Calculateur!DW56*Calculateur!DY56*VLOOKUP('Données projet'!$B$14,Paramètres!$A$1:$I$89,3,0)*0.475*44/12</f>
        <v>20.508702316652926</v>
      </c>
      <c r="EC56" s="21">
        <f>EXP(-LN(2)/2)*EC55+(1-EXP(-LN(2)/2))/(LN(2)/2)*DW56*DZ56*VLOOKUP('Données projet'!$B$14,Paramètres!$A$1:$I$89,3,0)*0.475*44/12</f>
        <v>1.8426263827399603</v>
      </c>
      <c r="ED56" s="22">
        <f t="shared" si="18"/>
        <v>90.805101815950067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4.6000000000000014</v>
      </c>
      <c r="EJ56" s="12">
        <f>IF('Données projet'!$A$192&gt;35,EJ55+EI56-ER55,IF(A56&lt;'Données projet'!$A$192,$EG$205^A56,IF(A56='Données projet'!$A$192,'Données projet'!$B$192,EJ55+EI56-ER55)))</f>
        <v>96.6</v>
      </c>
      <c r="EK56" s="17">
        <f>EJ56*VLOOKUP('Données projet'!$B$15,Paramètres!$A$1:$I$89,3,0)*VLOOKUP('Données projet'!$B$15,Paramètres!$A$1:$I$89,5,0)</f>
        <v>103.98023999999999</v>
      </c>
      <c r="EL56" s="13">
        <f t="shared" si="45"/>
        <v>27.908070117635507</v>
      </c>
      <c r="EM56" s="20">
        <f t="shared" si="19"/>
        <v>229.70547345488183</v>
      </c>
      <c r="EN56" s="59">
        <f t="shared" si="20"/>
        <v>523.0388067882152</v>
      </c>
      <c r="EO56" s="59">
        <f ca="1">AVERAGE(OFFSET($EN$3,0,0,'Données projet'!$E$15+1,1))-AVERAGE(OFFSET($H$3,0,0,'Données projet'!$E$15+1,1))</f>
        <v>130.76477588601989</v>
      </c>
      <c r="EP56" s="59">
        <f t="shared" si="46"/>
        <v>94.034011511502172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0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13.8</v>
      </c>
      <c r="FE56" s="12">
        <f>IF('Données projet'!$A$218&gt;35,FE55+FD56-FM55,IF(A56&lt;'Données projet'!$A$218,$FB$205^A56,IF(A56='Données projet'!$A$218,'Données projet'!$B$218,FE55+FD56-FM55)))</f>
        <v>622.39999999999964</v>
      </c>
      <c r="FF56" s="17">
        <f>FE56*VLOOKUP('Données projet'!$B$16,Paramètres!$A$1:$I$89,3,0)*VLOOKUP('Données projet'!$B$16,Paramètres!$A$1:$I$89,5,0)</f>
        <v>283.19199999999984</v>
      </c>
      <c r="FG56" s="13">
        <f t="shared" si="47"/>
        <v>67.641124569589707</v>
      </c>
      <c r="FH56" s="20">
        <f t="shared" si="22"/>
        <v>611.03435862536833</v>
      </c>
      <c r="FI56" s="59">
        <f t="shared" si="23"/>
        <v>904.3676919587017</v>
      </c>
      <c r="FJ56" s="59">
        <f ca="1">AVERAGE(OFFSET($FI$3,0,0,'Données projet'!$E$16+1,1))-AVERAGE(OFFSET($H$3,0,0,'Données projet'!$E$16+1,1))</f>
        <v>279.43442619866738</v>
      </c>
      <c r="FK56" s="59">
        <f t="shared" si="48"/>
        <v>355.95192241448217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55.718187420453489</v>
      </c>
      <c r="FR56" s="21">
        <f>EXP(-LN(2)/25)*FR55+(1-EXP(-LN(2)/25))/(LN(2)/25)*Calculateur!FM56*Calculateur!FO56*VLOOKUP('Données projet'!$B$16,Paramètres!$A$1:$I$89,3,0)*0.475*44/12</f>
        <v>16.693129792624475</v>
      </c>
      <c r="FS56" s="21">
        <f>EXP(-LN(2)/2)*FS55+(1-EXP(-LN(2)/2))/(LN(2)/2)*FM56*FP56*VLOOKUP('Données projet'!$B$16,Paramètres!$A$1:$I$89,3,0)*0.475*44/12</f>
        <v>1.4998121719976423</v>
      </c>
      <c r="FT56" s="22">
        <f t="shared" si="24"/>
        <v>73.911129385075611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402</v>
      </c>
      <c r="L57" s="12">
        <f>VLOOKUP(A57,'Données projet'!$A$35:$I$55,9,0)</f>
        <v>7.25</v>
      </c>
      <c r="M57" s="12">
        <f t="array" ref="M57">INDEX(L:L,MIN(IF(ISNUMBER(L57:L253),ROW(L57:L253),"")))</f>
        <v>7.25</v>
      </c>
      <c r="N57" s="13">
        <f>IF('Données projet'!$A$36&gt;35,N56+M57-V56,IF(A57&lt;'Données projet'!$A$36,$K$205^A57,IF(A57='Données projet'!$A$36,'Données projet'!$B$36,N56+M57-V56)))</f>
        <v>401.99999999999989</v>
      </c>
      <c r="O57" s="13">
        <f>N57*VLOOKUP('Données projet'!$B$9,Paramètres!$A$1:$I$89,3,0)*VLOOKUP('Données projet'!$B$9,Paramètres!$A$1:$I$89,5,0)</f>
        <v>240.39599999999996</v>
      </c>
      <c r="P57" s="13">
        <f t="shared" si="33"/>
        <v>58.524723634421605</v>
      </c>
      <c r="Q57" s="20">
        <f t="shared" si="53"/>
        <v>520.62026032995084</v>
      </c>
      <c r="R57" s="59">
        <f t="shared" si="0"/>
        <v>813.95359366328421</v>
      </c>
      <c r="S57" s="59">
        <f ca="1">AVERAGE(OFFSET($R$3,0,0,'Données projet'!$E$9+1,1))-AVERAGE(OFFSET($H$3,0,0,'Données projet'!$E$9+1,1))</f>
        <v>227.89848316900191</v>
      </c>
      <c r="T57" s="59">
        <f t="shared" si="34"/>
        <v>239.85955661394541</v>
      </c>
      <c r="U57" s="15">
        <f>IF(ISNA(VLOOKUP(A57,'Données projet'!$A$35:$I$55,3,0)),0,VLOOKUP(A57,'Données projet'!$A$35:$I$55,3,0))</f>
        <v>8</v>
      </c>
      <c r="V57" s="15">
        <f>IF(ISNA(VLOOKUP(A57,'Données projet'!$A$35:$I$55,4,0)),0,VLOOKUP(A57,'Données projet'!$A$35:$I$55,4,0))</f>
        <v>17</v>
      </c>
      <c r="W57" s="16">
        <f>IF(ISNA(VLOOKUP(A57,'Données projet'!$A$35:$I$55,5,0)),0%,VLOOKUP(A57,'Données projet'!$A$35:$I$55,5,0)*VLOOKUP('Données projet'!$B$9,Paramètres!$A$1:$I$89,7,0))</f>
        <v>0.315</v>
      </c>
      <c r="X57" s="16">
        <f>IF(ISNA(VLOOKUP(A57,'Données projet'!$A$35:$I$55,6,0)),0%,VLOOKUP(A57,'Données projet'!$A$35:$I$55,6,0)*VLOOKUP('Données projet'!$B$9,Paramètres!$A$1:$I$89,7,0))</f>
        <v>7.5600000000000001E-2</v>
      </c>
      <c r="Y57" s="16">
        <f>IF(ISNA(VLOOKUP(A57,'Données projet'!$A$35:$I$55,7,0)),0%,VLOOKUP(A57,'Données projet'!$A$35:$I$55,7,0))</f>
        <v>0.13200000000000001</v>
      </c>
      <c r="Z57" s="21">
        <f>EXP(-LN(2)/35)*Z56+(1-EXP(-LN(2)/35))/(LN(2)/35)*V57*W57*VLOOKUP('Données projet'!$B$9,Paramètres!$A$1:$I$89,3,0)*0.475*44/12</f>
        <v>41.642066018593383</v>
      </c>
      <c r="AA57" s="21">
        <f>EXP(-LN(2)/25)*AA56+(1-EXP(-LN(2)/25))/(LN(2)/25)*Calculateur!V57*Calculateur!X57*VLOOKUP('Données projet'!$B$9,Paramètres!$A$1:$I$89,3,0)*0.475*44/12</f>
        <v>10.292849863432659</v>
      </c>
      <c r="AB57" s="21">
        <f>EXP(-LN(2)/2)*AB56+(1-EXP(-LN(2)/2))/(LN(2)/2)*V57*Y57*VLOOKUP('Données projet'!$B$9,Paramètres!$A$1:$I$89,3,0)*0.475*44/12</f>
        <v>1.6662380025113621</v>
      </c>
      <c r="AC57" s="22">
        <f t="shared" si="3"/>
        <v>53.601153884537403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>
        <f>VLOOKUP(A57,'Données projet'!$A$61:$I$81,2,0)</f>
        <v>163</v>
      </c>
      <c r="AG57" s="12">
        <f>VLOOKUP(A57,'Données projet'!$A$61:$I$81,9,0)</f>
        <v>7.833333333333333</v>
      </c>
      <c r="AH57" s="12">
        <f t="array" ref="AH57">INDEX(AG:AG,MIN(IF(ISNUMBER(AG57:AG253),ROW(AG57:AG253),"")))</f>
        <v>7.833333333333333</v>
      </c>
      <c r="AI57" s="13">
        <f>IF('Données projet'!$A$62&gt;35,AI56+AH57-AQ56,IF(A57&lt;'Données projet'!$A$62,$AF$205^A57,IF(A57='Données projet'!$A$62,'Données projet'!$B$62,AI56+AH57-AQ56)))</f>
        <v>163.00000000000017</v>
      </c>
      <c r="AJ57" s="13">
        <f>AI57*VLOOKUP('Données projet'!$B$10,Paramètres!$A$1:$I$89,3,0)*VLOOKUP('Données projet'!$B$10,Paramètres!$A$1:$I$89,5,0)</f>
        <v>147.48240000000015</v>
      </c>
      <c r="AK57" s="13">
        <f t="shared" si="35"/>
        <v>38.005889588171243</v>
      </c>
      <c r="AL57" s="20">
        <f t="shared" si="4"/>
        <v>323.05877103273184</v>
      </c>
      <c r="AM57" s="59">
        <f t="shared" si="5"/>
        <v>616.39210436606515</v>
      </c>
      <c r="AN57" s="59">
        <f ca="1">AVERAGE(OFFSET($AM$3,0,0,'Données projet'!$E$10+1,1))-AVERAGE(OFFSET($H$3,0,0,'Données projet'!$E$10+1,1))</f>
        <v>215.7418266360167</v>
      </c>
      <c r="AO57" s="59">
        <f t="shared" si="36"/>
        <v>155.78420008229949</v>
      </c>
      <c r="AP57" s="15">
        <f>IF(ISNA(VLOOKUP(A57,'Données projet'!$A$61:$I$81,3,0)),0,VLOOKUP(A57,'Données projet'!$A$61:$I$81,3,0))</f>
        <v>4</v>
      </c>
      <c r="AQ57" s="15">
        <f>IF(ISNA(VLOOKUP(A57,'Données projet'!$A$61:$I$81,4,0)),0,VLOOKUP(A57,'Données projet'!$A$61:$I$81,4,0))</f>
        <v>31</v>
      </c>
      <c r="AR57" s="16">
        <f>IF(ISNA(VLOOKUP(A57,'Données projet'!$A$61:$I$81,5,0)),0%,VLOOKUP(A57,'Données projet'!$A$61:$I$81,5,0)*VLOOKUP('Données projet'!$B$10,Paramètres!$A$1:$I$89,7,0))</f>
        <v>0.30099999999999999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9.3331423920145884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9.3331423920145884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5.75</v>
      </c>
      <c r="BD57" s="12">
        <f>IF('Données projet'!$A$88&gt;35,BD56+BC57-BL56,IF(A57&lt;'Données projet'!$A$88,$BA$205^A57,IF(A57='Données projet'!$A$88,'Données projet'!$B$88,BD56+BC57-BL56)))</f>
        <v>126.50000000000001</v>
      </c>
      <c r="BE57" s="13">
        <f>BD57*VLOOKUP('Données projet'!$B$11,Paramètres!$A$1:$I$89,3,0)*VLOOKUP('Données projet'!$B$11,Paramètres!$A$1:$I$89,5,0)</f>
        <v>128.27100000000002</v>
      </c>
      <c r="BF57" s="13">
        <f t="shared" si="37"/>
        <v>33.596527402237875</v>
      </c>
      <c r="BG57" s="20">
        <f t="shared" si="7"/>
        <v>281.91927689223098</v>
      </c>
      <c r="BH57" s="59">
        <f t="shared" si="8"/>
        <v>575.25261022556424</v>
      </c>
      <c r="BI57" s="59">
        <f ca="1">AVERAGE(OFFSET($BH$3,0,0,'Données projet'!$E$11+1,1))-AVERAGE(OFFSET($H$3,0,0,'Données projet'!$E$11+1,1))</f>
        <v>179.53921263314447</v>
      </c>
      <c r="BJ57" s="59">
        <f t="shared" si="38"/>
        <v>120.81513023281337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18.709598765432116</v>
      </c>
      <c r="BY57" s="12">
        <f>IF('Données projet'!$A$114&gt;35,BY56+BX57-CG56,IF(A57&lt;'Données projet'!$A$114,$BV$205^A57,IF(A57='Données projet'!$A$114,'Données projet'!$B$114,BY56+BX57-CG56)))</f>
        <v>418.92913580246932</v>
      </c>
      <c r="BZ57" s="13">
        <f>BY57*VLOOKUP('Données projet'!$B$12,Paramètres!$A$1:$I$89,3,0)*VLOOKUP('Données projet'!$B$12,Paramètres!$A$1:$I$89,5,0)</f>
        <v>196.05883555555565</v>
      </c>
      <c r="CA57" s="13">
        <f t="shared" si="39"/>
        <v>48.877018338643353</v>
      </c>
      <c r="CB57" s="20">
        <f t="shared" si="10"/>
        <v>426.5966121990632</v>
      </c>
      <c r="CC57" s="59">
        <f t="shared" si="11"/>
        <v>719.92994553239646</v>
      </c>
      <c r="CD57" s="59">
        <f ca="1">AVERAGE(OFFSET($CC$3,0,0,'Données projet'!$E$12+1,1))-AVERAGE(OFFSET($H$3,0,0,'Données projet'!$E$12+1,1))</f>
        <v>310.06530483941287</v>
      </c>
      <c r="CE57" s="59">
        <f t="shared" si="40"/>
        <v>170.13425794309376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30.066477002229465</v>
      </c>
      <c r="CL57" s="21">
        <f>EXP(-LN(2)/25)*CL56+(1-EXP(-LN(2)/25))/(LN(2)/25)*Calculateur!CG57*Calculateur!CI57*VLOOKUP('Données projet'!$B$12,Paramètres!$A$1:$I$89,3,0)*0.475*44/12</f>
        <v>8.9575732453195176</v>
      </c>
      <c r="CM57" s="21">
        <f>EXP(-LN(2)/2)*CM56+(1-EXP(-LN(2)/2))/(LN(2)/2)*CG57*CJ57*VLOOKUP('Données projet'!$B$12,Paramètres!$A$1:$I$89,3,0)*0.475*44/12</f>
        <v>1.2320945418794726</v>
      </c>
      <c r="CN57" s="22">
        <f t="shared" si="12"/>
        <v>40.256144789428454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>
        <f>VLOOKUP(A57,'Données projet'!$A$139:$I$159,2,0)</f>
        <v>311</v>
      </c>
      <c r="CR57" s="12">
        <f>VLOOKUP(A57,'Données projet'!$A$139:$I$159,9,0)</f>
        <v>5.875</v>
      </c>
      <c r="CS57" s="12">
        <f t="array" ref="CS57">INDEX(CR:CR,MIN(IF(ISNUMBER(CR57:CR253),ROW(CR57:CR253),"")))</f>
        <v>5.875</v>
      </c>
      <c r="CT57" s="12">
        <f>IF('Données projet'!$A$140&gt;35,CT56+CS57-DB56,IF(A57&lt;'Données projet'!$A$140,$CQ$205^A57,IF(A57='Données projet'!$A$140,'Données projet'!$B$140,CT56+CS57-DB56)))</f>
        <v>311</v>
      </c>
      <c r="CU57" s="17">
        <f>CT57*VLOOKUP('Données projet'!$B$13,Paramètres!$A$1:$I$89,3,0)*VLOOKUP('Données projet'!$B$13,Paramètres!$A$1:$I$89,5,0)</f>
        <v>185.97800000000001</v>
      </c>
      <c r="CV57" s="13">
        <f t="shared" si="41"/>
        <v>46.649641523668571</v>
      </c>
      <c r="CW57" s="20">
        <f t="shared" si="13"/>
        <v>405.15980898705612</v>
      </c>
      <c r="CX57" s="59">
        <f t="shared" si="14"/>
        <v>698.49314232038944</v>
      </c>
      <c r="CY57" s="59">
        <f ca="1">AVERAGE(OFFSET($CX$3,0,0,'Données projet'!$E$13+1,1))-AVERAGE(OFFSET($H$3,0,0,'Données projet'!$E$13+1,1))</f>
        <v>168.08890945052406</v>
      </c>
      <c r="CZ57" s="59">
        <f t="shared" si="42"/>
        <v>182.52462557642343</v>
      </c>
      <c r="DA57" s="15">
        <f>IF(ISNA(VLOOKUP(A57,'Données projet'!$A$139:$I$159,3,0)),0,VLOOKUP(A57,'Données projet'!$A$139:$I$159,3,0))</f>
        <v>8</v>
      </c>
      <c r="DB57" s="15">
        <f>IF(ISNA(VLOOKUP(A57,'Données projet'!$A$139:$I$159,4,0)),0,VLOOKUP(A57,'Données projet'!$A$139:$I$159,4,0))</f>
        <v>16</v>
      </c>
      <c r="DC57" s="16">
        <f>IF(ISNA(VLOOKUP(A57,'Données projet'!$A$139:$I$159,5,0)),0%,VLOOKUP(A57,'Données projet'!$A$139:$I$159,5,0)*VLOOKUP('Données projet'!$B$13,Paramètres!$A$1:$I$89,7,0))</f>
        <v>0.315</v>
      </c>
      <c r="DD57" s="16">
        <f>IF(ISNA(VLOOKUP(A57,'Données projet'!$A$139:$I$159,6,0)),0%,VLOOKUP(A57,'Données projet'!$A$139:$I$159,6,0)*VLOOKUP('Données projet'!$B$13,Paramètres!$A$1:$I$89,7,0))</f>
        <v>7.5600000000000001E-2</v>
      </c>
      <c r="DE57" s="16">
        <f>IF(ISNA(VLOOKUP(A57,'Données projet'!$A$139:$I$159,7,0)),0%,VLOOKUP(A57,'Données projet'!$A$139:$I$159,7,0))</f>
        <v>0.13200000000000001</v>
      </c>
      <c r="DF57" s="21">
        <f>EXP(-LN(2)/35)*DF56+(1-EXP(-LN(2)/35))/(LN(2)/35)*DB57*DC57*VLOOKUP('Données projet'!$B$13,Paramètres!$A$1:$I$89,3,0)*0.475*44/12</f>
        <v>35.185451400427851</v>
      </c>
      <c r="DG57" s="21">
        <f>EXP(-LN(2)/25)*DG56+(1-EXP(-LN(2)/25))/(LN(2)/25)*Calculateur!DB57*Calculateur!DD57*VLOOKUP('Données projet'!$B$13,Paramètres!$A$1:$I$89,3,0)*0.475*44/12</f>
        <v>10.153976434603297</v>
      </c>
      <c r="DH57" s="21">
        <f>EXP(-LN(2)/2)*DH56+(1-EXP(-LN(2)/2))/(LN(2)/2)*DB57*DE57*VLOOKUP('Données projet'!$B$13,Paramètres!$A$1:$I$89,3,0)*0.475*44/12</f>
        <v>1.6251397329354722</v>
      </c>
      <c r="DI57" s="22">
        <f t="shared" si="15"/>
        <v>46.964567567966618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13.8</v>
      </c>
      <c r="DO57" s="12">
        <f>IF('Données projet'!$A$166&gt;35,DO56+DN57-DW56,IF(A57&lt;'Données projet'!$A$166,$DL$205^A57,IF(A57='Données projet'!$A$166,'Données projet'!$B$166,DO56+DN57-DW56)))</f>
        <v>636.19999999999959</v>
      </c>
      <c r="DP57" s="17">
        <f>DO57*VLOOKUP('Données projet'!$B$14,Paramètres!$A$1:$I$89,3,0)*VLOOKUP('Données projet'!$B$14,Paramètres!$A$1:$I$89,5,0)</f>
        <v>355.63579999999973</v>
      </c>
      <c r="DQ57" s="13">
        <f t="shared" si="43"/>
        <v>82.721899912765039</v>
      </c>
      <c r="DR57" s="20">
        <f t="shared" si="16"/>
        <v>763.47299401473185</v>
      </c>
      <c r="DS57" s="59">
        <f t="shared" si="17"/>
        <v>1056.8063273480652</v>
      </c>
      <c r="DT57" s="59">
        <f ca="1">AVERAGE(OFFSET($DS$3,0,0,'Données projet'!$E$14+1,1))-AVERAGE(OFFSET($H$3,0,0,'Données projet'!$E$14+1,1))</f>
        <v>355.23615781077405</v>
      </c>
      <c r="DU57" s="59">
        <f t="shared" si="44"/>
        <v>448.84541017639367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67.11143637842035</v>
      </c>
      <c r="EB57" s="21">
        <f>EXP(-LN(2)/25)*EB56+(1-EXP(-LN(2)/25))/(LN(2)/25)*Calculateur!DW57*Calculateur!DY57*VLOOKUP('Données projet'!$B$14,Paramètres!$A$1:$I$89,3,0)*0.475*44/12</f>
        <v>19.947890773298269</v>
      </c>
      <c r="EC57" s="21">
        <f>EXP(-LN(2)/2)*EC56+(1-EXP(-LN(2)/2))/(LN(2)/2)*DW57*DZ57*VLOOKUP('Données projet'!$B$14,Paramètres!$A$1:$I$89,3,0)*0.475*44/12</f>
        <v>1.3029336104286648</v>
      </c>
      <c r="ED57" s="22">
        <f t="shared" si="18"/>
        <v>88.362260762147287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4.6000000000000014</v>
      </c>
      <c r="EJ57" s="12">
        <f>IF('Données projet'!$A$192&gt;35,EJ56+EI57-ER56,IF(A57&lt;'Données projet'!$A$192,$EG$205^A57,IF(A57='Données projet'!$A$192,'Données projet'!$B$192,EJ56+EI57-ER56)))</f>
        <v>101.19999999999999</v>
      </c>
      <c r="EK57" s="17">
        <f>EJ57*VLOOKUP('Données projet'!$B$15,Paramètres!$A$1:$I$89,3,0)*VLOOKUP('Données projet'!$B$15,Paramètres!$A$1:$I$89,5,0)</f>
        <v>108.93167999999999</v>
      </c>
      <c r="EL57" s="13">
        <f t="shared" si="45"/>
        <v>29.079137258052199</v>
      </c>
      <c r="EM57" s="20">
        <f t="shared" si="19"/>
        <v>240.36884005777424</v>
      </c>
      <c r="EN57" s="59">
        <f t="shared" si="20"/>
        <v>533.70217339110752</v>
      </c>
      <c r="EO57" s="59">
        <f ca="1">AVERAGE(OFFSET($EN$3,0,0,'Données projet'!$E$15+1,1))-AVERAGE(OFFSET($H$3,0,0,'Données projet'!$E$15+1,1))</f>
        <v>130.76477588601989</v>
      </c>
      <c r="EP57" s="59">
        <f t="shared" si="46"/>
        <v>94.034011511502172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0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13.8</v>
      </c>
      <c r="FE57" s="12">
        <f>IF('Données projet'!$A$218&gt;35,FE56+FD57-FM56,IF(A57&lt;'Données projet'!$A$218,$FB$205^A57,IF(A57='Données projet'!$A$218,'Données projet'!$B$218,FE56+FD57-FM56)))</f>
        <v>636.19999999999959</v>
      </c>
      <c r="FF57" s="17">
        <f>FE57*VLOOKUP('Données projet'!$B$16,Paramètres!$A$1:$I$89,3,0)*VLOOKUP('Données projet'!$B$16,Paramètres!$A$1:$I$89,5,0)</f>
        <v>289.47099999999983</v>
      </c>
      <c r="FG57" s="13">
        <f t="shared" si="47"/>
        <v>68.964611995155508</v>
      </c>
      <c r="FH57" s="20">
        <f t="shared" si="22"/>
        <v>624.27535755822885</v>
      </c>
      <c r="FI57" s="59">
        <f t="shared" si="23"/>
        <v>917.60869089156222</v>
      </c>
      <c r="FJ57" s="59">
        <f ca="1">AVERAGE(OFFSET($FI$3,0,0,'Données projet'!$E$16+1,1))-AVERAGE(OFFSET($H$3,0,0,'Données projet'!$E$16+1,1))</f>
        <v>279.43442619866738</v>
      </c>
      <c r="FK57" s="59">
        <f t="shared" si="48"/>
        <v>355.95192241448217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54.625587749877006</v>
      </c>
      <c r="FR57" s="21">
        <f>EXP(-LN(2)/25)*FR56+(1-EXP(-LN(2)/25))/(LN(2)/25)*Calculateur!FM57*Calculateur!FO57*VLOOKUP('Données projet'!$B$16,Paramètres!$A$1:$I$89,3,0)*0.475*44/12</f>
        <v>16.236655280591616</v>
      </c>
      <c r="FS57" s="21">
        <f>EXP(-LN(2)/2)*FS56+(1-EXP(-LN(2)/2))/(LN(2)/2)*FM57*FP57*VLOOKUP('Données projet'!$B$16,Paramètres!$A$1:$I$89,3,0)*0.475*44/12</f>
        <v>1.0605273573256575</v>
      </c>
      <c r="FT57" s="22">
        <f t="shared" si="24"/>
        <v>71.922770387794273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3</v>
      </c>
      <c r="N58" s="13">
        <f>IF('Données projet'!$A$36&gt;35,N57+M58-V57,IF(A58&lt;'Données projet'!$A$36,$K$205^A58,IF(A58='Données projet'!$A$36,'Données projet'!$B$36,N57+M58-V57)))</f>
        <v>387.99999999999989</v>
      </c>
      <c r="O58" s="13">
        <f>N58*VLOOKUP('Données projet'!$B$9,Paramètres!$A$1:$I$89,3,0)*VLOOKUP('Données projet'!$B$9,Paramètres!$A$1:$I$89,5,0)</f>
        <v>232.02399999999994</v>
      </c>
      <c r="P58" s="13">
        <f t="shared" si="33"/>
        <v>56.720094243161071</v>
      </c>
      <c r="Q58" s="20">
        <f t="shared" si="53"/>
        <v>502.89596414017211</v>
      </c>
      <c r="R58" s="59">
        <f t="shared" si="0"/>
        <v>796.22929747350543</v>
      </c>
      <c r="S58" s="59">
        <f ca="1">AVERAGE(OFFSET($R$3,0,0,'Données projet'!$E$9+1,1))-AVERAGE(OFFSET($H$3,0,0,'Données projet'!$E$9+1,1))</f>
        <v>227.89848316900191</v>
      </c>
      <c r="T58" s="59">
        <f t="shared" si="34"/>
        <v>239.85955661394541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40.825490503121081</v>
      </c>
      <c r="AA58" s="21">
        <f>EXP(-LN(2)/25)*AA57+(1-EXP(-LN(2)/25))/(LN(2)/25)*Calculateur!V58*Calculateur!X58*VLOOKUP('Données projet'!$B$9,Paramètres!$A$1:$I$89,3,0)*0.475*44/12</f>
        <v>10.011391342639643</v>
      </c>
      <c r="AB58" s="21">
        <f>EXP(-LN(2)/2)*AB57+(1-EXP(-LN(2)/2))/(LN(2)/2)*V58*Y58*VLOOKUP('Données projet'!$B$9,Paramètres!$A$1:$I$89,3,0)*0.475*44/12</f>
        <v>1.1782081906465118</v>
      </c>
      <c r="AC58" s="22">
        <f t="shared" si="3"/>
        <v>52.015090036407237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7.75</v>
      </c>
      <c r="AI58" s="13">
        <f>IF('Données projet'!$A$62&gt;35,AI57+AH58-AQ57,IF(A58&lt;'Données projet'!$A$62,$AF$205^A58,IF(A58='Données projet'!$A$62,'Données projet'!$B$62,AI57+AH58-AQ57)))</f>
        <v>139.75000000000017</v>
      </c>
      <c r="AJ58" s="13">
        <f>AI58*VLOOKUP('Données projet'!$B$10,Paramètres!$A$1:$I$89,3,0)*VLOOKUP('Données projet'!$B$10,Paramètres!$A$1:$I$89,5,0)</f>
        <v>126.44580000000015</v>
      </c>
      <c r="AK58" s="13">
        <f t="shared" si="35"/>
        <v>33.173767778062711</v>
      </c>
      <c r="AL58" s="20">
        <f t="shared" si="4"/>
        <v>278.00408054679281</v>
      </c>
      <c r="AM58" s="59">
        <f t="shared" si="5"/>
        <v>571.33741388012618</v>
      </c>
      <c r="AN58" s="59">
        <f ca="1">AVERAGE(OFFSET($AM$3,0,0,'Données projet'!$E$10+1,1))-AVERAGE(OFFSET($H$3,0,0,'Données projet'!$E$10+1,1))</f>
        <v>215.7418266360167</v>
      </c>
      <c r="AO58" s="59">
        <f t="shared" si="36"/>
        <v>155.78420008229949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9.1501251623619382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9.1501251623619382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5.75</v>
      </c>
      <c r="BD58" s="12">
        <f>IF('Données projet'!$A$88&gt;35,BD57+BC58-BL57,IF(A58&lt;'Données projet'!$A$88,$BA$205^A58,IF(A58='Données projet'!$A$88,'Données projet'!$B$88,BD57+BC58-BL57)))</f>
        <v>132.25</v>
      </c>
      <c r="BE58" s="13">
        <f>BD58*VLOOKUP('Données projet'!$B$11,Paramètres!$A$1:$I$89,3,0)*VLOOKUP('Données projet'!$B$11,Paramètres!$A$1:$I$89,5,0)</f>
        <v>134.10150000000002</v>
      </c>
      <c r="BF58" s="13">
        <f t="shared" si="37"/>
        <v>34.942375413956256</v>
      </c>
      <c r="BG58" s="20">
        <f t="shared" si="7"/>
        <v>294.41808301264047</v>
      </c>
      <c r="BH58" s="59">
        <f t="shared" si="8"/>
        <v>587.75141634597378</v>
      </c>
      <c r="BI58" s="59">
        <f ca="1">AVERAGE(OFFSET($BH$3,0,0,'Données projet'!$E$11+1,1))-AVERAGE(OFFSET($H$3,0,0,'Données projet'!$E$11+1,1))</f>
        <v>179.53921263314447</v>
      </c>
      <c r="BJ58" s="59">
        <f t="shared" si="38"/>
        <v>120.81513023281337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18.709598765432116</v>
      </c>
      <c r="BY58" s="12">
        <f>IF('Données projet'!$A$114&gt;35,BY57+BX58-CG57,IF(A58&lt;'Données projet'!$A$114,$BV$205^A58,IF(A58='Données projet'!$A$114,'Données projet'!$B$114,BY57+BX58-CG57)))</f>
        <v>437.63873456790145</v>
      </c>
      <c r="BZ58" s="13">
        <f>BY58*VLOOKUP('Données projet'!$B$12,Paramètres!$A$1:$I$89,3,0)*VLOOKUP('Données projet'!$B$12,Paramètres!$A$1:$I$89,5,0)</f>
        <v>204.81492777777788</v>
      </c>
      <c r="CA58" s="13">
        <f t="shared" si="39"/>
        <v>50.800873577866255</v>
      </c>
      <c r="CB58" s="20">
        <f t="shared" si="10"/>
        <v>445.19752069441347</v>
      </c>
      <c r="CC58" s="59">
        <f t="shared" si="11"/>
        <v>738.53085402774673</v>
      </c>
      <c r="CD58" s="59">
        <f ca="1">AVERAGE(OFFSET($CC$3,0,0,'Données projet'!$E$12+1,1))-AVERAGE(OFFSET($H$3,0,0,'Données projet'!$E$12+1,1))</f>
        <v>310.06530483941287</v>
      </c>
      <c r="CE58" s="59">
        <f t="shared" si="40"/>
        <v>170.13425794309376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29.476891726955916</v>
      </c>
      <c r="CL58" s="21">
        <f>EXP(-LN(2)/25)*CL57+(1-EXP(-LN(2)/25))/(LN(2)/25)*Calculateur!CG58*Calculateur!CI58*VLOOKUP('Données projet'!$B$12,Paramètres!$A$1:$I$89,3,0)*0.475*44/12</f>
        <v>8.7126279338679513</v>
      </c>
      <c r="CM58" s="21">
        <f>EXP(-LN(2)/2)*CM57+(1-EXP(-LN(2)/2))/(LN(2)/2)*CG58*CJ58*VLOOKUP('Données projet'!$B$12,Paramètres!$A$1:$I$89,3,0)*0.475*44/12</f>
        <v>0.8712224056259078</v>
      </c>
      <c r="CN58" s="22">
        <f t="shared" si="12"/>
        <v>39.060742066449777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2.625</v>
      </c>
      <c r="CT58" s="12">
        <f>IF('Données projet'!$A$140&gt;35,CT57+CS58-DB57,IF(A58&lt;'Données projet'!$A$140,$CQ$205^A58,IF(A58='Données projet'!$A$140,'Données projet'!$B$140,CT57+CS58-DB57)))</f>
        <v>297.625</v>
      </c>
      <c r="CU58" s="17">
        <f>CT58*VLOOKUP('Données projet'!$B$13,Paramètres!$A$1:$I$89,3,0)*VLOOKUP('Données projet'!$B$13,Paramètres!$A$1:$I$89,5,0)</f>
        <v>177.97975</v>
      </c>
      <c r="CV58" s="13">
        <f t="shared" si="41"/>
        <v>44.87242292972973</v>
      </c>
      <c r="CW58" s="20">
        <f t="shared" si="13"/>
        <v>388.13420118594587</v>
      </c>
      <c r="CX58" s="59">
        <f t="shared" si="14"/>
        <v>681.46753451927918</v>
      </c>
      <c r="CY58" s="59">
        <f ca="1">AVERAGE(OFFSET($CX$3,0,0,'Données projet'!$E$13+1,1))-AVERAGE(OFFSET($H$3,0,0,'Données projet'!$E$13+1,1))</f>
        <v>168.08890945052406</v>
      </c>
      <c r="CZ58" s="59">
        <f t="shared" si="42"/>
        <v>182.52462557642343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34.495486159471717</v>
      </c>
      <c r="DG58" s="21">
        <f>EXP(-LN(2)/25)*DG57+(1-EXP(-LN(2)/25))/(LN(2)/25)*Calculateur!DB58*Calculateur!DD58*VLOOKUP('Données projet'!$B$13,Paramètres!$A$1:$I$89,3,0)*0.475*44/12</f>
        <v>9.8763154150246564</v>
      </c>
      <c r="DH58" s="21">
        <f>EXP(-LN(2)/2)*DH57+(1-EXP(-LN(2)/2))/(LN(2)/2)*DB58*DE58*VLOOKUP('Données projet'!$B$13,Paramètres!$A$1:$I$89,3,0)*0.475*44/12</f>
        <v>1.1491473255343674</v>
      </c>
      <c r="DI58" s="22">
        <f t="shared" si="15"/>
        <v>45.520948900030739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650</v>
      </c>
      <c r="DM58" s="12">
        <f>VLOOKUP(A58,'Données projet'!$A$165:$I$185,9,0)</f>
        <v>13.8</v>
      </c>
      <c r="DN58" s="12">
        <f t="array" ref="DN58">INDEX(DM:DM,MIN(IF(ISNUMBER(DM58:DM254),ROW(DM58:DM254),"")))</f>
        <v>13.8</v>
      </c>
      <c r="DO58" s="12">
        <f>IF('Données projet'!$A$166&gt;35,DO57+DN58-DW57,IF(A58&lt;'Données projet'!$A$166,$DL$205^A58,IF(A58='Données projet'!$A$166,'Données projet'!$B$166,DO57+DN58-DW57)))</f>
        <v>649.99999999999955</v>
      </c>
      <c r="DP58" s="17">
        <f>DO58*VLOOKUP('Données projet'!$B$14,Paramètres!$A$1:$I$89,3,0)*VLOOKUP('Données projet'!$B$14,Paramètres!$A$1:$I$89,5,0)</f>
        <v>363.34999999999974</v>
      </c>
      <c r="DQ58" s="13">
        <f t="shared" si="43"/>
        <v>84.305397464498199</v>
      </c>
      <c r="DR58" s="20">
        <f t="shared" si="16"/>
        <v>779.66648391733395</v>
      </c>
      <c r="DS58" s="59">
        <f t="shared" si="17"/>
        <v>1072.9998172506673</v>
      </c>
      <c r="DT58" s="59">
        <f ca="1">AVERAGE(OFFSET($DS$3,0,0,'Données projet'!$E$14+1,1))-AVERAGE(OFFSET($H$3,0,0,'Données projet'!$E$14+1,1))</f>
        <v>355.23615781077405</v>
      </c>
      <c r="DU58" s="59">
        <f t="shared" si="44"/>
        <v>448.84541017639367</v>
      </c>
      <c r="DV58" s="15">
        <f>IF(ISNA(VLOOKUP(A58,'Données projet'!$A$165:$I$185,3,0)),0,VLOOKUP(A58,'Données projet'!$A$165:$I$185,3,0))</f>
        <v>7</v>
      </c>
      <c r="DW58" s="15">
        <f>IF(ISNA(VLOOKUP(A58,'Données projet'!$A$165:$I$185,4,0)),0,VLOOKUP(A58,'Données projet'!$A$165:$I$185,4,0))</f>
        <v>35</v>
      </c>
      <c r="DX58" s="16">
        <f>IF(ISNA(VLOOKUP(A58,'Données projet'!$A$165:$I$185,5,0)),0%,VLOOKUP(A58,'Données projet'!$A$165:$I$185,5,0)*VLOOKUP('Données projet'!$B$14,Paramètres!$A$1:$I$89,7,0))</f>
        <v>0.38500000000000001</v>
      </c>
      <c r="DY58" s="16">
        <f>IF(ISNA(VLOOKUP(A58,'Données projet'!$A$165:$I$185,6,0)),0%,VLOOKUP(A58,'Données projet'!$A$165:$I$185,6,0)*VLOOKUP('Données projet'!$B$14,Paramètres!$A$1:$I$89,7,0))</f>
        <v>9.240000000000001E-2</v>
      </c>
      <c r="DZ58" s="16">
        <f>IF(ISNA(VLOOKUP(A58,'Données projet'!$A$165:$I$185,7,0)),0%,VLOOKUP(A58,'Données projet'!$A$165:$I$185,7,0))</f>
        <v>0.13200000000000001</v>
      </c>
      <c r="EA58" s="21">
        <f>EXP(-LN(2)/35)*EA57+(1-EXP(-LN(2)/35))/(LN(2)/35)*DW58*DX58*VLOOKUP('Données projet'!$B$14,Paramètres!$A$1:$I$89,3,0)*0.475*44/12</f>
        <v>75.787801969683557</v>
      </c>
      <c r="EB58" s="21">
        <f>EXP(-LN(2)/25)*EB57+(1-EXP(-LN(2)/25))/(LN(2)/25)*Calculateur!DW58*Calculateur!DY58*VLOOKUP('Données projet'!$B$14,Paramètres!$A$1:$I$89,3,0)*0.475*44/12</f>
        <v>21.791143319300659</v>
      </c>
      <c r="EC58" s="21">
        <f>EXP(-LN(2)/2)*EC57+(1-EXP(-LN(2)/2))/(LN(2)/2)*DW58*DZ58*VLOOKUP('Données projet'!$B$14,Paramètres!$A$1:$I$89,3,0)*0.475*44/12</f>
        <v>3.8453936783158809</v>
      </c>
      <c r="ED58" s="22">
        <f t="shared" si="18"/>
        <v>101.4243389673001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4.6000000000000014</v>
      </c>
      <c r="EJ58" s="12">
        <f>IF('Données projet'!$A$192&gt;35,EJ57+EI58-ER57,IF(A58&lt;'Données projet'!$A$192,$EG$205^A58,IF(A58='Données projet'!$A$192,'Données projet'!$B$192,EJ57+EI58-ER57)))</f>
        <v>105.79999999999998</v>
      </c>
      <c r="EK58" s="17">
        <f>EJ58*VLOOKUP('Données projet'!$B$15,Paramètres!$A$1:$I$89,3,0)*VLOOKUP('Données projet'!$B$15,Paramètres!$A$1:$I$89,5,0)</f>
        <v>113.88311999999998</v>
      </c>
      <c r="EL58" s="13">
        <f t="shared" si="45"/>
        <v>30.244022503264436</v>
      </c>
      <c r="EM58" s="20">
        <f t="shared" si="19"/>
        <v>251.02143985985217</v>
      </c>
      <c r="EN58" s="59">
        <f t="shared" si="20"/>
        <v>544.35477319318545</v>
      </c>
      <c r="EO58" s="59">
        <f ca="1">AVERAGE(OFFSET($EN$3,0,0,'Données projet'!$E$15+1,1))-AVERAGE(OFFSET($H$3,0,0,'Données projet'!$E$15+1,1))</f>
        <v>130.76477588601989</v>
      </c>
      <c r="EP58" s="59">
        <f t="shared" si="46"/>
        <v>94.034011511502172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0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650</v>
      </c>
      <c r="FC58" s="12">
        <f>VLOOKUP(A58,'Données projet'!$A$217:$I$237,9,0)</f>
        <v>13.8</v>
      </c>
      <c r="FD58" s="12">
        <f t="array" ref="FD58">INDEX(FC:FC,MIN(IF(ISNUMBER(FC58:FC254),ROW(FC58:FC254),"")))</f>
        <v>13.8</v>
      </c>
      <c r="FE58" s="12">
        <f>IF('Données projet'!$A$218&gt;35,FE57+FD58-FM57,IF(A58&lt;'Données projet'!$A$218,$FB$205^A58,IF(A58='Données projet'!$A$218,'Données projet'!$B$218,FE57+FD58-FM57)))</f>
        <v>649.99999999999955</v>
      </c>
      <c r="FF58" s="17">
        <f>FE58*VLOOKUP('Données projet'!$B$16,Paramètres!$A$1:$I$89,3,0)*VLOOKUP('Données projet'!$B$16,Paramètres!$A$1:$I$89,5,0)</f>
        <v>295.74999999999977</v>
      </c>
      <c r="FG58" s="13">
        <f t="shared" si="47"/>
        <v>70.284761730179966</v>
      </c>
      <c r="FH58" s="20">
        <f t="shared" si="22"/>
        <v>637.51054334672972</v>
      </c>
      <c r="FI58" s="59">
        <f t="shared" si="23"/>
        <v>930.84387668006298</v>
      </c>
      <c r="FJ58" s="59">
        <f ca="1">AVERAGE(OFFSET($FI$3,0,0,'Données projet'!$E$16+1,1))-AVERAGE(OFFSET($H$3,0,0,'Données projet'!$E$16+1,1))</f>
        <v>279.43442619866738</v>
      </c>
      <c r="FK58" s="59">
        <f t="shared" si="48"/>
        <v>355.95192241448217</v>
      </c>
      <c r="FL58" s="15">
        <f>IF(ISNA(VLOOKUP(A58,'Données projet'!$A$217:$I$237,3,0)),0,VLOOKUP(A58,'Données projet'!$A$217:$I$237,3,0))</f>
        <v>7</v>
      </c>
      <c r="FM58" s="15">
        <f>IF(ISNA(VLOOKUP(A58,'Données projet'!$A$217:$I$237,4,0)),0,VLOOKUP(A58,'Données projet'!$A$217:$I$237,4,0))</f>
        <v>35</v>
      </c>
      <c r="FN58" s="16">
        <f>IF(ISNA(VLOOKUP(A58,'Données projet'!$A$217:$I$237,5,0)),0%,VLOOKUP(A58,'Données projet'!$A$217:$I$237,5,0)*VLOOKUP('Données projet'!$B$16,Paramètres!$A$1:$I$89,7,0))</f>
        <v>0.38500000000000001</v>
      </c>
      <c r="FO58" s="16">
        <f>IF(ISNA(VLOOKUP(A58,'Données projet'!$A$217:$I$237,6,0)),0%,VLOOKUP(A58,'Données projet'!$A$217:$I$237,6,0)*VLOOKUP('Données projet'!$B$16,Paramètres!$A$1:$I$89,7,0))</f>
        <v>9.240000000000001E-2</v>
      </c>
      <c r="FP58" s="16">
        <f>IF(ISNA(VLOOKUP(A58,'Données projet'!$A$217:$I$237,7,0)),0%,VLOOKUP(A58,'Données projet'!$A$217:$I$237,7,0))</f>
        <v>0.13200000000000001</v>
      </c>
      <c r="FQ58" s="21">
        <f>EXP(-LN(2)/35)*FQ57+(1-EXP(-LN(2)/35))/(LN(2)/35)*FM58*FN58*VLOOKUP('Données projet'!$B$16,Paramètres!$A$1:$I$89,3,0)*0.475*44/12</f>
        <v>61.687745789277287</v>
      </c>
      <c r="FR58" s="21">
        <f>EXP(-LN(2)/25)*FR57+(1-EXP(-LN(2)/25))/(LN(2)/25)*Calculateur!FM58*Calculateur!FO58*VLOOKUP('Données projet'!$B$16,Paramètres!$A$1:$I$89,3,0)*0.475*44/12</f>
        <v>17.736977120361004</v>
      </c>
      <c r="FS58" s="21">
        <f>EXP(-LN(2)/2)*FS57+(1-EXP(-LN(2)/2))/(LN(2)/2)*FM58*FP58*VLOOKUP('Données projet'!$B$16,Paramètres!$A$1:$I$89,3,0)*0.475*44/12</f>
        <v>3.1299715986292043</v>
      </c>
      <c r="FT58" s="22">
        <f t="shared" si="24"/>
        <v>82.554694508267488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3</v>
      </c>
      <c r="N59" s="13">
        <f>IF('Données projet'!$A$36&gt;35,N58+M59-V58,IF(A59&lt;'Données projet'!$A$36,$K$205^A59,IF(A59='Données projet'!$A$36,'Données projet'!$B$36,N58+M59-V58)))</f>
        <v>390.99999999999989</v>
      </c>
      <c r="O59" s="13">
        <f>N59*VLOOKUP('Données projet'!$B$9,Paramètres!$A$1:$I$89,3,0)*VLOOKUP('Données projet'!$B$9,Paramètres!$A$1:$I$89,5,0)</f>
        <v>233.81799999999996</v>
      </c>
      <c r="P59" s="13">
        <f t="shared" si="33"/>
        <v>57.107429708554093</v>
      </c>
      <c r="Q59" s="20">
        <f t="shared" si="53"/>
        <v>506.69512340906493</v>
      </c>
      <c r="R59" s="59">
        <f t="shared" si="0"/>
        <v>800.02845674239825</v>
      </c>
      <c r="S59" s="59">
        <f ca="1">AVERAGE(OFFSET($R$3,0,0,'Données projet'!$E$9+1,1))-AVERAGE(OFFSET($H$3,0,0,'Données projet'!$E$9+1,1))</f>
        <v>227.89848316900191</v>
      </c>
      <c r="T59" s="59">
        <f t="shared" si="34"/>
        <v>239.85955661394541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40.024927535445308</v>
      </c>
      <c r="AA59" s="21">
        <f>EXP(-LN(2)/25)*AA58+(1-EXP(-LN(2)/25))/(LN(2)/25)*Calculateur!V59*Calculateur!X59*VLOOKUP('Données projet'!$B$9,Paramètres!$A$1:$I$89,3,0)*0.475*44/12</f>
        <v>9.7376293198989714</v>
      </c>
      <c r="AB59" s="21">
        <f>EXP(-LN(2)/2)*AB58+(1-EXP(-LN(2)/2))/(LN(2)/2)*V59*Y59*VLOOKUP('Données projet'!$B$9,Paramètres!$A$1:$I$89,3,0)*0.475*44/12</f>
        <v>0.83311900125568117</v>
      </c>
      <c r="AC59" s="22">
        <f t="shared" si="3"/>
        <v>50.595675856599961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7.75</v>
      </c>
      <c r="AI59" s="13">
        <f>IF('Données projet'!$A$62&gt;35,AI58+AH59-AQ58,IF(A59&lt;'Données projet'!$A$62,$AF$205^A59,IF(A59='Données projet'!$A$62,'Données projet'!$B$62,AI58+AH59-AQ58)))</f>
        <v>147.50000000000017</v>
      </c>
      <c r="AJ59" s="13">
        <f>AI59*VLOOKUP('Données projet'!$B$10,Paramètres!$A$1:$I$89,3,0)*VLOOKUP('Données projet'!$B$10,Paramètres!$A$1:$I$89,5,0)</f>
        <v>133.45800000000017</v>
      </c>
      <c r="AK59" s="13">
        <f t="shared" si="35"/>
        <v>34.794176665003441</v>
      </c>
      <c r="AL59" s="20">
        <f t="shared" si="4"/>
        <v>293.03920769154797</v>
      </c>
      <c r="AM59" s="59">
        <f t="shared" si="5"/>
        <v>586.37254102488123</v>
      </c>
      <c r="AN59" s="59">
        <f ca="1">AVERAGE(OFFSET($AM$3,0,0,'Données projet'!$E$10+1,1))-AVERAGE(OFFSET($H$3,0,0,'Données projet'!$E$10+1,1))</f>
        <v>215.7418266360167</v>
      </c>
      <c r="AO59" s="59">
        <f t="shared" si="36"/>
        <v>155.78420008229949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8.9706967889532887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8.9706967889532887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>
        <f>VLOOKUP(A59,'Données projet'!$A$87:$I$107,2,0)</f>
        <v>138</v>
      </c>
      <c r="BB59" s="12">
        <f>VLOOKUP(A59,'Données projet'!$A$87:$I$107,9,0)</f>
        <v>5.75</v>
      </c>
      <c r="BC59" s="12">
        <f t="array" ref="BC59">INDEX(BB:BB,MIN(IF(ISNUMBER(BB59:BB255),ROW(BB59:BB255),"")))</f>
        <v>5.75</v>
      </c>
      <c r="BD59" s="12">
        <f>IF('Données projet'!$A$88&gt;35,BD58+BC59-BL58,IF(A59&lt;'Données projet'!$A$88,$BA$205^A59,IF(A59='Données projet'!$A$88,'Données projet'!$B$88,BD58+BC59-BL58)))</f>
        <v>138</v>
      </c>
      <c r="BE59" s="13">
        <f>BD59*VLOOKUP('Données projet'!$B$11,Paramètres!$A$1:$I$89,3,0)*VLOOKUP('Données projet'!$B$11,Paramètres!$A$1:$I$89,5,0)</f>
        <v>139.93200000000002</v>
      </c>
      <c r="BF59" s="13">
        <f t="shared" si="37"/>
        <v>36.281427209452353</v>
      </c>
      <c r="BG59" s="20">
        <f t="shared" si="7"/>
        <v>306.90505238979614</v>
      </c>
      <c r="BH59" s="59">
        <f t="shared" si="8"/>
        <v>600.23838572312945</v>
      </c>
      <c r="BI59" s="59">
        <f ca="1">AVERAGE(OFFSET($BH$3,0,0,'Données projet'!$E$11+1,1))-AVERAGE(OFFSET($H$3,0,0,'Données projet'!$E$11+1,1))</f>
        <v>179.53921263314447</v>
      </c>
      <c r="BJ59" s="59">
        <f t="shared" si="38"/>
        <v>120.81513023281337</v>
      </c>
      <c r="BK59" s="15">
        <f>IF(ISNA(VLOOKUP(A59,'Données projet'!$A$87:$I$107,3,0)),0,VLOOKUP(A59,'Données projet'!$A$87:$I$107,3,0))</f>
        <v>3</v>
      </c>
      <c r="BL59" s="15">
        <f>IF(ISNA(VLOOKUP(A59,'Données projet'!$A$87:$I$107,4,0)),0,VLOOKUP(A59,'Données projet'!$A$87:$I$107,4,0))</f>
        <v>36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18.709598765432116</v>
      </c>
      <c r="BY59" s="12">
        <f>IF('Données projet'!$A$114&gt;35,BY58+BX59-CG58,IF(A59&lt;'Données projet'!$A$114,$BV$205^A59,IF(A59='Données projet'!$A$114,'Données projet'!$B$114,BY58+BX59-CG58)))</f>
        <v>456.34833333333358</v>
      </c>
      <c r="BZ59" s="13">
        <f>BY59*VLOOKUP('Données projet'!$B$12,Paramètres!$A$1:$I$89,3,0)*VLOOKUP('Données projet'!$B$12,Paramètres!$A$1:$I$89,5,0)</f>
        <v>213.57102000000012</v>
      </c>
      <c r="CA59" s="13">
        <f t="shared" si="39"/>
        <v>52.715175951037388</v>
      </c>
      <c r="CB59" s="20">
        <f t="shared" si="10"/>
        <v>463.78179128139027</v>
      </c>
      <c r="CC59" s="59">
        <f t="shared" si="11"/>
        <v>757.11512461472353</v>
      </c>
      <c r="CD59" s="59">
        <f ca="1">AVERAGE(OFFSET($CC$3,0,0,'Données projet'!$E$12+1,1))-AVERAGE(OFFSET($H$3,0,0,'Données projet'!$E$12+1,1))</f>
        <v>310.06530483941287</v>
      </c>
      <c r="CE59" s="59">
        <f t="shared" si="40"/>
        <v>170.13425794309376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28.898867859318973</v>
      </c>
      <c r="CL59" s="21">
        <f>EXP(-LN(2)/25)*CL58+(1-EXP(-LN(2)/25))/(LN(2)/25)*Calculateur!CG59*Calculateur!CI59*VLOOKUP('Données projet'!$B$12,Paramètres!$A$1:$I$89,3,0)*0.475*44/12</f>
        <v>8.474380664839142</v>
      </c>
      <c r="CM59" s="21">
        <f>EXP(-LN(2)/2)*CM58+(1-EXP(-LN(2)/2))/(LN(2)/2)*CG59*CJ59*VLOOKUP('Données projet'!$B$12,Paramètres!$A$1:$I$89,3,0)*0.475*44/12</f>
        <v>0.61604727093973644</v>
      </c>
      <c r="CN59" s="22">
        <f t="shared" si="12"/>
        <v>37.989295795097853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2.625</v>
      </c>
      <c r="CT59" s="12">
        <f>IF('Données projet'!$A$140&gt;35,CT58+CS59-DB58,IF(A59&lt;'Données projet'!$A$140,$CQ$205^A59,IF(A59='Données projet'!$A$140,'Données projet'!$B$140,CT58+CS59-DB58)))</f>
        <v>300.25</v>
      </c>
      <c r="CU59" s="17">
        <f>CT59*VLOOKUP('Données projet'!$B$13,Paramètres!$A$1:$I$89,3,0)*VLOOKUP('Données projet'!$B$13,Paramètres!$A$1:$I$89,5,0)</f>
        <v>179.54950000000002</v>
      </c>
      <c r="CV59" s="13">
        <f t="shared" si="41"/>
        <v>45.221943603548368</v>
      </c>
      <c r="CW59" s="20">
        <f t="shared" si="13"/>
        <v>391.47693094284676</v>
      </c>
      <c r="CX59" s="59">
        <f t="shared" si="14"/>
        <v>684.81026427618008</v>
      </c>
      <c r="CY59" s="59">
        <f ca="1">AVERAGE(OFFSET($CX$3,0,0,'Données projet'!$E$13+1,1))-AVERAGE(OFFSET($H$3,0,0,'Données projet'!$E$13+1,1))</f>
        <v>168.08890945052406</v>
      </c>
      <c r="CZ59" s="59">
        <f t="shared" si="42"/>
        <v>182.52462557642343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33.819050716053489</v>
      </c>
      <c r="DG59" s="21">
        <f>EXP(-LN(2)/25)*DG58+(1-EXP(-LN(2)/25))/(LN(2)/25)*Calculateur!DB59*Calculateur!DD59*VLOOKUP('Données projet'!$B$13,Paramètres!$A$1:$I$89,3,0)*0.475*44/12</f>
        <v>9.6062470506279514</v>
      </c>
      <c r="DH59" s="21">
        <f>EXP(-LN(2)/2)*DH58+(1-EXP(-LN(2)/2))/(LN(2)/2)*DB59*DE59*VLOOKUP('Données projet'!$B$13,Paramètres!$A$1:$I$89,3,0)*0.475*44/12</f>
        <v>0.81256986646773621</v>
      </c>
      <c r="DI59" s="22">
        <f t="shared" si="15"/>
        <v>44.237867633149172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10.199999999999999</v>
      </c>
      <c r="DO59" s="12">
        <f>IF('Données projet'!$A$166&gt;35,DO58+DN59-DW58,IF(A59&lt;'Données projet'!$A$166,$DL$205^A59,IF(A59='Données projet'!$A$166,'Données projet'!$B$166,DO58+DN59-DW58)))</f>
        <v>625.19999999999959</v>
      </c>
      <c r="DP59" s="17">
        <f>DO59*VLOOKUP('Données projet'!$B$14,Paramètres!$A$1:$I$89,3,0)*VLOOKUP('Données projet'!$B$14,Paramètres!$A$1:$I$89,5,0)</f>
        <v>349.48679999999979</v>
      </c>
      <c r="DQ59" s="13">
        <f t="shared" si="43"/>
        <v>81.45682900536228</v>
      </c>
      <c r="DR59" s="20">
        <f t="shared" si="16"/>
        <v>750.56015385100557</v>
      </c>
      <c r="DS59" s="59">
        <f t="shared" si="17"/>
        <v>1043.8934871843389</v>
      </c>
      <c r="DT59" s="59">
        <f ca="1">AVERAGE(OFFSET($DS$3,0,0,'Données projet'!$E$14+1,1))-AVERAGE(OFFSET($H$3,0,0,'Données projet'!$E$14+1,1))</f>
        <v>355.23615781077405</v>
      </c>
      <c r="DU59" s="59">
        <f t="shared" si="44"/>
        <v>448.84541017639367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74.30164939905282</v>
      </c>
      <c r="EB59" s="21">
        <f>EXP(-LN(2)/25)*EB58+(1-EXP(-LN(2)/25))/(LN(2)/25)*Calculateur!DW59*Calculateur!DY59*VLOOKUP('Données projet'!$B$14,Paramètres!$A$1:$I$89,3,0)*0.475*44/12</f>
        <v>21.19526335928796</v>
      </c>
      <c r="EC59" s="21">
        <f>EXP(-LN(2)/2)*EC58+(1-EXP(-LN(2)/2))/(LN(2)/2)*DW59*DZ59*VLOOKUP('Données projet'!$B$14,Paramètres!$A$1:$I$89,3,0)*0.475*44/12</f>
        <v>2.719103946269041</v>
      </c>
      <c r="ED59" s="22">
        <f t="shared" si="18"/>
        <v>98.216016704609828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>
        <f>VLOOKUP(A59,'Données projet'!$A$191:$I$211,2,0)</f>
        <v>110.4</v>
      </c>
      <c r="EH59" s="12">
        <f>VLOOKUP(A59,'Données projet'!$A$191:$I$211,9,0)</f>
        <v>4.6000000000000014</v>
      </c>
      <c r="EI59" s="12">
        <f t="array" ref="EI59">INDEX(EH:EH,MIN(IF(ISNUMBER(EH59:EH255),ROW(EH59:EH255),"")))</f>
        <v>4.6000000000000014</v>
      </c>
      <c r="EJ59" s="12">
        <f>IF('Données projet'!$A$192&gt;35,EJ58+EI59-ER58,IF(A59&lt;'Données projet'!$A$192,$EG$205^A59,IF(A59='Données projet'!$A$192,'Données projet'!$B$192,EJ58+EI59-ER58)))</f>
        <v>110.39999999999998</v>
      </c>
      <c r="EK59" s="17">
        <f>EJ59*VLOOKUP('Données projet'!$B$15,Paramètres!$A$1:$I$89,3,0)*VLOOKUP('Données projet'!$B$15,Paramètres!$A$1:$I$89,5,0)</f>
        <v>118.83455999999997</v>
      </c>
      <c r="EL59" s="13">
        <f t="shared" si="45"/>
        <v>31.403025351704024</v>
      </c>
      <c r="EM59" s="20">
        <f t="shared" si="19"/>
        <v>261.66379448755106</v>
      </c>
      <c r="EN59" s="59">
        <f t="shared" si="20"/>
        <v>554.99712782088432</v>
      </c>
      <c r="EO59" s="59">
        <f ca="1">AVERAGE(OFFSET($EN$3,0,0,'Données projet'!$E$15+1,1))-AVERAGE(OFFSET($H$3,0,0,'Données projet'!$E$15+1,1))</f>
        <v>130.76477588601989</v>
      </c>
      <c r="EP59" s="59">
        <f t="shared" si="46"/>
        <v>94.034011511502172</v>
      </c>
      <c r="EQ59" s="15">
        <f>IF(ISNA(VLOOKUP(A59,'Données projet'!$A$191:$I$211,3,0)),0,VLOOKUP(A59,'Données projet'!$A$191:$I$211,3,0))</f>
        <v>3</v>
      </c>
      <c r="ER59" s="15">
        <f>IF(ISNA(VLOOKUP(A59,'Données projet'!$A$191:$I$211,4,0)),0,VLOOKUP(A59,'Données projet'!$A$191:$I$211,4,0))</f>
        <v>28.8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0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10.199999999999999</v>
      </c>
      <c r="FE59" s="12">
        <f>IF('Données projet'!$A$218&gt;35,FE58+FD59-FM58,IF(A59&lt;'Données projet'!$A$218,$FB$205^A59,IF(A59='Données projet'!$A$218,'Données projet'!$B$218,FE58+FD59-FM58)))</f>
        <v>625.19999999999959</v>
      </c>
      <c r="FF59" s="17">
        <f>FE59*VLOOKUP('Données projet'!$B$16,Paramètres!$A$1:$I$89,3,0)*VLOOKUP('Données projet'!$B$16,Paramètres!$A$1:$I$89,5,0)</f>
        <v>284.46599999999984</v>
      </c>
      <c r="FG59" s="13">
        <f t="shared" si="47"/>
        <v>67.909932105460157</v>
      </c>
      <c r="FH59" s="20">
        <f t="shared" si="22"/>
        <v>613.72141508367611</v>
      </c>
      <c r="FI59" s="59">
        <f t="shared" si="23"/>
        <v>907.05474841700948</v>
      </c>
      <c r="FJ59" s="59">
        <f ca="1">AVERAGE(OFFSET($FI$3,0,0,'Données projet'!$E$16+1,1))-AVERAGE(OFFSET($H$3,0,0,'Données projet'!$E$16+1,1))</f>
        <v>279.43442619866738</v>
      </c>
      <c r="FK59" s="59">
        <f t="shared" si="48"/>
        <v>355.95192241448217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60.478086720159247</v>
      </c>
      <c r="FR59" s="21">
        <f>EXP(-LN(2)/25)*FR58+(1-EXP(-LN(2)/25))/(LN(2)/25)*Calculateur!FM59*Calculateur!FO59*VLOOKUP('Données projet'!$B$16,Paramètres!$A$1:$I$89,3,0)*0.475*44/12</f>
        <v>17.251958548257644</v>
      </c>
      <c r="FS59" s="21">
        <f>EXP(-LN(2)/2)*FS58+(1-EXP(-LN(2)/2))/(LN(2)/2)*FM59*FP59*VLOOKUP('Données projet'!$B$16,Paramètres!$A$1:$I$89,3,0)*0.475*44/12</f>
        <v>2.2132241423120091</v>
      </c>
      <c r="FT59" s="22">
        <f t="shared" si="24"/>
        <v>79.943269410728902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3</v>
      </c>
      <c r="N60" s="13">
        <f>IF('Données projet'!$A$36&gt;35,N59+M60-V59,IF(A60&lt;'Données projet'!$A$36,$K$205^A60,IF(A60='Données projet'!$A$36,'Données projet'!$B$36,N59+M60-V59)))</f>
        <v>393.99999999999989</v>
      </c>
      <c r="O60" s="13">
        <f>N60*VLOOKUP('Données projet'!$B$9,Paramètres!$A$1:$I$89,3,0)*VLOOKUP('Données projet'!$B$9,Paramètres!$A$1:$I$89,5,0)</f>
        <v>235.61199999999994</v>
      </c>
      <c r="P60" s="13">
        <f t="shared" si="33"/>
        <v>57.494419397561693</v>
      </c>
      <c r="Q60" s="20">
        <f t="shared" si="53"/>
        <v>510.49368045075312</v>
      </c>
      <c r="R60" s="59">
        <f t="shared" si="0"/>
        <v>803.82701378408638</v>
      </c>
      <c r="S60" s="59">
        <f ca="1">AVERAGE(OFFSET($R$3,0,0,'Données projet'!$E$9+1,1))-AVERAGE(OFFSET($H$3,0,0,'Données projet'!$E$9+1,1))</f>
        <v>227.89848316900191</v>
      </c>
      <c r="T60" s="59">
        <f t="shared" si="34"/>
        <v>239.85955661394541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39.240063119270459</v>
      </c>
      <c r="AA60" s="21">
        <f>EXP(-LN(2)/25)*AA59+(1-EXP(-LN(2)/25))/(LN(2)/25)*Calculateur!V60*Calculateur!X60*VLOOKUP('Données projet'!$B$9,Paramètres!$A$1:$I$89,3,0)*0.475*44/12</f>
        <v>9.4713533340666629</v>
      </c>
      <c r="AB60" s="21">
        <f>EXP(-LN(2)/2)*AB59+(1-EXP(-LN(2)/2))/(LN(2)/2)*V60*Y60*VLOOKUP('Données projet'!$B$9,Paramètres!$A$1:$I$89,3,0)*0.475*44/12</f>
        <v>0.58910409532325603</v>
      </c>
      <c r="AC60" s="22">
        <f t="shared" si="3"/>
        <v>49.30052054866038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7.75</v>
      </c>
      <c r="AI60" s="13">
        <f>IF('Données projet'!$A$62&gt;35,AI59+AH60-AQ59,IF(A60&lt;'Données projet'!$A$62,$AF$205^A60,IF(A60='Données projet'!$A$62,'Données projet'!$B$62,AI59+AH60-AQ59)))</f>
        <v>155.25000000000017</v>
      </c>
      <c r="AJ60" s="13">
        <f>AI60*VLOOKUP('Données projet'!$B$10,Paramètres!$A$1:$I$89,3,0)*VLOOKUP('Données projet'!$B$10,Paramètres!$A$1:$I$89,5,0)</f>
        <v>140.47020000000015</v>
      </c>
      <c r="AK60" s="13">
        <f t="shared" si="35"/>
        <v>36.404700683345617</v>
      </c>
      <c r="AL60" s="20">
        <f t="shared" si="4"/>
        <v>308.05711869016056</v>
      </c>
      <c r="AM60" s="59">
        <f t="shared" si="5"/>
        <v>601.39045202349394</v>
      </c>
      <c r="AN60" s="59">
        <f ca="1">AVERAGE(OFFSET($AM$3,0,0,'Données projet'!$E$10+1,1))-AVERAGE(OFFSET($H$3,0,0,'Données projet'!$E$10+1,1))</f>
        <v>215.7418266360167</v>
      </c>
      <c r="AO60" s="59">
        <f t="shared" si="36"/>
        <v>155.78420008229949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8.7947868965066824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8.7947868965066824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6.625</v>
      </c>
      <c r="BD60" s="12">
        <f>IF('Données projet'!$A$88&gt;35,BD59+BC60-BL59,IF(A60&lt;'Données projet'!$A$88,$BA$205^A60,IF(A60='Données projet'!$A$88,'Données projet'!$B$88,BD59+BC60-BL59)))</f>
        <v>108.625</v>
      </c>
      <c r="BE60" s="13">
        <f>BD60*VLOOKUP('Données projet'!$B$11,Paramètres!$A$1:$I$89,3,0)*VLOOKUP('Données projet'!$B$11,Paramètres!$A$1:$I$89,5,0)</f>
        <v>110.14575000000001</v>
      </c>
      <c r="BF60" s="13">
        <f t="shared" si="37"/>
        <v>29.365321762555343</v>
      </c>
      <c r="BG60" s="20">
        <f t="shared" si="7"/>
        <v>242.98178331978389</v>
      </c>
      <c r="BH60" s="59">
        <f t="shared" si="8"/>
        <v>536.31511665311723</v>
      </c>
      <c r="BI60" s="59">
        <f ca="1">AVERAGE(OFFSET($BH$3,0,0,'Données projet'!$E$11+1,1))-AVERAGE(OFFSET($H$3,0,0,'Données projet'!$E$11+1,1))</f>
        <v>179.53921263314447</v>
      </c>
      <c r="BJ60" s="59">
        <f t="shared" si="38"/>
        <v>120.81513023281337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18.709598765432116</v>
      </c>
      <c r="BY60" s="12">
        <f>IF('Données projet'!$A$114&gt;35,BY59+BX60-CG59,IF(A60&lt;'Données projet'!$A$114,$BV$205^A60,IF(A60='Données projet'!$A$114,'Données projet'!$B$114,BY59+BX60-CG59)))</f>
        <v>475.05793209876572</v>
      </c>
      <c r="BZ60" s="13">
        <f>BY60*VLOOKUP('Données projet'!$B$12,Paramètres!$A$1:$I$89,3,0)*VLOOKUP('Données projet'!$B$12,Paramètres!$A$1:$I$89,5,0)</f>
        <v>222.32711222222235</v>
      </c>
      <c r="CA60" s="13">
        <f t="shared" si="39"/>
        <v>54.62036190744444</v>
      </c>
      <c r="CB60" s="20">
        <f t="shared" si="10"/>
        <v>482.35018410916967</v>
      </c>
      <c r="CC60" s="59">
        <f t="shared" si="11"/>
        <v>775.68351744250299</v>
      </c>
      <c r="CD60" s="59">
        <f ca="1">AVERAGE(OFFSET($CC$3,0,0,'Données projet'!$E$12+1,1))-AVERAGE(OFFSET($H$3,0,0,'Données projet'!$E$12+1,1))</f>
        <v>310.06530483941287</v>
      </c>
      <c r="CE60" s="59">
        <f t="shared" si="40"/>
        <v>170.13425794309376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28.332178687166643</v>
      </c>
      <c r="CL60" s="21">
        <f>EXP(-LN(2)/25)*CL59+(1-EXP(-LN(2)/25))/(LN(2)/25)*Calculateur!CG60*Calculateur!CI60*VLOOKUP('Données projet'!$B$12,Paramètres!$A$1:$I$89,3,0)*0.475*44/12</f>
        <v>8.2426482799108047</v>
      </c>
      <c r="CM60" s="21">
        <f>EXP(-LN(2)/2)*CM59+(1-EXP(-LN(2)/2))/(LN(2)/2)*CG60*CJ60*VLOOKUP('Données projet'!$B$12,Paramètres!$A$1:$I$89,3,0)*0.475*44/12</f>
        <v>0.43561120281295401</v>
      </c>
      <c r="CN60" s="22">
        <f t="shared" si="12"/>
        <v>37.010438169890406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2.625</v>
      </c>
      <c r="CT60" s="12">
        <f>IF('Données projet'!$A$140&gt;35,CT59+CS60-DB59,IF(A60&lt;'Données projet'!$A$140,$CQ$205^A60,IF(A60='Données projet'!$A$140,'Données projet'!$B$140,CT59+CS60-DB59)))</f>
        <v>302.875</v>
      </c>
      <c r="CU60" s="17">
        <f>CT60*VLOOKUP('Données projet'!$B$13,Paramètres!$A$1:$I$89,3,0)*VLOOKUP('Données projet'!$B$13,Paramètres!$A$1:$I$89,5,0)</f>
        <v>181.11925000000002</v>
      </c>
      <c r="CV60" s="13">
        <f t="shared" si="41"/>
        <v>45.571108763102352</v>
      </c>
      <c r="CW60" s="20">
        <f t="shared" si="13"/>
        <v>394.81904151240332</v>
      </c>
      <c r="CX60" s="59">
        <f t="shared" si="14"/>
        <v>688.15237484573663</v>
      </c>
      <c r="CY60" s="59">
        <f ca="1">AVERAGE(OFFSET($CX$3,0,0,'Données projet'!$E$13+1,1))-AVERAGE(OFFSET($H$3,0,0,'Données projet'!$E$13+1,1))</f>
        <v>168.08890945052406</v>
      </c>
      <c r="CZ60" s="59">
        <f t="shared" si="42"/>
        <v>182.52462557642343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33.155879759095811</v>
      </c>
      <c r="DG60" s="21">
        <f>EXP(-LN(2)/25)*DG59+(1-EXP(-LN(2)/25))/(LN(2)/25)*Calculateur!DB60*Calculateur!DD60*VLOOKUP('Données projet'!$B$13,Paramètres!$A$1:$I$89,3,0)*0.475*44/12</f>
        <v>9.3435637198579524</v>
      </c>
      <c r="DH60" s="21">
        <f>EXP(-LN(2)/2)*DH59+(1-EXP(-LN(2)/2))/(LN(2)/2)*DB60*DE60*VLOOKUP('Données projet'!$B$13,Paramètres!$A$1:$I$89,3,0)*0.475*44/12</f>
        <v>0.57457366276718369</v>
      </c>
      <c r="DI60" s="22">
        <f t="shared" si="15"/>
        <v>43.074017141720951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10.199999999999999</v>
      </c>
      <c r="DO60" s="12">
        <f>IF('Données projet'!$A$166&gt;35,DO59+DN60-DW59,IF(A60&lt;'Données projet'!$A$166,$DL$205^A60,IF(A60='Données projet'!$A$166,'Données projet'!$B$166,DO59+DN60-DW59)))</f>
        <v>635.39999999999964</v>
      </c>
      <c r="DP60" s="17">
        <f>DO60*VLOOKUP('Données projet'!$B$14,Paramètres!$A$1:$I$89,3,0)*VLOOKUP('Données projet'!$B$14,Paramètres!$A$1:$I$89,5,0)</f>
        <v>355.18859999999984</v>
      </c>
      <c r="DQ60" s="13">
        <f t="shared" si="43"/>
        <v>82.629981116726043</v>
      </c>
      <c r="DR60" s="20">
        <f t="shared" si="16"/>
        <v>762.53402877829774</v>
      </c>
      <c r="DS60" s="59">
        <f t="shared" si="17"/>
        <v>1055.8673621116311</v>
      </c>
      <c r="DT60" s="59">
        <f ca="1">AVERAGE(OFFSET($DS$3,0,0,'Données projet'!$E$14+1,1))-AVERAGE(OFFSET($H$3,0,0,'Données projet'!$E$14+1,1))</f>
        <v>355.23615781077405</v>
      </c>
      <c r="DU60" s="59">
        <f t="shared" si="44"/>
        <v>448.84541017639367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72.844639373868603</v>
      </c>
      <c r="EB60" s="21">
        <f>EXP(-LN(2)/25)*EB59+(1-EXP(-LN(2)/25))/(LN(2)/25)*Calculateur!DW60*Calculateur!DY60*VLOOKUP('Données projet'!$B$14,Paramètres!$A$1:$I$89,3,0)*0.475*44/12</f>
        <v>20.615677768117774</v>
      </c>
      <c r="EC60" s="21">
        <f>EXP(-LN(2)/2)*EC59+(1-EXP(-LN(2)/2))/(LN(2)/2)*DW60*DZ60*VLOOKUP('Données projet'!$B$14,Paramètres!$A$1:$I$89,3,0)*0.475*44/12</f>
        <v>1.9226968391579407</v>
      </c>
      <c r="ED60" s="22">
        <f t="shared" si="18"/>
        <v>95.383013981144316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5.2999999999999989</v>
      </c>
      <c r="EJ60" s="12">
        <f>IF('Données projet'!$A$192&gt;35,EJ59+EI60-ER59,IF(A60&lt;'Données projet'!$A$192,$EG$205^A60,IF(A60='Données projet'!$A$192,'Données projet'!$B$192,EJ59+EI60-ER59)))</f>
        <v>86.899999999999977</v>
      </c>
      <c r="EK60" s="17">
        <f>EJ60*VLOOKUP('Données projet'!$B$15,Paramètres!$A$1:$I$89,3,0)*VLOOKUP('Données projet'!$B$15,Paramètres!$A$1:$I$89,5,0)</f>
        <v>93.539159999999967</v>
      </c>
      <c r="EL60" s="13">
        <f t="shared" si="45"/>
        <v>25.416859663398856</v>
      </c>
      <c r="EM60" s="20">
        <f t="shared" si="19"/>
        <v>207.1817342470863</v>
      </c>
      <c r="EN60" s="59">
        <f t="shared" si="20"/>
        <v>500.51506758041961</v>
      </c>
      <c r="EO60" s="59">
        <f ca="1">AVERAGE(OFFSET($EN$3,0,0,'Données projet'!$E$15+1,1))-AVERAGE(OFFSET($H$3,0,0,'Données projet'!$E$15+1,1))</f>
        <v>130.76477588601989</v>
      </c>
      <c r="EP60" s="59">
        <f t="shared" si="46"/>
        <v>94.034011511502172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0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10.199999999999999</v>
      </c>
      <c r="FE60" s="12">
        <f>IF('Données projet'!$A$218&gt;35,FE59+FD60-FM59,IF(A60&lt;'Données projet'!$A$218,$FB$205^A60,IF(A60='Données projet'!$A$218,'Données projet'!$B$218,FE59+FD60-FM59)))</f>
        <v>635.39999999999964</v>
      </c>
      <c r="FF60" s="17">
        <f>FE60*VLOOKUP('Données projet'!$B$16,Paramètres!$A$1:$I$89,3,0)*VLOOKUP('Données projet'!$B$16,Paramètres!$A$1:$I$89,5,0)</f>
        <v>289.10699999999986</v>
      </c>
      <c r="FG60" s="13">
        <f t="shared" si="47"/>
        <v>68.887980001565225</v>
      </c>
      <c r="FH60" s="20">
        <f t="shared" si="22"/>
        <v>623.50792350272582</v>
      </c>
      <c r="FI60" s="59">
        <f t="shared" si="23"/>
        <v>916.84125683605907</v>
      </c>
      <c r="FJ60" s="59">
        <f ca="1">AVERAGE(OFFSET($FI$3,0,0,'Données projet'!$E$16+1,1))-AVERAGE(OFFSET($H$3,0,0,'Données projet'!$E$16+1,1))</f>
        <v>279.43442619866738</v>
      </c>
      <c r="FK60" s="59">
        <f t="shared" si="48"/>
        <v>355.95192241448217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59.292148327567439</v>
      </c>
      <c r="FR60" s="21">
        <f>EXP(-LN(2)/25)*FR59+(1-EXP(-LN(2)/25))/(LN(2)/25)*Calculateur!FM60*Calculateur!FO60*VLOOKUP('Données projet'!$B$16,Paramètres!$A$1:$I$89,3,0)*0.475*44/12</f>
        <v>16.780202834514469</v>
      </c>
      <c r="FS60" s="21">
        <f>EXP(-LN(2)/2)*FS59+(1-EXP(-LN(2)/2))/(LN(2)/2)*FM60*FP60*VLOOKUP('Données projet'!$B$16,Paramètres!$A$1:$I$89,3,0)*0.475*44/12</f>
        <v>1.5649857993146024</v>
      </c>
      <c r="FT60" s="22">
        <f t="shared" si="24"/>
        <v>77.6373369613965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3</v>
      </c>
      <c r="N61" s="13">
        <f>IF('Données projet'!$A$36&gt;35,N60+M61-V60,IF(A61&lt;'Données projet'!$A$36,$K$205^A61,IF(A61='Données projet'!$A$36,'Données projet'!$B$36,N60+M61-V60)))</f>
        <v>396.99999999999989</v>
      </c>
      <c r="O61" s="13">
        <f>N61*VLOOKUP('Données projet'!$B$9,Paramètres!$A$1:$I$89,3,0)*VLOOKUP('Données projet'!$B$9,Paramètres!$A$1:$I$89,5,0)</f>
        <v>237.40599999999995</v>
      </c>
      <c r="P61" s="13">
        <f t="shared" si="33"/>
        <v>57.881066248213493</v>
      </c>
      <c r="Q61" s="20">
        <f t="shared" si="53"/>
        <v>514.29164038230499</v>
      </c>
      <c r="R61" s="59">
        <f t="shared" si="0"/>
        <v>807.62497371563836</v>
      </c>
      <c r="S61" s="59">
        <f ca="1">AVERAGE(OFFSET($R$3,0,0,'Données projet'!$E$9+1,1))-AVERAGE(OFFSET($H$3,0,0,'Données projet'!$E$9+1,1))</f>
        <v>227.89848316900191</v>
      </c>
      <c r="T61" s="59">
        <f t="shared" si="34"/>
        <v>239.85955661394541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38.470589415576775</v>
      </c>
      <c r="AA61" s="21">
        <f>EXP(-LN(2)/25)*AA60+(1-EXP(-LN(2)/25))/(LN(2)/25)*Calculateur!V61*Calculateur!X61*VLOOKUP('Données projet'!$B$9,Paramètres!$A$1:$I$89,3,0)*0.475*44/12</f>
        <v>9.2123586790697853</v>
      </c>
      <c r="AB61" s="21">
        <f>EXP(-LN(2)/2)*AB60+(1-EXP(-LN(2)/2))/(LN(2)/2)*V61*Y61*VLOOKUP('Données projet'!$B$9,Paramètres!$A$1:$I$89,3,0)*0.475*44/12</f>
        <v>0.41655950062784064</v>
      </c>
      <c r="AC61" s="22">
        <f t="shared" si="3"/>
        <v>48.099507595274403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7.75</v>
      </c>
      <c r="AI61" s="13">
        <f>IF('Données projet'!$A$62&gt;35,AI60+AH61-AQ60,IF(A61&lt;'Données projet'!$A$62,$AF$205^A61,IF(A61='Données projet'!$A$62,'Données projet'!$B$62,AI60+AH61-AQ60)))</f>
        <v>163.00000000000017</v>
      </c>
      <c r="AJ61" s="13">
        <f>AI61*VLOOKUP('Données projet'!$B$10,Paramètres!$A$1:$I$89,3,0)*VLOOKUP('Données projet'!$B$10,Paramètres!$A$1:$I$89,5,0)</f>
        <v>147.48240000000015</v>
      </c>
      <c r="AK61" s="13">
        <f t="shared" si="35"/>
        <v>38.005889588171243</v>
      </c>
      <c r="AL61" s="20">
        <f t="shared" si="4"/>
        <v>323.05877103273184</v>
      </c>
      <c r="AM61" s="59">
        <f t="shared" si="5"/>
        <v>616.39210436606515</v>
      </c>
      <c r="AN61" s="59">
        <f ca="1">AVERAGE(OFFSET($AM$3,0,0,'Données projet'!$E$10+1,1))-AVERAGE(OFFSET($H$3,0,0,'Données projet'!$E$10+1,1))</f>
        <v>215.7418266360167</v>
      </c>
      <c r="AO61" s="59">
        <f t="shared" si="36"/>
        <v>155.78420008229949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8.6223264897565137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8.6223264897565137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6.625</v>
      </c>
      <c r="BD61" s="12">
        <f>IF('Données projet'!$A$88&gt;35,BD60+BC61-BL60,IF(A61&lt;'Données projet'!$A$88,$BA$205^A61,IF(A61='Données projet'!$A$88,'Données projet'!$B$88,BD60+BC61-BL60)))</f>
        <v>115.25</v>
      </c>
      <c r="BE61" s="13">
        <f>BD61*VLOOKUP('Données projet'!$B$11,Paramètres!$A$1:$I$89,3,0)*VLOOKUP('Données projet'!$B$11,Paramètres!$A$1:$I$89,5,0)</f>
        <v>116.86350000000002</v>
      </c>
      <c r="BF61" s="13">
        <f t="shared" si="37"/>
        <v>30.9423383840805</v>
      </c>
      <c r="BG61" s="20">
        <f t="shared" si="7"/>
        <v>257.42850185227354</v>
      </c>
      <c r="BH61" s="59">
        <f t="shared" si="8"/>
        <v>550.76183518560686</v>
      </c>
      <c r="BI61" s="59">
        <f ca="1">AVERAGE(OFFSET($BH$3,0,0,'Données projet'!$E$11+1,1))-AVERAGE(OFFSET($H$3,0,0,'Données projet'!$E$11+1,1))</f>
        <v>179.53921263314447</v>
      </c>
      <c r="BJ61" s="59">
        <f t="shared" si="38"/>
        <v>120.81513023281337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18.709598765432116</v>
      </c>
      <c r="BY61" s="12">
        <f>IF('Données projet'!$A$114&gt;35,BY60+BX61-CG60,IF(A61&lt;'Données projet'!$A$114,$BV$205^A61,IF(A61='Données projet'!$A$114,'Données projet'!$B$114,BY60+BX61-CG60)))</f>
        <v>493.76753086419785</v>
      </c>
      <c r="BZ61" s="13">
        <f>BY61*VLOOKUP('Données projet'!$B$12,Paramètres!$A$1:$I$89,3,0)*VLOOKUP('Données projet'!$B$12,Paramètres!$A$1:$I$89,5,0)</f>
        <v>231.08320444444459</v>
      </c>
      <c r="CA61" s="13">
        <f t="shared" si="39"/>
        <v>56.516831572005387</v>
      </c>
      <c r="CB61" s="20">
        <f t="shared" si="10"/>
        <v>500.90339606198364</v>
      </c>
      <c r="CC61" s="59">
        <f t="shared" si="11"/>
        <v>794.23672939531696</v>
      </c>
      <c r="CD61" s="59">
        <f ca="1">AVERAGE(OFFSET($CC$3,0,0,'Données projet'!$E$12+1,1))-AVERAGE(OFFSET($H$3,0,0,'Données projet'!$E$12+1,1))</f>
        <v>310.06530483941287</v>
      </c>
      <c r="CE61" s="59">
        <f t="shared" si="40"/>
        <v>170.13425794309376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27.776601944033956</v>
      </c>
      <c r="CL61" s="21">
        <f>EXP(-LN(2)/25)*CL60+(1-EXP(-LN(2)/25))/(LN(2)/25)*Calculateur!CG61*Calculateur!CI61*VLOOKUP('Données projet'!$B$12,Paramètres!$A$1:$I$89,3,0)*0.475*44/12</f>
        <v>8.0172526292346102</v>
      </c>
      <c r="CM61" s="21">
        <f>EXP(-LN(2)/2)*CM60+(1-EXP(-LN(2)/2))/(LN(2)/2)*CG61*CJ61*VLOOKUP('Données projet'!$B$12,Paramètres!$A$1:$I$89,3,0)*0.475*44/12</f>
        <v>0.30802363546986827</v>
      </c>
      <c r="CN61" s="22">
        <f t="shared" si="12"/>
        <v>36.101878208738434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2.625</v>
      </c>
      <c r="CT61" s="12">
        <f>IF('Données projet'!$A$140&gt;35,CT60+CS61-DB60,IF(A61&lt;'Données projet'!$A$140,$CQ$205^A61,IF(A61='Données projet'!$A$140,'Données projet'!$B$140,CT60+CS61-DB60)))</f>
        <v>305.5</v>
      </c>
      <c r="CU61" s="17">
        <f>CT61*VLOOKUP('Données projet'!$B$13,Paramètres!$A$1:$I$89,3,0)*VLOOKUP('Données projet'!$B$13,Paramètres!$A$1:$I$89,5,0)</f>
        <v>182.68900000000002</v>
      </c>
      <c r="CV61" s="13">
        <f t="shared" si="41"/>
        <v>45.919921846619154</v>
      </c>
      <c r="CW61" s="20">
        <f t="shared" si="13"/>
        <v>398.16053888286166</v>
      </c>
      <c r="CX61" s="59">
        <f t="shared" si="14"/>
        <v>691.49387221619497</v>
      </c>
      <c r="CY61" s="59">
        <f ca="1">AVERAGE(OFFSET($CX$3,0,0,'Données projet'!$E$13+1,1))-AVERAGE(OFFSET($H$3,0,0,'Données projet'!$E$13+1,1))</f>
        <v>168.08890945052406</v>
      </c>
      <c r="CZ61" s="59">
        <f t="shared" si="42"/>
        <v>182.52462557642343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32.50571318010973</v>
      </c>
      <c r="DG61" s="21">
        <f>EXP(-LN(2)/25)*DG60+(1-EXP(-LN(2)/25))/(LN(2)/25)*Calculateur!DB61*Calculateur!DD61*VLOOKUP('Données projet'!$B$13,Paramètres!$A$1:$I$89,3,0)*0.475*44/12</f>
        <v>9.0880634785817751</v>
      </c>
      <c r="DH61" s="21">
        <f>EXP(-LN(2)/2)*DH60+(1-EXP(-LN(2)/2))/(LN(2)/2)*DB61*DE61*VLOOKUP('Données projet'!$B$13,Paramètres!$A$1:$I$89,3,0)*0.475*44/12</f>
        <v>0.40628493323386811</v>
      </c>
      <c r="DI61" s="22">
        <f t="shared" si="15"/>
        <v>42.000061591925373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10.199999999999999</v>
      </c>
      <c r="DO61" s="12">
        <f>IF('Données projet'!$A$166&gt;35,DO60+DN61-DW60,IF(A61&lt;'Données projet'!$A$166,$DL$205^A61,IF(A61='Données projet'!$A$166,'Données projet'!$B$166,DO60+DN61-DW60)))</f>
        <v>645.59999999999968</v>
      </c>
      <c r="DP61" s="17">
        <f>DO61*VLOOKUP('Données projet'!$B$14,Paramètres!$A$1:$I$89,3,0)*VLOOKUP('Données projet'!$B$14,Paramètres!$A$1:$I$89,5,0)</f>
        <v>360.89039999999977</v>
      </c>
      <c r="DQ61" s="13">
        <f t="shared" si="43"/>
        <v>83.800943075865291</v>
      </c>
      <c r="DR61" s="20">
        <f t="shared" si="16"/>
        <v>774.50408919046504</v>
      </c>
      <c r="DS61" s="59">
        <f t="shared" si="17"/>
        <v>1067.8374225237983</v>
      </c>
      <c r="DT61" s="59">
        <f ca="1">AVERAGE(OFFSET($DS$3,0,0,'Données projet'!$E$14+1,1))-AVERAGE(OFFSET($H$3,0,0,'Données projet'!$E$14+1,1))</f>
        <v>355.23615781077405</v>
      </c>
      <c r="DU61" s="59">
        <f t="shared" si="44"/>
        <v>448.84541017639367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71.416200426589882</v>
      </c>
      <c r="EB61" s="21">
        <f>EXP(-LN(2)/25)*EB60+(1-EXP(-LN(2)/25))/(LN(2)/25)*Calculateur!DW61*Calculateur!DY61*VLOOKUP('Données projet'!$B$14,Paramètres!$A$1:$I$89,3,0)*0.475*44/12</f>
        <v>20.051940975417217</v>
      </c>
      <c r="EC61" s="21">
        <f>EXP(-LN(2)/2)*EC60+(1-EXP(-LN(2)/2))/(LN(2)/2)*DW61*DZ61*VLOOKUP('Données projet'!$B$14,Paramètres!$A$1:$I$89,3,0)*0.475*44/12</f>
        <v>1.3595519731345207</v>
      </c>
      <c r="ED61" s="22">
        <f t="shared" si="18"/>
        <v>92.827693375141607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5.2999999999999989</v>
      </c>
      <c r="EJ61" s="12">
        <f>IF('Données projet'!$A$192&gt;35,EJ60+EI61-ER60,IF(A61&lt;'Données projet'!$A$192,$EG$205^A61,IF(A61='Données projet'!$A$192,'Données projet'!$B$192,EJ60+EI61-ER60)))</f>
        <v>92.199999999999974</v>
      </c>
      <c r="EK61" s="17">
        <f>EJ61*VLOOKUP('Données projet'!$B$15,Paramètres!$A$1:$I$89,3,0)*VLOOKUP('Données projet'!$B$15,Paramètres!$A$1:$I$89,5,0)</f>
        <v>99.244079999999968</v>
      </c>
      <c r="EL61" s="13">
        <f t="shared" si="45"/>
        <v>26.78183057978304</v>
      </c>
      <c r="EM61" s="20">
        <f t="shared" si="19"/>
        <v>219.49512759312208</v>
      </c>
      <c r="EN61" s="59">
        <f t="shared" si="20"/>
        <v>512.82846092645536</v>
      </c>
      <c r="EO61" s="59">
        <f ca="1">AVERAGE(OFFSET($EN$3,0,0,'Données projet'!$E$15+1,1))-AVERAGE(OFFSET($H$3,0,0,'Données projet'!$E$15+1,1))</f>
        <v>130.76477588601989</v>
      </c>
      <c r="EP61" s="59">
        <f t="shared" si="46"/>
        <v>94.034011511502172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0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10.199999999999999</v>
      </c>
      <c r="FE61" s="12">
        <f>IF('Données projet'!$A$218&gt;35,FE60+FD61-FM60,IF(A61&lt;'Données projet'!$A$218,$FB$205^A61,IF(A61='Données projet'!$A$218,'Données projet'!$B$218,FE60+FD61-FM60)))</f>
        <v>645.59999999999968</v>
      </c>
      <c r="FF61" s="17">
        <f>FE61*VLOOKUP('Données projet'!$B$16,Paramètres!$A$1:$I$89,3,0)*VLOOKUP('Données projet'!$B$16,Paramètres!$A$1:$I$89,5,0)</f>
        <v>293.74799999999982</v>
      </c>
      <c r="FG61" s="13">
        <f t="shared" si="47"/>
        <v>69.864201984598566</v>
      </c>
      <c r="FH61" s="20">
        <f t="shared" si="22"/>
        <v>633.29125178984225</v>
      </c>
      <c r="FI61" s="59">
        <f t="shared" si="23"/>
        <v>926.62458512317562</v>
      </c>
      <c r="FJ61" s="59">
        <f ca="1">AVERAGE(OFFSET($FI$3,0,0,'Données projet'!$E$16+1,1))-AVERAGE(OFFSET($H$3,0,0,'Données projet'!$E$16+1,1))</f>
        <v>279.43442619866738</v>
      </c>
      <c r="FK61" s="59">
        <f t="shared" si="48"/>
        <v>355.95192241448217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58.129465463503358</v>
      </c>
      <c r="FR61" s="21">
        <f>EXP(-LN(2)/25)*FR60+(1-EXP(-LN(2)/25))/(LN(2)/25)*Calculateur!FM61*Calculateur!FO61*VLOOKUP('Données projet'!$B$16,Paramètres!$A$1:$I$89,3,0)*0.475*44/12</f>
        <v>16.321347305572157</v>
      </c>
      <c r="FS61" s="21">
        <f>EXP(-LN(2)/2)*FS60+(1-EXP(-LN(2)/2))/(LN(2)/2)*FM61*FP61*VLOOKUP('Données projet'!$B$16,Paramètres!$A$1:$I$89,3,0)*0.475*44/12</f>
        <v>1.1066120711560048</v>
      </c>
      <c r="FT61" s="22">
        <f t="shared" si="24"/>
        <v>75.557424840231519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3</v>
      </c>
      <c r="N62" s="13">
        <f>IF('Données projet'!$A$36&gt;35,N61+M62-V61,IF(A62&lt;'Données projet'!$A$36,$K$205^A62,IF(A62='Données projet'!$A$36,'Données projet'!$B$36,N61+M62-V61)))</f>
        <v>399.99999999999989</v>
      </c>
      <c r="O62" s="13">
        <f>N62*VLOOKUP('Données projet'!$B$9,Paramètres!$A$1:$I$89,3,0)*VLOOKUP('Données projet'!$B$9,Paramètres!$A$1:$I$89,5,0)</f>
        <v>239.19999999999993</v>
      </c>
      <c r="P62" s="13">
        <f t="shared" si="33"/>
        <v>58.267373151570702</v>
      </c>
      <c r="Q62" s="20">
        <f t="shared" si="53"/>
        <v>518.08900823898546</v>
      </c>
      <c r="R62" s="59">
        <f t="shared" si="0"/>
        <v>811.42234157231883</v>
      </c>
      <c r="S62" s="59">
        <f ca="1">AVERAGE(OFFSET($R$3,0,0,'Données projet'!$E$9+1,1))-AVERAGE(OFFSET($H$3,0,0,'Données projet'!$E$9+1,1))</f>
        <v>227.89848316900191</v>
      </c>
      <c r="T62" s="59">
        <f t="shared" si="34"/>
        <v>239.85955661394541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37.716204621879911</v>
      </c>
      <c r="AA62" s="21">
        <f>EXP(-LN(2)/25)*AA61+(1-EXP(-LN(2)/25))/(LN(2)/25)*Calculateur!V62*Calculateur!X62*VLOOKUP('Données projet'!$B$9,Paramètres!$A$1:$I$89,3,0)*0.475*44/12</f>
        <v>8.9604462465337349</v>
      </c>
      <c r="AB62" s="21">
        <f>EXP(-LN(2)/2)*AB61+(1-EXP(-LN(2)/2))/(LN(2)/2)*V62*Y62*VLOOKUP('Données projet'!$B$9,Paramètres!$A$1:$I$89,3,0)*0.475*44/12</f>
        <v>0.29455204766162801</v>
      </c>
      <c r="AC62" s="22">
        <f t="shared" si="3"/>
        <v>46.971202916075271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7.75</v>
      </c>
      <c r="AI62" s="13">
        <f>IF('Données projet'!$A$62&gt;35,AI61+AH62-AQ61,IF(A62&lt;'Données projet'!$A$62,$AF$205^A62,IF(A62='Données projet'!$A$62,'Données projet'!$B$62,AI61+AH62-AQ61)))</f>
        <v>170.75000000000017</v>
      </c>
      <c r="AJ62" s="13">
        <f>AI62*VLOOKUP('Données projet'!$B$10,Paramètres!$A$1:$I$89,3,0)*VLOOKUP('Données projet'!$B$10,Paramètres!$A$1:$I$89,5,0)</f>
        <v>154.49460000000016</v>
      </c>
      <c r="AK62" s="13">
        <f t="shared" si="35"/>
        <v>39.598237903243998</v>
      </c>
      <c r="AL62" s="20">
        <f t="shared" si="4"/>
        <v>338.04502601481693</v>
      </c>
      <c r="AM62" s="59">
        <f t="shared" si="5"/>
        <v>631.3783593481503</v>
      </c>
      <c r="AN62" s="59">
        <f ca="1">AVERAGE(OFFSET($AM$3,0,0,'Données projet'!$E$10+1,1))-AVERAGE(OFFSET($H$3,0,0,'Données projet'!$E$10+1,1))</f>
        <v>215.7418266360167</v>
      </c>
      <c r="AO62" s="59">
        <f t="shared" si="36"/>
        <v>155.78420008229949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8.4532479263922546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8.4532479263922546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6.625</v>
      </c>
      <c r="BD62" s="12">
        <f>IF('Données projet'!$A$88&gt;35,BD61+BC62-BL61,IF(A62&lt;'Données projet'!$A$88,$BA$205^A62,IF(A62='Données projet'!$A$88,'Données projet'!$B$88,BD61+BC62-BL61)))</f>
        <v>121.875</v>
      </c>
      <c r="BE62" s="13">
        <f>BD62*VLOOKUP('Données projet'!$B$11,Paramètres!$A$1:$I$89,3,0)*VLOOKUP('Données projet'!$B$11,Paramètres!$A$1:$I$89,5,0)</f>
        <v>123.58125</v>
      </c>
      <c r="BF62" s="13">
        <f t="shared" si="37"/>
        <v>32.508832126435216</v>
      </c>
      <c r="BG62" s="20">
        <f t="shared" si="7"/>
        <v>271.85689303687468</v>
      </c>
      <c r="BH62" s="59">
        <f t="shared" si="8"/>
        <v>565.19022637020794</v>
      </c>
      <c r="BI62" s="59">
        <f ca="1">AVERAGE(OFFSET($BH$3,0,0,'Données projet'!$E$11+1,1))-AVERAGE(OFFSET($H$3,0,0,'Données projet'!$E$11+1,1))</f>
        <v>179.53921263314447</v>
      </c>
      <c r="BJ62" s="59">
        <f t="shared" si="38"/>
        <v>120.81513023281337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18.709598765432116</v>
      </c>
      <c r="BY62" s="12">
        <f>IF('Données projet'!$A$114&gt;35,BY61+BX62-CG61,IF(A62&lt;'Données projet'!$A$114,$BV$205^A62,IF(A62='Données projet'!$A$114,'Données projet'!$B$114,BY61+BX62-CG61)))</f>
        <v>512.47712962962999</v>
      </c>
      <c r="BZ62" s="13">
        <f>BY62*VLOOKUP('Données projet'!$B$12,Paramètres!$A$1:$I$89,3,0)*VLOOKUP('Données projet'!$B$12,Paramètres!$A$1:$I$89,5,0)</f>
        <v>239.83929666666683</v>
      </c>
      <c r="CA62" s="13">
        <f t="shared" si="39"/>
        <v>58.404953029412965</v>
      </c>
      <c r="CB62" s="20">
        <f t="shared" si="10"/>
        <v>519.44206822067224</v>
      </c>
      <c r="CC62" s="59">
        <f t="shared" si="11"/>
        <v>812.77540155400561</v>
      </c>
      <c r="CD62" s="59">
        <f ca="1">AVERAGE(OFFSET($CC$3,0,0,'Données projet'!$E$12+1,1))-AVERAGE(OFFSET($H$3,0,0,'Données projet'!$E$12+1,1))</f>
        <v>310.06530483941287</v>
      </c>
      <c r="CE62" s="59">
        <f t="shared" si="40"/>
        <v>170.13425794309376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27.231919721965749</v>
      </c>
      <c r="CL62" s="21">
        <f>EXP(-LN(2)/25)*CL61+(1-EXP(-LN(2)/25))/(LN(2)/25)*Calculateur!CG62*Calculateur!CI62*VLOOKUP('Données projet'!$B$12,Paramètres!$A$1:$I$89,3,0)*0.475*44/12</f>
        <v>7.7980204344791977</v>
      </c>
      <c r="CM62" s="21">
        <f>EXP(-LN(2)/2)*CM61+(1-EXP(-LN(2)/2))/(LN(2)/2)*CG62*CJ62*VLOOKUP('Données projet'!$B$12,Paramètres!$A$1:$I$89,3,0)*0.475*44/12</f>
        <v>0.21780560140647703</v>
      </c>
      <c r="CN62" s="22">
        <f t="shared" si="12"/>
        <v>35.247745757851419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2.625</v>
      </c>
      <c r="CT62" s="12">
        <f>IF('Données projet'!$A$140&gt;35,CT61+CS62-DB61,IF(A62&lt;'Données projet'!$A$140,$CQ$205^A62,IF(A62='Données projet'!$A$140,'Données projet'!$B$140,CT61+CS62-DB61)))</f>
        <v>308.125</v>
      </c>
      <c r="CU62" s="17">
        <f>CT62*VLOOKUP('Données projet'!$B$13,Paramètres!$A$1:$I$89,3,0)*VLOOKUP('Données projet'!$B$13,Paramètres!$A$1:$I$89,5,0)</f>
        <v>184.25875000000002</v>
      </c>
      <c r="CV62" s="13">
        <f t="shared" si="41"/>
        <v>46.26838622983076</v>
      </c>
      <c r="CW62" s="20">
        <f t="shared" si="13"/>
        <v>401.50142893362187</v>
      </c>
      <c r="CX62" s="59">
        <f t="shared" si="14"/>
        <v>694.83476226695518</v>
      </c>
      <c r="CY62" s="59">
        <f ca="1">AVERAGE(OFFSET($CX$3,0,0,'Données projet'!$E$13+1,1))-AVERAGE(OFFSET($H$3,0,0,'Données projet'!$E$13+1,1))</f>
        <v>168.08890945052406</v>
      </c>
      <c r="CZ62" s="59">
        <f t="shared" si="42"/>
        <v>182.52462557642343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31.868295971175112</v>
      </c>
      <c r="DG62" s="21">
        <f>EXP(-LN(2)/25)*DG61+(1-EXP(-LN(2)/25))/(LN(2)/25)*Calculateur!DB62*Calculateur!DD62*VLOOKUP('Données projet'!$B$13,Paramètres!$A$1:$I$89,3,0)*0.475*44/12</f>
        <v>8.839549904839469</v>
      </c>
      <c r="DH62" s="21">
        <f>EXP(-LN(2)/2)*DH61+(1-EXP(-LN(2)/2))/(LN(2)/2)*DB62*DE62*VLOOKUP('Données projet'!$B$13,Paramètres!$A$1:$I$89,3,0)*0.475*44/12</f>
        <v>0.28728683138359185</v>
      </c>
      <c r="DI62" s="22">
        <f t="shared" si="15"/>
        <v>40.99513270739817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10.199999999999999</v>
      </c>
      <c r="DO62" s="12">
        <f>IF('Données projet'!$A$166&gt;35,DO61+DN62-DW61,IF(A62&lt;'Données projet'!$A$166,$DL$205^A62,IF(A62='Données projet'!$A$166,'Données projet'!$B$166,DO61+DN62-DW61)))</f>
        <v>655.79999999999973</v>
      </c>
      <c r="DP62" s="17">
        <f>DO62*VLOOKUP('Données projet'!$B$14,Paramètres!$A$1:$I$89,3,0)*VLOOKUP('Données projet'!$B$14,Paramètres!$A$1:$I$89,5,0)</f>
        <v>366.59219999999982</v>
      </c>
      <c r="DQ62" s="13">
        <f t="shared" si="43"/>
        <v>84.969753481055022</v>
      </c>
      <c r="DR62" s="20">
        <f t="shared" si="16"/>
        <v>786.47040231283711</v>
      </c>
      <c r="DS62" s="59">
        <f t="shared" si="17"/>
        <v>1079.8037356461705</v>
      </c>
      <c r="DT62" s="59">
        <f ca="1">AVERAGE(OFFSET($DS$3,0,0,'Données projet'!$E$14+1,1))-AVERAGE(OFFSET($H$3,0,0,'Données projet'!$E$14+1,1))</f>
        <v>355.23615781077405</v>
      </c>
      <c r="DU62" s="59">
        <f t="shared" si="44"/>
        <v>448.84541017639367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70.015772295805561</v>
      </c>
      <c r="EB62" s="21">
        <f>EXP(-LN(2)/25)*EB61+(1-EXP(-LN(2)/25))/(LN(2)/25)*Calculateur!DW62*Calculateur!DY62*VLOOKUP('Données projet'!$B$14,Paramètres!$A$1:$I$89,3,0)*0.475*44/12</f>
        <v>19.503619594958685</v>
      </c>
      <c r="EC62" s="21">
        <f>EXP(-LN(2)/2)*EC61+(1-EXP(-LN(2)/2))/(LN(2)/2)*DW62*DZ62*VLOOKUP('Données projet'!$B$14,Paramètres!$A$1:$I$89,3,0)*0.475*44/12</f>
        <v>0.96134841957897055</v>
      </c>
      <c r="ED62" s="22">
        <f t="shared" si="18"/>
        <v>90.480740310343208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5.2999999999999989</v>
      </c>
      <c r="EJ62" s="12">
        <f>IF('Données projet'!$A$192&gt;35,EJ61+EI62-ER61,IF(A62&lt;'Données projet'!$A$192,$EG$205^A62,IF(A62='Données projet'!$A$192,'Données projet'!$B$192,EJ61+EI62-ER61)))</f>
        <v>97.499999999999972</v>
      </c>
      <c r="EK62" s="17">
        <f>EJ62*VLOOKUP('Données projet'!$B$15,Paramètres!$A$1:$I$89,3,0)*VLOOKUP('Données projet'!$B$15,Paramètres!$A$1:$I$89,5,0)</f>
        <v>104.94899999999997</v>
      </c>
      <c r="EL62" s="13">
        <f t="shared" si="45"/>
        <v>28.137693523665128</v>
      </c>
      <c r="EM62" s="20">
        <f t="shared" si="19"/>
        <v>231.79265788705004</v>
      </c>
      <c r="EN62" s="59">
        <f t="shared" si="20"/>
        <v>525.12599122038341</v>
      </c>
      <c r="EO62" s="59">
        <f ca="1">AVERAGE(OFFSET($EN$3,0,0,'Données projet'!$E$15+1,1))-AVERAGE(OFFSET($H$3,0,0,'Données projet'!$E$15+1,1))</f>
        <v>130.76477588601989</v>
      </c>
      <c r="EP62" s="59">
        <f t="shared" si="46"/>
        <v>94.034011511502172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0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10.199999999999999</v>
      </c>
      <c r="FE62" s="12">
        <f>IF('Données projet'!$A$218&gt;35,FE61+FD62-FM61,IF(A62&lt;'Données projet'!$A$218,$FB$205^A62,IF(A62='Données projet'!$A$218,'Données projet'!$B$218,FE61+FD62-FM61)))</f>
        <v>655.79999999999973</v>
      </c>
      <c r="FF62" s="17">
        <f>FE62*VLOOKUP('Données projet'!$B$16,Paramètres!$A$1:$I$89,3,0)*VLOOKUP('Données projet'!$B$16,Paramètres!$A$1:$I$89,5,0)</f>
        <v>298.38899999999984</v>
      </c>
      <c r="FG62" s="13">
        <f t="shared" si="47"/>
        <v>70.838630233645247</v>
      </c>
      <c r="FH62" s="20">
        <f t="shared" si="22"/>
        <v>643.07145599026524</v>
      </c>
      <c r="FI62" s="59">
        <f t="shared" si="23"/>
        <v>936.40478932359861</v>
      </c>
      <c r="FJ62" s="59">
        <f ca="1">AVERAGE(OFFSET($FI$3,0,0,'Données projet'!$E$16+1,1))-AVERAGE(OFFSET($H$3,0,0,'Données projet'!$E$16+1,1))</f>
        <v>279.43442619866738</v>
      </c>
      <c r="FK62" s="59">
        <f t="shared" si="48"/>
        <v>355.95192241448217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56.989582101237055</v>
      </c>
      <c r="FR62" s="21">
        <f>EXP(-LN(2)/25)*FR61+(1-EXP(-LN(2)/25))/(LN(2)/25)*Calculateur!FM62*Calculateur!FO62*VLOOKUP('Données projet'!$B$16,Paramètres!$A$1:$I$89,3,0)*0.475*44/12</f>
        <v>15.875039205198934</v>
      </c>
      <c r="FS62" s="21">
        <f>EXP(-LN(2)/2)*FS61+(1-EXP(-LN(2)/2))/(LN(2)/2)*FM62*FP62*VLOOKUP('Données projet'!$B$16,Paramètres!$A$1:$I$89,3,0)*0.475*44/12</f>
        <v>0.78249289965730129</v>
      </c>
      <c r="FT62" s="22">
        <f t="shared" si="24"/>
        <v>73.647114206093292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3</v>
      </c>
      <c r="N63" s="13">
        <f>IF('Données projet'!$A$36&gt;35,N62+M63-V62,IF(A63&lt;'Données projet'!$A$36,$K$205^A63,IF(A63='Données projet'!$A$36,'Données projet'!$B$36,N62+M63-V62)))</f>
        <v>402.99999999999989</v>
      </c>
      <c r="O63" s="13">
        <f>N63*VLOOKUP('Données projet'!$B$9,Paramètres!$A$1:$I$89,3,0)*VLOOKUP('Données projet'!$B$9,Paramètres!$A$1:$I$89,5,0)</f>
        <v>240.99399999999997</v>
      </c>
      <c r="P63" s="13">
        <f t="shared" si="33"/>
        <v>58.653342952823401</v>
      </c>
      <c r="Q63" s="20">
        <f t="shared" si="53"/>
        <v>521.88578897616731</v>
      </c>
      <c r="R63" s="59">
        <f t="shared" si="0"/>
        <v>815.21912230950056</v>
      </c>
      <c r="S63" s="59">
        <f ca="1">AVERAGE(OFFSET($R$3,0,0,'Données projet'!$E$9+1,1))-AVERAGE(OFFSET($H$3,0,0,'Données projet'!$E$9+1,1))</f>
        <v>227.89848316900191</v>
      </c>
      <c r="T63" s="59">
        <f t="shared" si="34"/>
        <v>239.85955661394541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36.97661285385815</v>
      </c>
      <c r="AA63" s="21">
        <f>EXP(-LN(2)/25)*AA62+(1-EXP(-LN(2)/25))/(LN(2)/25)*Calculateur!V63*Calculateur!X63*VLOOKUP('Données projet'!$B$9,Paramètres!$A$1:$I$89,3,0)*0.475*44/12</f>
        <v>8.7154223727128812</v>
      </c>
      <c r="AB63" s="21">
        <f>EXP(-LN(2)/2)*AB62+(1-EXP(-LN(2)/2))/(LN(2)/2)*V63*Y63*VLOOKUP('Données projet'!$B$9,Paramètres!$A$1:$I$89,3,0)*0.475*44/12</f>
        <v>0.20827975031392032</v>
      </c>
      <c r="AC63" s="22">
        <f t="shared" si="3"/>
        <v>45.90031497688495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7.75</v>
      </c>
      <c r="AI63" s="13">
        <f>IF('Données projet'!$A$62&gt;35,AI62+AH63-AQ62,IF(A63&lt;'Données projet'!$A$62,$AF$205^A63,IF(A63='Données projet'!$A$62,'Données projet'!$B$62,AI62+AH63-AQ62)))</f>
        <v>178.50000000000017</v>
      </c>
      <c r="AJ63" s="13">
        <f>AI63*VLOOKUP('Données projet'!$B$10,Paramètres!$A$1:$I$89,3,0)*VLOOKUP('Données projet'!$B$10,Paramètres!$A$1:$I$89,5,0)</f>
        <v>161.50680000000014</v>
      </c>
      <c r="AK63" s="13">
        <f t="shared" si="35"/>
        <v>41.182192723897138</v>
      </c>
      <c r="AL63" s="20">
        <f t="shared" si="4"/>
        <v>353.01666232745441</v>
      </c>
      <c r="AM63" s="59">
        <f t="shared" si="5"/>
        <v>646.34999566078773</v>
      </c>
      <c r="AN63" s="59">
        <f ca="1">AVERAGE(OFFSET($AM$3,0,0,'Données projet'!$E$10+1,1))-AVERAGE(OFFSET($H$3,0,0,'Données projet'!$E$10+1,1))</f>
        <v>215.7418266360167</v>
      </c>
      <c r="AO63" s="59">
        <f t="shared" si="36"/>
        <v>155.78420008229949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8.2874848905278284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8.2874848905278284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6.625</v>
      </c>
      <c r="BD63" s="12">
        <f>IF('Données projet'!$A$88&gt;35,BD62+BC63-BL62,IF(A63&lt;'Données projet'!$A$88,$BA$205^A63,IF(A63='Données projet'!$A$88,'Données projet'!$B$88,BD62+BC63-BL62)))</f>
        <v>128.5</v>
      </c>
      <c r="BE63" s="13">
        <f>BD63*VLOOKUP('Données projet'!$B$11,Paramètres!$A$1:$I$89,3,0)*VLOOKUP('Données projet'!$B$11,Paramètres!$A$1:$I$89,5,0)</f>
        <v>130.29900000000001</v>
      </c>
      <c r="BF63" s="13">
        <f t="shared" si="37"/>
        <v>34.065440212996258</v>
      </c>
      <c r="BG63" s="20">
        <f t="shared" si="7"/>
        <v>286.26806670430182</v>
      </c>
      <c r="BH63" s="59">
        <f t="shared" si="8"/>
        <v>579.60140003763513</v>
      </c>
      <c r="BI63" s="59">
        <f ca="1">AVERAGE(OFFSET($BH$3,0,0,'Données projet'!$E$11+1,1))-AVERAGE(OFFSET($H$3,0,0,'Données projet'!$E$11+1,1))</f>
        <v>179.53921263314447</v>
      </c>
      <c r="BJ63" s="59">
        <f t="shared" si="38"/>
        <v>120.81513023281337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531.18672839506189</v>
      </c>
      <c r="BW63" s="12">
        <f>VLOOKUP(A63,'Données projet'!$A$113:$I$133,9,0)</f>
        <v>18.709598765432116</v>
      </c>
      <c r="BX63" s="12">
        <f t="array" ref="BX63">INDEX(BW:BW,MIN(IF(ISNUMBER(BW63:BW259),ROW(BW63:BW259),"")))</f>
        <v>18.709598765432116</v>
      </c>
      <c r="BY63" s="12">
        <f>IF('Données projet'!$A$114&gt;35,BY62+BX63-CG62,IF(A63&lt;'Données projet'!$A$114,$BV$205^A63,IF(A63='Données projet'!$A$114,'Données projet'!$B$114,BY62+BX63-CG62)))</f>
        <v>531.18672839506212</v>
      </c>
      <c r="BZ63" s="13">
        <f>BY63*VLOOKUP('Données projet'!$B$12,Paramètres!$A$1:$I$89,3,0)*VLOOKUP('Données projet'!$B$12,Paramètres!$A$1:$I$89,5,0)</f>
        <v>248.59538888888909</v>
      </c>
      <c r="CA63" s="13">
        <f t="shared" si="39"/>
        <v>60.285065965069514</v>
      </c>
      <c r="CB63" s="20">
        <f t="shared" si="10"/>
        <v>537.96679220397789</v>
      </c>
      <c r="CC63" s="59">
        <f t="shared" si="11"/>
        <v>831.30012553731126</v>
      </c>
      <c r="CD63" s="59">
        <f ca="1">AVERAGE(OFFSET($CC$3,0,0,'Données projet'!$E$12+1,1))-AVERAGE(OFFSET($H$3,0,0,'Données projet'!$E$12+1,1))</f>
        <v>310.06530483941287</v>
      </c>
      <c r="CE63" s="59">
        <f t="shared" si="40"/>
        <v>170.13425794309376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88.535185185185185</v>
      </c>
      <c r="CH63" s="16">
        <f>IF(ISNA(VLOOKUP(A63,'Données projet'!$A$113:$I$133,5,0)),0%,VLOOKUP(A63,'Données projet'!$A$113:$I$133,5,0)*VLOOKUP('Données projet'!$B$12,Paramètres!$A$1:$I$89,7,0))</f>
        <v>0.38500000000000001</v>
      </c>
      <c r="CI63" s="16">
        <f>IF(ISNA(VLOOKUP(A63,'Données projet'!$A$113:$I$133,6,0)),0%,VLOOKUP(A63,'Données projet'!$A$113:$I$133,6,0)*VLOOKUP('Données projet'!$B$12,Paramètres!$A$1:$I$89,7,0))</f>
        <v>9.240000000000001E-2</v>
      </c>
      <c r="CJ63" s="16">
        <f>IF(ISNA(VLOOKUP(A63,'Données projet'!$A$113:$I$133,7,0)),0%,VLOOKUP(A63,'Données projet'!$A$113:$I$133,7,0))</f>
        <v>0.13200000000000001</v>
      </c>
      <c r="CK63" s="21">
        <f>EXP(-LN(2)/35)*CK62+(1-EXP(-LN(2)/35))/(LN(2)/35)*CG63*CH63*VLOOKUP('Données projet'!$B$12,Paramètres!$A$1:$I$89,3,0)*0.475*44/12</f>
        <v>47.859632309435312</v>
      </c>
      <c r="CL63" s="21">
        <f>EXP(-LN(2)/25)*CL62+(1-EXP(-LN(2)/25))/(LN(2)/25)*Calculateur!CG63*Calculateur!CI63*VLOOKUP('Données projet'!$B$12,Paramètres!$A$1:$I$89,3,0)*0.475*44/12</f>
        <v>12.643597281800254</v>
      </c>
      <c r="CM63" s="21">
        <f>EXP(-LN(2)/2)*CM62+(1-EXP(-LN(2)/2))/(LN(2)/2)*CG63*CJ63*VLOOKUP('Données projet'!$B$12,Paramètres!$A$1:$I$89,3,0)*0.475*44/12</f>
        <v>6.3465860813183914</v>
      </c>
      <c r="CN63" s="22">
        <f t="shared" si="12"/>
        <v>66.849815672553959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2.625</v>
      </c>
      <c r="CT63" s="12">
        <f>IF('Données projet'!$A$140&gt;35,CT62+CS63-DB62,IF(A63&lt;'Données projet'!$A$140,$CQ$205^A63,IF(A63='Données projet'!$A$140,'Données projet'!$B$140,CT62+CS63-DB62)))</f>
        <v>310.75</v>
      </c>
      <c r="CU63" s="17">
        <f>CT63*VLOOKUP('Données projet'!$B$13,Paramètres!$A$1:$I$89,3,0)*VLOOKUP('Données projet'!$B$13,Paramètres!$A$1:$I$89,5,0)</f>
        <v>185.82849999999999</v>
      </c>
      <c r="CV63" s="13">
        <f t="shared" si="41"/>
        <v>46.616505227631926</v>
      </c>
      <c r="CW63" s="20">
        <f t="shared" si="13"/>
        <v>404.84171743812561</v>
      </c>
      <c r="CX63" s="59">
        <f t="shared" si="14"/>
        <v>698.17505077145893</v>
      </c>
      <c r="CY63" s="59">
        <f ca="1">AVERAGE(OFFSET($CX$3,0,0,'Données projet'!$E$13+1,1))-AVERAGE(OFFSET($H$3,0,0,'Données projet'!$E$13+1,1))</f>
        <v>168.08890945052406</v>
      </c>
      <c r="CZ63" s="59">
        <f t="shared" si="42"/>
        <v>182.52462557642343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31.243378124921591</v>
      </c>
      <c r="DG63" s="21">
        <f>EXP(-LN(2)/25)*DG62+(1-EXP(-LN(2)/25))/(LN(2)/25)*Calculateur!DB63*Calculateur!DD63*VLOOKUP('Données projet'!$B$13,Paramètres!$A$1:$I$89,3,0)*0.475*44/12</f>
        <v>8.5978319478399072</v>
      </c>
      <c r="DH63" s="21">
        <f>EXP(-LN(2)/2)*DH62+(1-EXP(-LN(2)/2))/(LN(2)/2)*DB63*DE63*VLOOKUP('Données projet'!$B$13,Paramètres!$A$1:$I$89,3,0)*0.475*44/12</f>
        <v>0.20314246661693405</v>
      </c>
      <c r="DI63" s="22">
        <f t="shared" si="15"/>
        <v>40.04435253937843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666</v>
      </c>
      <c r="DM63" s="12">
        <f>VLOOKUP(A63,'Données projet'!$A$165:$I$185,9,0)</f>
        <v>10.199999999999999</v>
      </c>
      <c r="DN63" s="12">
        <f t="array" ref="DN63">INDEX(DM:DM,MIN(IF(ISNUMBER(DM63:DM259),ROW(DM63:DM259),"")))</f>
        <v>10.199999999999999</v>
      </c>
      <c r="DO63" s="12">
        <f>IF('Données projet'!$A$166&gt;35,DO62+DN63-DW62,IF(A63&lt;'Données projet'!$A$166,$DL$205^A63,IF(A63='Données projet'!$A$166,'Données projet'!$B$166,DO62+DN63-DW62)))</f>
        <v>665.99999999999977</v>
      </c>
      <c r="DP63" s="17">
        <f>DO63*VLOOKUP('Données projet'!$B$14,Paramètres!$A$1:$I$89,3,0)*VLOOKUP('Données projet'!$B$14,Paramètres!$A$1:$I$89,5,0)</f>
        <v>372.29399999999987</v>
      </c>
      <c r="DQ63" s="13">
        <f t="shared" si="43"/>
        <v>86.136449661008839</v>
      </c>
      <c r="DR63" s="20">
        <f t="shared" si="16"/>
        <v>798.43303315959008</v>
      </c>
      <c r="DS63" s="59">
        <f t="shared" si="17"/>
        <v>1091.7663664929235</v>
      </c>
      <c r="DT63" s="59">
        <f ca="1">AVERAGE(OFFSET($DS$3,0,0,'Données projet'!$E$14+1,1))-AVERAGE(OFFSET($H$3,0,0,'Données projet'!$E$14+1,1))</f>
        <v>355.23615781077405</v>
      </c>
      <c r="DU63" s="59">
        <f t="shared" si="44"/>
        <v>448.84541017639367</v>
      </c>
      <c r="DV63" s="15" t="str">
        <f>IF(ISNA(VLOOKUP(A63,'Données projet'!$A$165:$I$185,3,0)),0,VLOOKUP(A63,'Données projet'!$A$165:$I$185,3,0))</f>
        <v>CR</v>
      </c>
      <c r="DW63" s="15">
        <f>IF(ISNA(VLOOKUP(A63,'Données projet'!$A$165:$I$185,4,0)),0,VLOOKUP(A63,'Données projet'!$A$165:$I$185,4,0))</f>
        <v>666</v>
      </c>
      <c r="DX63" s="16">
        <f>IF(ISNA(VLOOKUP(A63,'Données projet'!$A$165:$I$185,5,0)),0%,VLOOKUP(A63,'Données projet'!$A$165:$I$185,5,0)*VLOOKUP('Données projet'!$B$14,Paramètres!$A$1:$I$89,7,0))</f>
        <v>0.38500000000000001</v>
      </c>
      <c r="DY63" s="16">
        <f>IF(ISNA(VLOOKUP(A63,'Données projet'!$A$165:$I$185,6,0)),0%,VLOOKUP(A63,'Données projet'!$A$165:$I$185,6,0)*VLOOKUP('Données projet'!$B$14,Paramètres!$A$1:$I$89,7,0))</f>
        <v>9.240000000000001E-2</v>
      </c>
      <c r="DZ63" s="16">
        <f>IF(ISNA(VLOOKUP(A63,'Données projet'!$A$165:$I$185,7,0)),0%,VLOOKUP(A63,'Données projet'!$A$165:$I$185,7,0))</f>
        <v>0.13200000000000001</v>
      </c>
      <c r="EA63" s="21">
        <f>EXP(-LN(2)/35)*EA62+(1-EXP(-LN(2)/35))/(LN(2)/35)*DW63*DX63*VLOOKUP('Données projet'!$B$14,Paramètres!$A$1:$I$89,3,0)*0.475*44/12</f>
        <v>258.78352084525125</v>
      </c>
      <c r="EB63" s="21">
        <f>EXP(-LN(2)/25)*EB62+(1-EXP(-LN(2)/25))/(LN(2)/25)*Calculateur!DW63*Calculateur!DY63*VLOOKUP('Données projet'!$B$14,Paramètres!$A$1:$I$89,3,0)*0.475*44/12</f>
        <v>64.424386178036201</v>
      </c>
      <c r="EC63" s="21">
        <f>EXP(-LN(2)/2)*EC62+(1-EXP(-LN(2)/2))/(LN(2)/2)*DW63*DZ63*VLOOKUP('Données projet'!$B$14,Paramètres!$A$1:$I$89,3,0)*0.475*44/12</f>
        <v>56.320850395309243</v>
      </c>
      <c r="ED63" s="22">
        <f t="shared" si="18"/>
        <v>379.52875741859674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5.2999999999999989</v>
      </c>
      <c r="EJ63" s="12">
        <f>IF('Données projet'!$A$192&gt;35,EJ62+EI63-ER62,IF(A63&lt;'Données projet'!$A$192,$EG$205^A63,IF(A63='Données projet'!$A$192,'Données projet'!$B$192,EJ62+EI63-ER62)))</f>
        <v>102.79999999999997</v>
      </c>
      <c r="EK63" s="17">
        <f>EJ63*VLOOKUP('Données projet'!$B$15,Paramètres!$A$1:$I$89,3,0)*VLOOKUP('Données projet'!$B$15,Paramètres!$A$1:$I$89,5,0)</f>
        <v>110.65391999999996</v>
      </c>
      <c r="EL63" s="13">
        <f t="shared" si="45"/>
        <v>29.485000037346282</v>
      </c>
      <c r="EM63" s="20">
        <f t="shared" si="19"/>
        <v>244.07528573171135</v>
      </c>
      <c r="EN63" s="59">
        <f t="shared" si="20"/>
        <v>537.4086190650446</v>
      </c>
      <c r="EO63" s="59">
        <f ca="1">AVERAGE(OFFSET($EN$3,0,0,'Données projet'!$E$15+1,1))-AVERAGE(OFFSET($H$3,0,0,'Données projet'!$E$15+1,1))</f>
        <v>130.76477588601989</v>
      </c>
      <c r="EP63" s="59">
        <f t="shared" si="46"/>
        <v>94.034011511502172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0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666</v>
      </c>
      <c r="FC63" s="12">
        <f>VLOOKUP(A63,'Données projet'!$A$217:$I$237,9,0)</f>
        <v>10.199999999999999</v>
      </c>
      <c r="FD63" s="12">
        <f t="array" ref="FD63">INDEX(FC:FC,MIN(IF(ISNUMBER(FC63:FC259),ROW(FC63:FC259),"")))</f>
        <v>10.199999999999999</v>
      </c>
      <c r="FE63" s="12">
        <f>IF('Données projet'!$A$218&gt;35,FE62+FD63-FM62,IF(A63&lt;'Données projet'!$A$218,$FB$205^A63,IF(A63='Données projet'!$A$218,'Données projet'!$B$218,FE62+FD63-FM62)))</f>
        <v>665.99999999999977</v>
      </c>
      <c r="FF63" s="17">
        <f>FE63*VLOOKUP('Données projet'!$B$16,Paramètres!$A$1:$I$89,3,0)*VLOOKUP('Données projet'!$B$16,Paramètres!$A$1:$I$89,5,0)</f>
        <v>303.02999999999992</v>
      </c>
      <c r="FG63" s="13">
        <f t="shared" si="47"/>
        <v>71.811295869366816</v>
      </c>
      <c r="FH63" s="20">
        <f t="shared" si="22"/>
        <v>652.84859030581367</v>
      </c>
      <c r="FI63" s="59">
        <f t="shared" si="23"/>
        <v>946.18192363914704</v>
      </c>
      <c r="FJ63" s="59">
        <f ca="1">AVERAGE(OFFSET($FI$3,0,0,'Données projet'!$E$16+1,1))-AVERAGE(OFFSET($H$3,0,0,'Données projet'!$E$16+1,1))</f>
        <v>279.43442619866738</v>
      </c>
      <c r="FK63" s="59">
        <f t="shared" si="48"/>
        <v>355.95192241448217</v>
      </c>
      <c r="FL63" s="15" t="str">
        <f>IF(ISNA(VLOOKUP(A63,'Données projet'!$A$217:$I$237,3,0)),0,VLOOKUP(A63,'Données projet'!$A$217:$I$237,3,0))</f>
        <v>CR</v>
      </c>
      <c r="FM63" s="15">
        <f>IF(ISNA(VLOOKUP(A63,'Données projet'!$A$217:$I$237,4,0)),0,VLOOKUP(A63,'Données projet'!$A$217:$I$237,4,0))</f>
        <v>666</v>
      </c>
      <c r="FN63" s="16">
        <f>IF(ISNA(VLOOKUP(A63,'Données projet'!$A$217:$I$237,5,0)),0%,VLOOKUP(A63,'Données projet'!$A$217:$I$237,5,0)*VLOOKUP('Données projet'!$B$16,Paramètres!$A$1:$I$89,7,0))</f>
        <v>0.38500000000000001</v>
      </c>
      <c r="FO63" s="16">
        <f>IF(ISNA(VLOOKUP(A63,'Données projet'!$A$217:$I$237,6,0)),0%,VLOOKUP(A63,'Données projet'!$A$217:$I$237,6,0)*VLOOKUP('Données projet'!$B$16,Paramètres!$A$1:$I$89,7,0))</f>
        <v>9.240000000000001E-2</v>
      </c>
      <c r="FP63" s="16">
        <f>IF(ISNA(VLOOKUP(A63,'Données projet'!$A$217:$I$237,7,0)),0%,VLOOKUP(A63,'Données projet'!$A$217:$I$237,7,0))</f>
        <v>0.13200000000000001</v>
      </c>
      <c r="FQ63" s="21">
        <f>EXP(-LN(2)/35)*FQ62+(1-EXP(-LN(2)/35))/(LN(2)/35)*FM63*FN63*VLOOKUP('Données projet'!$B$16,Paramètres!$A$1:$I$89,3,0)*0.475*44/12</f>
        <v>210.63774952520447</v>
      </c>
      <c r="FR63" s="21">
        <f>EXP(-LN(2)/25)*FR62+(1-EXP(-LN(2)/25))/(LN(2)/25)*Calculateur!FM63*Calculateur!FO63*VLOOKUP('Données projet'!$B$16,Paramètres!$A$1:$I$89,3,0)*0.475*44/12</f>
        <v>52.438453865843414</v>
      </c>
      <c r="FS63" s="21">
        <f>EXP(-LN(2)/2)*FS62+(1-EXP(-LN(2)/2))/(LN(2)/2)*FM63*FP63*VLOOKUP('Données projet'!$B$16,Paramètres!$A$1:$I$89,3,0)*0.475*44/12</f>
        <v>45.842552647344739</v>
      </c>
      <c r="FT63" s="22">
        <f t="shared" si="24"/>
        <v>308.91875603839264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3</v>
      </c>
      <c r="N64" s="13">
        <f>IF('Données projet'!$A$36&gt;35,N63+M64-V63,IF(A64&lt;'Données projet'!$A$36,$K$205^A64,IF(A64='Données projet'!$A$36,'Données projet'!$B$36,N63+M64-V63)))</f>
        <v>405.99999999999989</v>
      </c>
      <c r="O64" s="13">
        <f>N64*VLOOKUP('Données projet'!$B$9,Paramètres!$A$1:$I$89,3,0)*VLOOKUP('Données projet'!$B$9,Paramètres!$A$1:$I$89,5,0)</f>
        <v>242.78799999999995</v>
      </c>
      <c r="P64" s="13">
        <f t="shared" si="33"/>
        <v>59.038978452354506</v>
      </c>
      <c r="Q64" s="20">
        <f t="shared" si="53"/>
        <v>525.68198747118402</v>
      </c>
      <c r="R64" s="59">
        <f t="shared" si="0"/>
        <v>819.01532080451739</v>
      </c>
      <c r="S64" s="59">
        <f ca="1">AVERAGE(OFFSET($R$3,0,0,'Données projet'!$E$9+1,1))-AVERAGE(OFFSET($H$3,0,0,'Données projet'!$E$9+1,1))</f>
        <v>227.89848316900191</v>
      </c>
      <c r="T64" s="59">
        <f t="shared" si="34"/>
        <v>239.85955661394541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36.25152402930086</v>
      </c>
      <c r="AA64" s="21">
        <f>EXP(-LN(2)/25)*AA63+(1-EXP(-LN(2)/25))/(LN(2)/25)*Calculateur!V64*Calculateur!X64*VLOOKUP('Données projet'!$B$9,Paramètres!$A$1:$I$89,3,0)*0.475*44/12</f>
        <v>8.4770986896069047</v>
      </c>
      <c r="AB64" s="21">
        <f>EXP(-LN(2)/2)*AB63+(1-EXP(-LN(2)/2))/(LN(2)/2)*V64*Y64*VLOOKUP('Données projet'!$B$9,Paramètres!$A$1:$I$89,3,0)*0.475*44/12</f>
        <v>0.14727602383081401</v>
      </c>
      <c r="AC64" s="22">
        <f t="shared" si="3"/>
        <v>44.875898742738578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7.75</v>
      </c>
      <c r="AI64" s="13">
        <f>IF('Données projet'!$A$62&gt;35,AI63+AH64-AQ63,IF(A64&lt;'Données projet'!$A$62,$AF$205^A64,IF(A64='Données projet'!$A$62,'Données projet'!$B$62,AI63+AH64-AQ63)))</f>
        <v>186.25000000000017</v>
      </c>
      <c r="AJ64" s="13">
        <f>AI64*VLOOKUP('Données projet'!$B$10,Paramètres!$A$1:$I$89,3,0)*VLOOKUP('Données projet'!$B$10,Paramètres!$A$1:$I$89,5,0)</f>
        <v>168.51900000000015</v>
      </c>
      <c r="AK64" s="13">
        <f t="shared" si="35"/>
        <v>42.758160126563205</v>
      </c>
      <c r="AL64" s="20">
        <f t="shared" si="4"/>
        <v>367.9743872204312</v>
      </c>
      <c r="AM64" s="59">
        <f t="shared" si="5"/>
        <v>661.30772055376451</v>
      </c>
      <c r="AN64" s="59">
        <f ca="1">AVERAGE(OFFSET($AM$3,0,0,'Données projet'!$E$10+1,1))-AVERAGE(OFFSET($H$3,0,0,'Données projet'!$E$10+1,1))</f>
        <v>215.7418266360167</v>
      </c>
      <c r="AO64" s="59">
        <f t="shared" si="36"/>
        <v>155.78420008229949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8.1249723666912335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8.1249723666912335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6.625</v>
      </c>
      <c r="BD64" s="12">
        <f>IF('Données projet'!$A$88&gt;35,BD63+BC64-BL63,IF(A64&lt;'Données projet'!$A$88,$BA$205^A64,IF(A64='Données projet'!$A$88,'Données projet'!$B$88,BD63+BC64-BL63)))</f>
        <v>135.125</v>
      </c>
      <c r="BE64" s="13">
        <f>BD64*VLOOKUP('Données projet'!$B$11,Paramètres!$A$1:$I$89,3,0)*VLOOKUP('Données projet'!$B$11,Paramètres!$A$1:$I$89,5,0)</f>
        <v>137.01675</v>
      </c>
      <c r="BF64" s="13">
        <f t="shared" si="37"/>
        <v>35.61273044998083</v>
      </c>
      <c r="BG64" s="20">
        <f t="shared" si="7"/>
        <v>300.66301178371663</v>
      </c>
      <c r="BH64" s="59">
        <f t="shared" si="8"/>
        <v>593.99634511704994</v>
      </c>
      <c r="BI64" s="59">
        <f ca="1">AVERAGE(OFFSET($BH$3,0,0,'Données projet'!$E$11+1,1))-AVERAGE(OFFSET($H$3,0,0,'Données projet'!$E$11+1,1))</f>
        <v>179.53921263314447</v>
      </c>
      <c r="BJ64" s="59">
        <f t="shared" si="38"/>
        <v>120.81513023281337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22.381733539094633</v>
      </c>
      <c r="BY64" s="12">
        <f>IF('Données projet'!$A$114&gt;35,BY63+BX64-CG63,IF(A64&lt;'Données projet'!$A$114,$BV$205^A64,IF(A64='Données projet'!$A$114,'Données projet'!$B$114,BY63+BX64-CG63)))</f>
        <v>465.03327674897156</v>
      </c>
      <c r="BZ64" s="13">
        <f>BY64*VLOOKUP('Données projet'!$B$12,Paramètres!$A$1:$I$89,3,0)*VLOOKUP('Données projet'!$B$12,Paramètres!$A$1:$I$89,5,0)</f>
        <v>217.6355735185187</v>
      </c>
      <c r="CA64" s="13">
        <f t="shared" si="39"/>
        <v>53.600666572743727</v>
      </c>
      <c r="CB64" s="20">
        <f t="shared" si="10"/>
        <v>472.40311815894864</v>
      </c>
      <c r="CC64" s="59">
        <f t="shared" si="11"/>
        <v>765.73645149228196</v>
      </c>
      <c r="CD64" s="59">
        <f ca="1">AVERAGE(OFFSET($CC$3,0,0,'Données projet'!$E$12+1,1))-AVERAGE(OFFSET($H$3,0,0,'Données projet'!$E$12+1,1))</f>
        <v>310.06530483941287</v>
      </c>
      <c r="CE64" s="59">
        <f t="shared" si="40"/>
        <v>170.13425794309376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46.921134111340571</v>
      </c>
      <c r="CL64" s="21">
        <f>EXP(-LN(2)/25)*CL63+(1-EXP(-LN(2)/25))/(LN(2)/25)*Calculateur!CG64*Calculateur!CI64*VLOOKUP('Données projet'!$B$12,Paramètres!$A$1:$I$89,3,0)*0.475*44/12</f>
        <v>12.297857449231543</v>
      </c>
      <c r="CM64" s="21">
        <f>EXP(-LN(2)/2)*CM63+(1-EXP(-LN(2)/2))/(LN(2)/2)*CG64*CJ64*VLOOKUP('Données projet'!$B$12,Paramètres!$A$1:$I$89,3,0)*0.475*44/12</f>
        <v>4.4877140554843926</v>
      </c>
      <c r="CN64" s="22">
        <f t="shared" si="12"/>
        <v>63.70670561605651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2.625</v>
      </c>
      <c r="CT64" s="12">
        <f>IF('Données projet'!$A$140&gt;35,CT63+CS64-DB63,IF(A64&lt;'Données projet'!$A$140,$CQ$205^A64,IF(A64='Données projet'!$A$140,'Données projet'!$B$140,CT63+CS64-DB63)))</f>
        <v>313.375</v>
      </c>
      <c r="CU64" s="17">
        <f>CT64*VLOOKUP('Données projet'!$B$13,Paramètres!$A$1:$I$89,3,0)*VLOOKUP('Données projet'!$B$13,Paramètres!$A$1:$I$89,5,0)</f>
        <v>187.39825000000002</v>
      </c>
      <c r="CV64" s="13">
        <f t="shared" si="41"/>
        <v>46.964282095681376</v>
      </c>
      <c r="CW64" s="20">
        <f t="shared" si="13"/>
        <v>408.18141006664501</v>
      </c>
      <c r="CX64" s="59">
        <f t="shared" si="14"/>
        <v>701.51474339997833</v>
      </c>
      <c r="CY64" s="59">
        <f ca="1">AVERAGE(OFFSET($CX$3,0,0,'Données projet'!$E$13+1,1))-AVERAGE(OFFSET($H$3,0,0,'Données projet'!$E$13+1,1))</f>
        <v>168.08890945052406</v>
      </c>
      <c r="CZ64" s="59">
        <f t="shared" si="42"/>
        <v>182.52462557642343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30.630714536470855</v>
      </c>
      <c r="DG64" s="21">
        <f>EXP(-LN(2)/25)*DG63+(1-EXP(-LN(2)/25))/(LN(2)/25)*Calculateur!DB64*Calculateur!DD64*VLOOKUP('Données projet'!$B$13,Paramètres!$A$1:$I$89,3,0)*0.475*44/12</f>
        <v>8.3627237810858936</v>
      </c>
      <c r="DH64" s="21">
        <f>EXP(-LN(2)/2)*DH63+(1-EXP(-LN(2)/2))/(LN(2)/2)*DB64*DE64*VLOOKUP('Données projet'!$B$13,Paramètres!$A$1:$I$89,3,0)*0.475*44/12</f>
        <v>0.14364341569179592</v>
      </c>
      <c r="DI64" s="22">
        <f t="shared" si="15"/>
        <v>39.13708173324855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-2.2737367544323206E-13</v>
      </c>
      <c r="DP64" s="17">
        <f>DO64*VLOOKUP('Données projet'!$B$14,Paramètres!$A$1:$I$89,3,0)*VLOOKUP('Données projet'!$B$14,Paramètres!$A$1:$I$89,5,0)</f>
        <v>-1.2710188457276673E-13</v>
      </c>
      <c r="DQ64" s="13" t="e">
        <f t="shared" si="43"/>
        <v>#NUM!</v>
      </c>
      <c r="DR64" s="20" t="e">
        <f t="shared" si="16"/>
        <v>#NUM!</v>
      </c>
      <c r="DS64" s="59" t="e">
        <f t="shared" si="17"/>
        <v>#NUM!</v>
      </c>
      <c r="DT64" s="59">
        <f ca="1">AVERAGE(OFFSET($DS$3,0,0,'Données projet'!$E$14+1,1))-AVERAGE(OFFSET($H$3,0,0,'Données projet'!$E$14+1,1))</f>
        <v>355.23615781077405</v>
      </c>
      <c r="DU64" s="59">
        <f t="shared" si="44"/>
        <v>448.84541017639367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253.70893384383794</v>
      </c>
      <c r="EB64" s="21">
        <f>EXP(-LN(2)/25)*EB63+(1-EXP(-LN(2)/25))/(LN(2)/25)*Calculateur!DW64*Calculateur!DY64*VLOOKUP('Données projet'!$B$14,Paramètres!$A$1:$I$89,3,0)*0.475*44/12</f>
        <v>62.662697950066573</v>
      </c>
      <c r="EC64" s="21">
        <f>EXP(-LN(2)/2)*EC63+(1-EXP(-LN(2)/2))/(LN(2)/2)*DW64*DZ64*VLOOKUP('Données projet'!$B$14,Paramètres!$A$1:$I$89,3,0)*0.475*44/12</f>
        <v>39.824855236716218</v>
      </c>
      <c r="ED64" s="22">
        <f t="shared" si="18"/>
        <v>356.19648703062069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5.2999999999999989</v>
      </c>
      <c r="EJ64" s="12">
        <f>IF('Données projet'!$A$192&gt;35,EJ63+EI64-ER63,IF(A64&lt;'Données projet'!$A$192,$EG$205^A64,IF(A64='Données projet'!$A$192,'Données projet'!$B$192,EJ63+EI64-ER63)))</f>
        <v>108.09999999999997</v>
      </c>
      <c r="EK64" s="17">
        <f>EJ64*VLOOKUP('Données projet'!$B$15,Paramètres!$A$1:$I$89,3,0)*VLOOKUP('Données projet'!$B$15,Paramètres!$A$1:$I$89,5,0)</f>
        <v>116.35883999999996</v>
      </c>
      <c r="EL64" s="13">
        <f t="shared" si="45"/>
        <v>30.824241579801694</v>
      </c>
      <c r="EM64" s="20">
        <f t="shared" si="19"/>
        <v>256.34386708482117</v>
      </c>
      <c r="EN64" s="59">
        <f t="shared" si="20"/>
        <v>549.67720041815448</v>
      </c>
      <c r="EO64" s="59">
        <f ca="1">AVERAGE(OFFSET($EN$3,0,0,'Données projet'!$E$15+1,1))-AVERAGE(OFFSET($H$3,0,0,'Données projet'!$E$15+1,1))</f>
        <v>130.76477588601989</v>
      </c>
      <c r="EP64" s="59">
        <f t="shared" si="46"/>
        <v>94.034011511502172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0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-2.2737367544323206E-13</v>
      </c>
      <c r="FF64" s="17">
        <f>FE64*VLOOKUP('Données projet'!$B$16,Paramètres!$A$1:$I$89,3,0)*VLOOKUP('Données projet'!$B$16,Paramètres!$A$1:$I$89,5,0)</f>
        <v>-1.0345502232667058E-13</v>
      </c>
      <c r="FG64" s="13" t="e">
        <f t="shared" si="47"/>
        <v>#NUM!</v>
      </c>
      <c r="FH64" s="20" t="e">
        <f t="shared" si="22"/>
        <v>#NUM!</v>
      </c>
      <c r="FI64" s="59" t="e">
        <f t="shared" si="23"/>
        <v>#NUM!</v>
      </c>
      <c r="FJ64" s="59">
        <f ca="1">AVERAGE(OFFSET($FI$3,0,0,'Données projet'!$E$16+1,1))-AVERAGE(OFFSET($H$3,0,0,'Données projet'!$E$16+1,1))</f>
        <v>279.43442619866738</v>
      </c>
      <c r="FK64" s="59">
        <f t="shared" si="48"/>
        <v>355.95192241448217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206.50727173335645</v>
      </c>
      <c r="FR64" s="21">
        <f>EXP(-LN(2)/25)*FR63+(1-EXP(-LN(2)/25))/(LN(2)/25)*Calculateur!FM64*Calculateur!FO64*VLOOKUP('Données projet'!$B$16,Paramètres!$A$1:$I$89,3,0)*0.475*44/12</f>
        <v>51.00452158726349</v>
      </c>
      <c r="FS64" s="21">
        <f>EXP(-LN(2)/2)*FS63+(1-EXP(-LN(2)/2))/(LN(2)/2)*FM64*FP64*VLOOKUP('Données projet'!$B$16,Paramètres!$A$1:$I$89,3,0)*0.475*44/12</f>
        <v>32.415579843838785</v>
      </c>
      <c r="FT64" s="22">
        <f t="shared" si="24"/>
        <v>289.92737316445869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409</v>
      </c>
      <c r="L65" s="12">
        <f>VLOOKUP(A65,'Données projet'!$A$35:$I$55,9,0)</f>
        <v>3</v>
      </c>
      <c r="M65" s="12">
        <f t="array" ref="M65">INDEX(L:L,MIN(IF(ISNUMBER(L65:L261),ROW(L65:L261),"")))</f>
        <v>3</v>
      </c>
      <c r="N65" s="13">
        <f>IF('Données projet'!$A$36&gt;35,N64+M65-V64,IF(A65&lt;'Données projet'!$A$36,$K$205^A65,IF(A65='Données projet'!$A$36,'Données projet'!$B$36,N64+M65-V64)))</f>
        <v>408.99999999999989</v>
      </c>
      <c r="O65" s="13">
        <f>N65*VLOOKUP('Données projet'!$B$9,Paramètres!$A$1:$I$89,3,0)*VLOOKUP('Données projet'!$B$9,Paramètres!$A$1:$I$89,5,0)</f>
        <v>244.58199999999997</v>
      </c>
      <c r="P65" s="13">
        <f t="shared" si="33"/>
        <v>59.424282406770885</v>
      </c>
      <c r="Q65" s="20">
        <f t="shared" si="53"/>
        <v>529.4776085251259</v>
      </c>
      <c r="R65" s="59">
        <f t="shared" si="0"/>
        <v>822.81094185845927</v>
      </c>
      <c r="S65" s="59">
        <f ca="1">AVERAGE(OFFSET($R$3,0,0,'Données projet'!$E$9+1,1))-AVERAGE(OFFSET($H$3,0,0,'Données projet'!$E$9+1,1))</f>
        <v>227.89848316900191</v>
      </c>
      <c r="T65" s="59">
        <f t="shared" si="34"/>
        <v>239.85955661394541</v>
      </c>
      <c r="U65" s="15" t="str">
        <f>IF(ISNA(VLOOKUP(A65,'Données projet'!$A$35:$I$55,3,0)),0,VLOOKUP(A65,'Données projet'!$A$35:$I$55,3,0))</f>
        <v>CR</v>
      </c>
      <c r="V65" s="15">
        <f>IF(ISNA(VLOOKUP(A65,'Données projet'!$A$35:$I$55,4,0)),0,VLOOKUP(A65,'Données projet'!$A$35:$I$55,4,0))</f>
        <v>409</v>
      </c>
      <c r="W65" s="16">
        <f>IF(ISNA(VLOOKUP(A65,'Données projet'!$A$35:$I$55,5,0)),0%,VLOOKUP(A65,'Données projet'!$A$35:$I$55,5,0)*VLOOKUP('Données projet'!$B$9,Paramètres!$A$1:$I$89,7,0))</f>
        <v>0.315</v>
      </c>
      <c r="X65" s="16">
        <f>IF(ISNA(VLOOKUP(A65,'Données projet'!$A$35:$I$55,6,0)),0%,VLOOKUP(A65,'Données projet'!$A$35:$I$55,6,0)*VLOOKUP('Données projet'!$B$9,Paramètres!$A$1:$I$89,7,0))</f>
        <v>7.5600000000000001E-2</v>
      </c>
      <c r="Y65" s="16">
        <f>IF(ISNA(VLOOKUP(A65,'Données projet'!$A$35:$I$55,7,0)),0%,VLOOKUP(A65,'Données projet'!$A$35:$I$55,7,0))</f>
        <v>0.13200000000000001</v>
      </c>
      <c r="Z65" s="21">
        <f>EXP(-LN(2)/35)*Z64+(1-EXP(-LN(2)/35))/(LN(2)/35)*V65*W65*VLOOKUP('Données projet'!$B$9,Paramètres!$A$1:$I$89,3,0)*0.475*44/12</f>
        <v>137.74359686103142</v>
      </c>
      <c r="AA65" s="21">
        <f>EXP(-LN(2)/25)*AA64+(1-EXP(-LN(2)/25))/(LN(2)/25)*Calculateur!V65*Calculateur!X65*VLOOKUP('Données projet'!$B$9,Paramètres!$A$1:$I$89,3,0)*0.475*44/12</f>
        <v>32.677419462703568</v>
      </c>
      <c r="AB65" s="21">
        <f>EXP(-LN(2)/2)*AB64+(1-EXP(-LN(2)/2))/(LN(2)/2)*V65*Y65*VLOOKUP('Données projet'!$B$9,Paramètres!$A$1:$I$89,3,0)*0.475*44/12</f>
        <v>36.658060327914548</v>
      </c>
      <c r="AC65" s="22">
        <f t="shared" si="3"/>
        <v>207.07907665164953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>
        <f>VLOOKUP(A65,'Données projet'!$A$61:$I$81,2,0)</f>
        <v>194</v>
      </c>
      <c r="AG65" s="12">
        <f>VLOOKUP(A65,'Données projet'!$A$61:$I$81,9,0)</f>
        <v>7.75</v>
      </c>
      <c r="AH65" s="12">
        <f t="array" ref="AH65">INDEX(AG:AG,MIN(IF(ISNUMBER(AG65:AG261),ROW(AG65:AG261),"")))</f>
        <v>7.75</v>
      </c>
      <c r="AI65" s="13">
        <f>IF('Données projet'!$A$62&gt;35,AI64+AH65-AQ64,IF(A65&lt;'Données projet'!$A$62,$AF$205^A65,IF(A65='Données projet'!$A$62,'Données projet'!$B$62,AI64+AH65-AQ64)))</f>
        <v>194.00000000000017</v>
      </c>
      <c r="AJ65" s="13">
        <f>AI65*VLOOKUP('Données projet'!$B$10,Paramètres!$A$1:$I$89,3,0)*VLOOKUP('Données projet'!$B$10,Paramètres!$A$1:$I$89,5,0)</f>
        <v>175.53120000000015</v>
      </c>
      <c r="AK65" s="13">
        <f t="shared" si="35"/>
        <v>44.326510481422531</v>
      </c>
      <c r="AL65" s="20">
        <f t="shared" si="4"/>
        <v>382.9188457551445</v>
      </c>
      <c r="AM65" s="59">
        <f t="shared" si="5"/>
        <v>676.25217908847776</v>
      </c>
      <c r="AN65" s="59">
        <f ca="1">AVERAGE(OFFSET($AM$3,0,0,'Données projet'!$E$10+1,1))-AVERAGE(OFFSET($H$3,0,0,'Données projet'!$E$10+1,1))</f>
        <v>215.7418266360167</v>
      </c>
      <c r="AO65" s="59">
        <f t="shared" si="36"/>
        <v>155.78420008229949</v>
      </c>
      <c r="AP65" s="15">
        <f>IF(ISNA(VLOOKUP(A65,'Données projet'!$A$61:$I$81,3,0)),0,VLOOKUP(A65,'Données projet'!$A$61:$I$81,3,0))</f>
        <v>5</v>
      </c>
      <c r="AQ65" s="15">
        <f>IF(ISNA(VLOOKUP(A65,'Données projet'!$A$61:$I$81,4,0)),0,VLOOKUP(A65,'Données projet'!$A$61:$I$81,4,0))</f>
        <v>39</v>
      </c>
      <c r="AR65" s="16">
        <f>IF(ISNA(VLOOKUP(A65,'Données projet'!$A$61:$I$81,5,0)),0%,VLOOKUP(A65,'Données projet'!$A$61:$I$81,5,0)*VLOOKUP('Données projet'!$B$10,Paramètres!$A$1:$I$89,7,0))</f>
        <v>0.30099999999999999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19.70734188169741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19.70734188169741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6.625</v>
      </c>
      <c r="BD65" s="12">
        <f>IF('Données projet'!$A$88&gt;35,BD64+BC65-BL64,IF(A65&lt;'Données projet'!$A$88,$BA$205^A65,IF(A65='Données projet'!$A$88,'Données projet'!$B$88,BD64+BC65-BL64)))</f>
        <v>141.75</v>
      </c>
      <c r="BE65" s="13">
        <f>BD65*VLOOKUP('Données projet'!$B$11,Paramètres!$A$1:$I$89,3,0)*VLOOKUP('Données projet'!$B$11,Paramètres!$A$1:$I$89,5,0)</f>
        <v>143.7345</v>
      </c>
      <c r="BF65" s="13">
        <f t="shared" si="37"/>
        <v>37.151211820512735</v>
      </c>
      <c r="BG65" s="20">
        <f t="shared" si="7"/>
        <v>315.04261475405968</v>
      </c>
      <c r="BH65" s="59">
        <f t="shared" si="8"/>
        <v>608.375948087393</v>
      </c>
      <c r="BI65" s="59">
        <f ca="1">AVERAGE(OFFSET($BH$3,0,0,'Données projet'!$E$11+1,1))-AVERAGE(OFFSET($H$3,0,0,'Données projet'!$E$11+1,1))</f>
        <v>179.53921263314447</v>
      </c>
      <c r="BJ65" s="59">
        <f t="shared" si="38"/>
        <v>120.81513023281337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22.381733539094633</v>
      </c>
      <c r="BY65" s="12">
        <f>IF('Données projet'!$A$114&gt;35,BY64+BX65-CG64,IF(A65&lt;'Données projet'!$A$114,$BV$205^A65,IF(A65='Données projet'!$A$114,'Données projet'!$B$114,BY64+BX65-CG64)))</f>
        <v>487.41501028806618</v>
      </c>
      <c r="BZ65" s="13">
        <f>BY65*VLOOKUP('Données projet'!$B$12,Paramètres!$A$1:$I$89,3,0)*VLOOKUP('Données projet'!$B$12,Paramètres!$A$1:$I$89,5,0)</f>
        <v>228.11022481481498</v>
      </c>
      <c r="CA65" s="13">
        <f t="shared" si="39"/>
        <v>55.873871956008784</v>
      </c>
      <c r="CB65" s="20">
        <f t="shared" si="10"/>
        <v>494.60563520918475</v>
      </c>
      <c r="CC65" s="59">
        <f t="shared" si="11"/>
        <v>787.93896854251807</v>
      </c>
      <c r="CD65" s="59">
        <f ca="1">AVERAGE(OFFSET($CC$3,0,0,'Données projet'!$E$12+1,1))-AVERAGE(OFFSET($H$3,0,0,'Données projet'!$E$12+1,1))</f>
        <v>310.06530483941287</v>
      </c>
      <c r="CE65" s="59">
        <f t="shared" si="40"/>
        <v>170.13425794309376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46.001039290483092</v>
      </c>
      <c r="CL65" s="21">
        <f>EXP(-LN(2)/25)*CL64+(1-EXP(-LN(2)/25))/(LN(2)/25)*Calculateur!CG65*Calculateur!CI65*VLOOKUP('Données projet'!$B$12,Paramètres!$A$1:$I$89,3,0)*0.475*44/12</f>
        <v>11.961571890566091</v>
      </c>
      <c r="CM65" s="21">
        <f>EXP(-LN(2)/2)*CM64+(1-EXP(-LN(2)/2))/(LN(2)/2)*CG65*CJ65*VLOOKUP('Données projet'!$B$12,Paramètres!$A$1:$I$89,3,0)*0.475*44/12</f>
        <v>3.1732930406591966</v>
      </c>
      <c r="CN65" s="22">
        <f t="shared" si="12"/>
        <v>61.13590422170838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>
        <f>VLOOKUP(A65,'Données projet'!$A$139:$I$159,2,0)</f>
        <v>316</v>
      </c>
      <c r="CR65" s="12">
        <f>VLOOKUP(A65,'Données projet'!$A$139:$I$159,9,0)</f>
        <v>2.625</v>
      </c>
      <c r="CS65" s="12">
        <f t="array" ref="CS65">INDEX(CR:CR,MIN(IF(ISNUMBER(CR65:CR261),ROW(CR65:CR261),"")))</f>
        <v>2.625</v>
      </c>
      <c r="CT65" s="12">
        <f>IF('Données projet'!$A$140&gt;35,CT64+CS65-DB64,IF(A65&lt;'Données projet'!$A$140,$CQ$205^A65,IF(A65='Données projet'!$A$140,'Données projet'!$B$140,CT64+CS65-DB64)))</f>
        <v>316</v>
      </c>
      <c r="CU65" s="17">
        <f>CT65*VLOOKUP('Données projet'!$B$13,Paramètres!$A$1:$I$89,3,0)*VLOOKUP('Données projet'!$B$13,Paramètres!$A$1:$I$89,5,0)</f>
        <v>188.96800000000002</v>
      </c>
      <c r="CV65" s="13">
        <f t="shared" si="41"/>
        <v>47.311720031947068</v>
      </c>
      <c r="CW65" s="20">
        <f t="shared" si="13"/>
        <v>411.52051238897451</v>
      </c>
      <c r="CX65" s="59">
        <f t="shared" si="14"/>
        <v>704.85384572230782</v>
      </c>
      <c r="CY65" s="59">
        <f ca="1">AVERAGE(OFFSET($CX$3,0,0,'Données projet'!$E$13+1,1))-AVERAGE(OFFSET($H$3,0,0,'Données projet'!$E$13+1,1))</f>
        <v>168.08890945052406</v>
      </c>
      <c r="CZ65" s="59">
        <f t="shared" si="42"/>
        <v>182.52462557642343</v>
      </c>
      <c r="DA65" s="15" t="str">
        <f>IF(ISNA(VLOOKUP(A65,'Données projet'!$A$139:$I$159,3,0)),0,VLOOKUP(A65,'Données projet'!$A$139:$I$159,3,0))</f>
        <v>CR</v>
      </c>
      <c r="DB65" s="15">
        <f>IF(ISNA(VLOOKUP(A65,'Données projet'!$A$139:$I$159,4,0)),0,VLOOKUP(A65,'Données projet'!$A$139:$I$159,4,0))</f>
        <v>316</v>
      </c>
      <c r="DC65" s="16">
        <f>IF(ISNA(VLOOKUP(A65,'Données projet'!$A$139:$I$159,5,0)),0%,VLOOKUP(A65,'Données projet'!$A$139:$I$159,5,0)*VLOOKUP('Données projet'!$B$13,Paramètres!$A$1:$I$89,7,0))</f>
        <v>0.315</v>
      </c>
      <c r="DD65" s="16">
        <f>IF(ISNA(VLOOKUP(A65,'Données projet'!$A$139:$I$159,6,0)),0%,VLOOKUP(A65,'Données projet'!$A$139:$I$159,6,0)*VLOOKUP('Données projet'!$B$13,Paramètres!$A$1:$I$89,7,0))</f>
        <v>7.5600000000000001E-2</v>
      </c>
      <c r="DE65" s="16">
        <f>IF(ISNA(VLOOKUP(A65,'Données projet'!$A$139:$I$159,7,0)),0%,VLOOKUP(A65,'Données projet'!$A$139:$I$159,7,0))</f>
        <v>0.13200000000000001</v>
      </c>
      <c r="DF65" s="21">
        <f>EXP(-LN(2)/35)*DF64+(1-EXP(-LN(2)/35))/(LN(2)/35)*DB65*DC65*VLOOKUP('Données projet'!$B$13,Paramètres!$A$1:$I$89,3,0)*0.475*44/12</f>
        <v>108.99370799218396</v>
      </c>
      <c r="DG65" s="21">
        <f>EXP(-LN(2)/25)*DG64+(1-EXP(-LN(2)/25))/(LN(2)/25)*Calculateur!DB65*Calculateur!DD65*VLOOKUP('Données projet'!$B$13,Paramètres!$A$1:$I$89,3,0)*0.475*44/12</f>
        <v>27.010700611807614</v>
      </c>
      <c r="DH65" s="21">
        <f>EXP(-LN(2)/2)*DH64+(1-EXP(-LN(2)/2))/(LN(2)/2)*DB65*DE65*VLOOKUP('Données projet'!$B$13,Paramètres!$A$1:$I$89,3,0)*0.475*44/12</f>
        <v>28.343720042773985</v>
      </c>
      <c r="DI65" s="22">
        <f t="shared" si="15"/>
        <v>164.34812864676556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-2.2737367544323206E-13</v>
      </c>
      <c r="DP65" s="17">
        <f>DO65*VLOOKUP('Données projet'!$B$14,Paramètres!$A$1:$I$89,3,0)*VLOOKUP('Données projet'!$B$14,Paramètres!$A$1:$I$89,5,0)</f>
        <v>-1.2710188457276673E-13</v>
      </c>
      <c r="DQ65" s="13" t="e">
        <f t="shared" si="43"/>
        <v>#NUM!</v>
      </c>
      <c r="DR65" s="20" t="e">
        <f t="shared" si="16"/>
        <v>#NUM!</v>
      </c>
      <c r="DS65" s="59" t="e">
        <f t="shared" si="17"/>
        <v>#NUM!</v>
      </c>
      <c r="DT65" s="59">
        <f ca="1">AVERAGE(OFFSET($DS$3,0,0,'Données projet'!$E$14+1,1))-AVERAGE(OFFSET($H$3,0,0,'Données projet'!$E$14+1,1))</f>
        <v>355.23615781077405</v>
      </c>
      <c r="DU65" s="59">
        <f t="shared" si="44"/>
        <v>448.84541017639367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248.73385639832992</v>
      </c>
      <c r="EB65" s="21">
        <f>EXP(-LN(2)/25)*EB64+(1-EXP(-LN(2)/25))/(LN(2)/25)*Calculateur!DW65*Calculateur!DY65*VLOOKUP('Données projet'!$B$14,Paramètres!$A$1:$I$89,3,0)*0.475*44/12</f>
        <v>60.949183179333936</v>
      </c>
      <c r="EC65" s="21">
        <f>EXP(-LN(2)/2)*EC64+(1-EXP(-LN(2)/2))/(LN(2)/2)*DW65*DZ65*VLOOKUP('Données projet'!$B$14,Paramètres!$A$1:$I$89,3,0)*0.475*44/12</f>
        <v>28.160425197654629</v>
      </c>
      <c r="ED65" s="22">
        <f t="shared" si="18"/>
        <v>337.84346477531847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5.2999999999999989</v>
      </c>
      <c r="EJ65" s="12">
        <f>IF('Données projet'!$A$192&gt;35,EJ64+EI65-ER64,IF(A65&lt;'Données projet'!$A$192,$EG$205^A65,IF(A65='Données projet'!$A$192,'Données projet'!$B$192,EJ64+EI65-ER64)))</f>
        <v>113.39999999999996</v>
      </c>
      <c r="EK65" s="17">
        <f>EJ65*VLOOKUP('Données projet'!$B$15,Paramètres!$A$1:$I$89,3,0)*VLOOKUP('Données projet'!$B$15,Paramètres!$A$1:$I$89,5,0)</f>
        <v>122.06375999999995</v>
      </c>
      <c r="EL65" s="13">
        <f t="shared" si="45"/>
        <v>32.155858696268126</v>
      </c>
      <c r="EM65" s="20">
        <f t="shared" si="19"/>
        <v>268.59916922933354</v>
      </c>
      <c r="EN65" s="59">
        <f t="shared" si="20"/>
        <v>561.93250256266685</v>
      </c>
      <c r="EO65" s="59">
        <f ca="1">AVERAGE(OFFSET($EN$3,0,0,'Données projet'!$E$15+1,1))-AVERAGE(OFFSET($H$3,0,0,'Données projet'!$E$15+1,1))</f>
        <v>130.76477588601989</v>
      </c>
      <c r="EP65" s="59">
        <f t="shared" si="46"/>
        <v>94.034011511502172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0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-2.2737367544323206E-13</v>
      </c>
      <c r="FF65" s="17">
        <f>FE65*VLOOKUP('Données projet'!$B$16,Paramètres!$A$1:$I$89,3,0)*VLOOKUP('Données projet'!$B$16,Paramètres!$A$1:$I$89,5,0)</f>
        <v>-1.0345502232667058E-13</v>
      </c>
      <c r="FG65" s="13" t="e">
        <f t="shared" si="47"/>
        <v>#NUM!</v>
      </c>
      <c r="FH65" s="20" t="e">
        <f t="shared" si="22"/>
        <v>#NUM!</v>
      </c>
      <c r="FI65" s="59" t="e">
        <f t="shared" si="23"/>
        <v>#NUM!</v>
      </c>
      <c r="FJ65" s="59">
        <f ca="1">AVERAGE(OFFSET($FI$3,0,0,'Données projet'!$E$16+1,1))-AVERAGE(OFFSET($H$3,0,0,'Données projet'!$E$16+1,1))</f>
        <v>279.43442619866738</v>
      </c>
      <c r="FK65" s="59">
        <f t="shared" si="48"/>
        <v>355.95192241448217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202.45779009166387</v>
      </c>
      <c r="FR65" s="21">
        <f>EXP(-LN(2)/25)*FR64+(1-EXP(-LN(2)/25))/(LN(2)/25)*Calculateur!FM65*Calculateur!FO65*VLOOKUP('Données projet'!$B$16,Paramètres!$A$1:$I$89,3,0)*0.475*44/12</f>
        <v>49.609800262248555</v>
      </c>
      <c r="FS65" s="21">
        <f>EXP(-LN(2)/2)*FS64+(1-EXP(-LN(2)/2))/(LN(2)/2)*FM65*FP65*VLOOKUP('Données projet'!$B$16,Paramètres!$A$1:$I$89,3,0)*0.475*44/12</f>
        <v>22.921276323672373</v>
      </c>
      <c r="FT65" s="22">
        <f t="shared" si="24"/>
        <v>274.98886667758478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-1.1368683772161603E-13</v>
      </c>
      <c r="O66" s="13">
        <f>N66*VLOOKUP('Données projet'!$B$9,Paramètres!$A$1:$I$89,3,0)*VLOOKUP('Données projet'!$B$9,Paramètres!$A$1:$I$89,5,0)</f>
        <v>-6.7984728957526396E-14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227.89848316900191</v>
      </c>
      <c r="T66" s="59">
        <f t="shared" si="34"/>
        <v>239.85955661394541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135.04252894188485</v>
      </c>
      <c r="AA66" s="21">
        <f>EXP(-LN(2)/25)*AA65+(1-EXP(-LN(2)/25))/(LN(2)/25)*Calculateur!V66*Calculateur!X66*VLOOKUP('Données projet'!$B$9,Paramètres!$A$1:$I$89,3,0)*0.475*44/12</f>
        <v>31.783853709065134</v>
      </c>
      <c r="AB66" s="21">
        <f>EXP(-LN(2)/2)*AB65+(1-EXP(-LN(2)/2))/(LN(2)/2)*V66*Y66*VLOOKUP('Données projet'!$B$9,Paramètres!$A$1:$I$89,3,0)*0.475*44/12</f>
        <v>25.921163043013934</v>
      </c>
      <c r="AC66" s="22">
        <f t="shared" si="3"/>
        <v>192.74754569396393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8.125</v>
      </c>
      <c r="AI66" s="13">
        <f>IF('Données projet'!$A$62&gt;35,AI65+AH66-AQ65,IF(A66&lt;'Données projet'!$A$62,$AF$205^A66,IF(A66='Données projet'!$A$62,'Données projet'!$B$62,AI65+AH66-AQ65)))</f>
        <v>163.12500000000017</v>
      </c>
      <c r="AJ66" s="13">
        <f>AI66*VLOOKUP('Données projet'!$B$10,Paramètres!$A$1:$I$89,3,0)*VLOOKUP('Données projet'!$B$10,Paramètres!$A$1:$I$89,5,0)</f>
        <v>147.59550000000016</v>
      </c>
      <c r="AK66" s="13">
        <f t="shared" si="35"/>
        <v>38.031641509673541</v>
      </c>
      <c r="AL66" s="20">
        <f t="shared" si="4"/>
        <v>323.30060479601497</v>
      </c>
      <c r="AM66" s="59">
        <f t="shared" si="5"/>
        <v>616.63393812934828</v>
      </c>
      <c r="AN66" s="59">
        <f ca="1">AVERAGE(OFFSET($AM$3,0,0,'Données projet'!$E$10+1,1))-AVERAGE(OFFSET($H$3,0,0,'Données projet'!$E$10+1,1))</f>
        <v>215.7418266360167</v>
      </c>
      <c r="AO66" s="59">
        <f t="shared" si="36"/>
        <v>155.78420008229949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19.320892927688966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19.320892927688966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6.625</v>
      </c>
      <c r="BD66" s="12">
        <f>IF('Données projet'!$A$88&gt;35,BD65+BC66-BL65,IF(A66&lt;'Données projet'!$A$88,$BA$205^A66,IF(A66='Données projet'!$A$88,'Données projet'!$B$88,BD65+BC66-BL65)))</f>
        <v>148.375</v>
      </c>
      <c r="BE66" s="13">
        <f>BD66*VLOOKUP('Données projet'!$B$11,Paramètres!$A$1:$I$89,3,0)*VLOOKUP('Données projet'!$B$11,Paramètres!$A$1:$I$89,5,0)</f>
        <v>150.45225000000002</v>
      </c>
      <c r="BF66" s="13">
        <f t="shared" si="37"/>
        <v>38.681343042079284</v>
      </c>
      <c r="BG66" s="20">
        <f t="shared" si="7"/>
        <v>329.40767454828807</v>
      </c>
      <c r="BH66" s="59">
        <f t="shared" si="8"/>
        <v>622.74100788162139</v>
      </c>
      <c r="BI66" s="59">
        <f ca="1">AVERAGE(OFFSET($BH$3,0,0,'Données projet'!$E$11+1,1))-AVERAGE(OFFSET($H$3,0,0,'Données projet'!$E$11+1,1))</f>
        <v>179.53921263314447</v>
      </c>
      <c r="BJ66" s="59">
        <f t="shared" si="38"/>
        <v>120.81513023281337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22.381733539094633</v>
      </c>
      <c r="BY66" s="12">
        <f>IF('Données projet'!$A$114&gt;35,BY65+BX66-CG65,IF(A66&lt;'Données projet'!$A$114,$BV$205^A66,IF(A66='Données projet'!$A$114,'Données projet'!$B$114,BY65+BX66-CG65)))</f>
        <v>509.79674382716081</v>
      </c>
      <c r="BZ66" s="13">
        <f>BY66*VLOOKUP('Données projet'!$B$12,Paramètres!$A$1:$I$89,3,0)*VLOOKUP('Données projet'!$B$12,Paramètres!$A$1:$I$89,5,0)</f>
        <v>238.58487611111127</v>
      </c>
      <c r="CA66" s="13">
        <f t="shared" si="39"/>
        <v>58.134954969420363</v>
      </c>
      <c r="CB66" s="20">
        <f t="shared" si="10"/>
        <v>516.78703913192601</v>
      </c>
      <c r="CC66" s="59">
        <f t="shared" si="11"/>
        <v>810.12037246525938</v>
      </c>
      <c r="CD66" s="59">
        <f ca="1">AVERAGE(OFFSET($CC$3,0,0,'Données projet'!$E$12+1,1))-AVERAGE(OFFSET($H$3,0,0,'Données projet'!$E$12+1,1))</f>
        <v>310.06530483941287</v>
      </c>
      <c r="CE66" s="59">
        <f t="shared" si="40"/>
        <v>170.13425794309376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45.098986967860199</v>
      </c>
      <c r="CL66" s="21">
        <f>EXP(-LN(2)/25)*CL65+(1-EXP(-LN(2)/25))/(LN(2)/25)*Calculateur!CG66*Calculateur!CI66*VLOOKUP('Données projet'!$B$12,Paramètres!$A$1:$I$89,3,0)*0.475*44/12</f>
        <v>11.634482078186835</v>
      </c>
      <c r="CM66" s="21">
        <f>EXP(-LN(2)/2)*CM65+(1-EXP(-LN(2)/2))/(LN(2)/2)*CG66*CJ66*VLOOKUP('Données projet'!$B$12,Paramètres!$A$1:$I$89,3,0)*0.475*44/12</f>
        <v>2.2438570277421968</v>
      </c>
      <c r="CN66" s="22">
        <f t="shared" si="12"/>
        <v>58.977326073789229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>
        <f>CT66*VLOOKUP('Données projet'!$B$13,Paramètres!$A$1:$I$89,3,0)*VLOOKUP('Données projet'!$B$13,Paramètres!$A$1:$I$89,5,0)</f>
        <v>0</v>
      </c>
      <c r="CV66" s="13" t="e">
        <f t="shared" si="41"/>
        <v>#NUM!</v>
      </c>
      <c r="CW66" s="20" t="e">
        <f t="shared" si="13"/>
        <v>#NUM!</v>
      </c>
      <c r="CX66" s="59" t="e">
        <f t="shared" si="14"/>
        <v>#NUM!</v>
      </c>
      <c r="CY66" s="59">
        <f ca="1">AVERAGE(OFFSET($CX$3,0,0,'Données projet'!$E$13+1,1))-AVERAGE(OFFSET($H$3,0,0,'Données projet'!$E$13+1,1))</f>
        <v>168.08890945052406</v>
      </c>
      <c r="CZ66" s="59">
        <f t="shared" si="42"/>
        <v>182.52462557642343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106.85640785805479</v>
      </c>
      <c r="DG66" s="21">
        <f>EXP(-LN(2)/25)*DG65+(1-EXP(-LN(2)/25))/(LN(2)/25)*Calculateur!DB66*Calculateur!DD66*VLOOKUP('Données projet'!$B$13,Paramètres!$A$1:$I$89,3,0)*0.475*44/12</f>
        <v>26.272091583146725</v>
      </c>
      <c r="DH66" s="21">
        <f>EXP(-LN(2)/2)*DH65+(1-EXP(-LN(2)/2))/(LN(2)/2)*DB66*DE66*VLOOKUP('Données projet'!$B$13,Paramètres!$A$1:$I$89,3,0)*0.475*44/12</f>
        <v>20.042036646298548</v>
      </c>
      <c r="DI66" s="22">
        <f t="shared" si="15"/>
        <v>153.17053608750007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-2.2737367544323206E-13</v>
      </c>
      <c r="DP66" s="17">
        <f>DO66*VLOOKUP('Données projet'!$B$14,Paramètres!$A$1:$I$89,3,0)*VLOOKUP('Données projet'!$B$14,Paramètres!$A$1:$I$89,5,0)</f>
        <v>-1.2710188457276673E-13</v>
      </c>
      <c r="DQ66" s="13" t="e">
        <f t="shared" si="43"/>
        <v>#NUM!</v>
      </c>
      <c r="DR66" s="20" t="e">
        <f t="shared" si="16"/>
        <v>#NUM!</v>
      </c>
      <c r="DS66" s="59" t="e">
        <f t="shared" si="17"/>
        <v>#NUM!</v>
      </c>
      <c r="DT66" s="59">
        <f ca="1">AVERAGE(OFFSET($DS$3,0,0,'Données projet'!$E$14+1,1))-AVERAGE(OFFSET($H$3,0,0,'Données projet'!$E$14+1,1))</f>
        <v>355.23615781077405</v>
      </c>
      <c r="DU66" s="59">
        <f t="shared" si="44"/>
        <v>448.84541017639367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243.8563371870307</v>
      </c>
      <c r="EB66" s="21">
        <f>EXP(-LN(2)/25)*EB65+(1-EXP(-LN(2)/25))/(LN(2)/25)*Calculateur!DW66*Calculateur!DY66*VLOOKUP('Données projet'!$B$14,Paramètres!$A$1:$I$89,3,0)*0.475*44/12</f>
        <v>59.282524560116805</v>
      </c>
      <c r="EC66" s="21">
        <f>EXP(-LN(2)/2)*EC65+(1-EXP(-LN(2)/2))/(LN(2)/2)*DW66*DZ66*VLOOKUP('Données projet'!$B$14,Paramètres!$A$1:$I$89,3,0)*0.475*44/12</f>
        <v>19.912427618358112</v>
      </c>
      <c r="ED66" s="22">
        <f t="shared" si="18"/>
        <v>323.05128936550562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5.2999999999999989</v>
      </c>
      <c r="EJ66" s="12">
        <f>IF('Données projet'!$A$192&gt;35,EJ65+EI66-ER65,IF(A66&lt;'Données projet'!$A$192,$EG$205^A66,IF(A66='Données projet'!$A$192,'Données projet'!$B$192,EJ65+EI66-ER65)))</f>
        <v>118.69999999999996</v>
      </c>
      <c r="EK66" s="17">
        <f>EJ66*VLOOKUP('Données projet'!$B$15,Paramètres!$A$1:$I$89,3,0)*VLOOKUP('Données projet'!$B$15,Paramètres!$A$1:$I$89,5,0)</f>
        <v>127.76867999999995</v>
      </c>
      <c r="EL66" s="13">
        <f t="shared" si="45"/>
        <v>33.480248425064914</v>
      </c>
      <c r="EM66" s="20">
        <f t="shared" si="19"/>
        <v>280.84188367365465</v>
      </c>
      <c r="EN66" s="59">
        <f t="shared" si="20"/>
        <v>574.17521700698796</v>
      </c>
      <c r="EO66" s="59">
        <f ca="1">AVERAGE(OFFSET($EN$3,0,0,'Données projet'!$E$15+1,1))-AVERAGE(OFFSET($H$3,0,0,'Données projet'!$E$15+1,1))</f>
        <v>130.76477588601989</v>
      </c>
      <c r="EP66" s="59">
        <f t="shared" si="46"/>
        <v>94.034011511502172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0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-2.2737367544323206E-13</v>
      </c>
      <c r="FF66" s="17">
        <f>FE66*VLOOKUP('Données projet'!$B$16,Paramètres!$A$1:$I$89,3,0)*VLOOKUP('Données projet'!$B$16,Paramètres!$A$1:$I$89,5,0)</f>
        <v>-1.0345502232667058E-13</v>
      </c>
      <c r="FG66" s="13" t="e">
        <f t="shared" si="47"/>
        <v>#NUM!</v>
      </c>
      <c r="FH66" s="20" t="e">
        <f t="shared" si="22"/>
        <v>#NUM!</v>
      </c>
      <c r="FI66" s="59" t="e">
        <f t="shared" si="23"/>
        <v>#NUM!</v>
      </c>
      <c r="FJ66" s="59">
        <f ca="1">AVERAGE(OFFSET($FI$3,0,0,'Données projet'!$E$16+1,1))-AVERAGE(OFFSET($H$3,0,0,'Données projet'!$E$16+1,1))</f>
        <v>279.43442619866738</v>
      </c>
      <c r="FK66" s="59">
        <f t="shared" si="48"/>
        <v>355.95192241448217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198.48771631502495</v>
      </c>
      <c r="FR66" s="21">
        <f>EXP(-LN(2)/25)*FR65+(1-EXP(-LN(2)/25))/(LN(2)/25)*Calculateur!FM66*Calculateur!FO66*VLOOKUP('Données projet'!$B$16,Paramètres!$A$1:$I$89,3,0)*0.475*44/12</f>
        <v>48.253217665211359</v>
      </c>
      <c r="FS66" s="21">
        <f>EXP(-LN(2)/2)*FS65+(1-EXP(-LN(2)/2))/(LN(2)/2)*FM66*FP66*VLOOKUP('Données projet'!$B$16,Paramètres!$A$1:$I$89,3,0)*0.475*44/12</f>
        <v>16.207789921919396</v>
      </c>
      <c r="FT66" s="22">
        <f t="shared" si="24"/>
        <v>262.94872390215573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-1.1368683772161603E-13</v>
      </c>
      <c r="O67" s="13">
        <f>N67*VLOOKUP('Données projet'!$B$9,Paramètres!$A$1:$I$89,3,0)*VLOOKUP('Données projet'!$B$9,Paramètres!$A$1:$I$89,5,0)</f>
        <v>-6.7984728957526396E-14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227.89848316900191</v>
      </c>
      <c r="T67" s="59">
        <f t="shared" si="34"/>
        <v>239.85955661394541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132.39442731714399</v>
      </c>
      <c r="AA67" s="21">
        <f>EXP(-LN(2)/25)*AA66+(1-EXP(-LN(2)/25))/(LN(2)/25)*Calculateur!V67*Calculateur!X67*VLOOKUP('Données projet'!$B$9,Paramètres!$A$1:$I$89,3,0)*0.475*44/12</f>
        <v>30.914722557950526</v>
      </c>
      <c r="AB67" s="21">
        <f>EXP(-LN(2)/2)*AB66+(1-EXP(-LN(2)/2))/(LN(2)/2)*V67*Y67*VLOOKUP('Données projet'!$B$9,Paramètres!$A$1:$I$89,3,0)*0.475*44/12</f>
        <v>18.329030163957277</v>
      </c>
      <c r="AC67" s="22">
        <f t="shared" si="3"/>
        <v>181.6381800390518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8.125</v>
      </c>
      <c r="AI67" s="13">
        <f>IF('Données projet'!$A$62&gt;35,AI66+AH67-AQ66,IF(A67&lt;'Données projet'!$A$62,$AF$205^A67,IF(A67='Données projet'!$A$62,'Données projet'!$B$62,AI66+AH67-AQ66)))</f>
        <v>171.25000000000017</v>
      </c>
      <c r="AJ67" s="13">
        <f>AI67*VLOOKUP('Données projet'!$B$10,Paramètres!$A$1:$I$89,3,0)*VLOOKUP('Données projet'!$B$10,Paramètres!$A$1:$I$89,5,0)</f>
        <v>154.94700000000014</v>
      </c>
      <c r="AK67" s="13">
        <f t="shared" si="35"/>
        <v>39.700677278097231</v>
      </c>
      <c r="AL67" s="20">
        <f t="shared" si="4"/>
        <v>339.01137125935287</v>
      </c>
      <c r="AM67" s="59">
        <f t="shared" si="5"/>
        <v>632.34470459268618</v>
      </c>
      <c r="AN67" s="59">
        <f ca="1">AVERAGE(OFFSET($AM$3,0,0,'Données projet'!$E$10+1,1))-AVERAGE(OFFSET($H$3,0,0,'Données projet'!$E$10+1,1))</f>
        <v>215.7418266360167</v>
      </c>
      <c r="AO67" s="59">
        <f t="shared" si="36"/>
        <v>155.78420008229949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18.942022001958041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18.942022001958041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>
        <f>VLOOKUP(A67,'Données projet'!$A$87:$I$107,2,0)</f>
        <v>155</v>
      </c>
      <c r="BB67" s="12">
        <f>VLOOKUP(A67,'Données projet'!$A$87:$I$107,9,0)</f>
        <v>6.625</v>
      </c>
      <c r="BC67" s="12">
        <f t="array" ref="BC67">INDEX(BB:BB,MIN(IF(ISNUMBER(BB67:BB263),ROW(BB67:BB263),"")))</f>
        <v>6.625</v>
      </c>
      <c r="BD67" s="12">
        <f>IF('Données projet'!$A$88&gt;35,BD66+BC67-BL66,IF(A67&lt;'Données projet'!$A$88,$BA$205^A67,IF(A67='Données projet'!$A$88,'Données projet'!$B$88,BD66+BC67-BL66)))</f>
        <v>155</v>
      </c>
      <c r="BE67" s="13">
        <f>BD67*VLOOKUP('Données projet'!$B$11,Paramètres!$A$1:$I$89,3,0)*VLOOKUP('Données projet'!$B$11,Paramètres!$A$1:$I$89,5,0)</f>
        <v>157.17000000000002</v>
      </c>
      <c r="BF67" s="13">
        <f t="shared" si="37"/>
        <v>40.203539552443232</v>
      </c>
      <c r="BG67" s="20">
        <f t="shared" si="7"/>
        <v>343.75891472050535</v>
      </c>
      <c r="BH67" s="59">
        <f t="shared" si="8"/>
        <v>637.0922480538386</v>
      </c>
      <c r="BI67" s="59">
        <f ca="1">AVERAGE(OFFSET($BH$3,0,0,'Données projet'!$E$11+1,1))-AVERAGE(OFFSET($H$3,0,0,'Données projet'!$E$11+1,1))</f>
        <v>179.53921263314447</v>
      </c>
      <c r="BJ67" s="59">
        <f t="shared" si="38"/>
        <v>120.81513023281337</v>
      </c>
      <c r="BK67" s="15">
        <f>IF(ISNA(VLOOKUP(A67,'Données projet'!$A$87:$I$107,3,0)),0,VLOOKUP(A67,'Données projet'!$A$87:$I$107,3,0))</f>
        <v>4</v>
      </c>
      <c r="BL67" s="15">
        <f>IF(ISNA(VLOOKUP(A67,'Données projet'!$A$87:$I$107,4,0)),0,VLOOKUP(A67,'Données projet'!$A$87:$I$107,4,0))</f>
        <v>41</v>
      </c>
      <c r="BM67" s="16">
        <f>IF(ISNA(VLOOKUP(A67,'Données projet'!$A$87:$I$107,5,0)),0%,VLOOKUP(A67,'Données projet'!$A$87:$I$107,5,0)*VLOOKUP('Données projet'!$B$11,Paramètres!$A$1:$I$89,7,0))</f>
        <v>0.30099999999999999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13.833606493169563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13.833606493169563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22.381733539094633</v>
      </c>
      <c r="BY67" s="12">
        <f>IF('Données projet'!$A$114&gt;35,BY66+BX67-CG66,IF(A67&lt;'Données projet'!$A$114,$BV$205^A67,IF(A67='Données projet'!$A$114,'Données projet'!$B$114,BY66+BX67-CG66)))</f>
        <v>532.17847736625549</v>
      </c>
      <c r="BZ67" s="13">
        <f>BY67*VLOOKUP('Données projet'!$B$12,Paramètres!$A$1:$I$89,3,0)*VLOOKUP('Données projet'!$B$12,Paramètres!$A$1:$I$89,5,0)</f>
        <v>249.05952740740759</v>
      </c>
      <c r="CA67" s="13">
        <f t="shared" si="39"/>
        <v>60.384508647210652</v>
      </c>
      <c r="CB67" s="20">
        <f t="shared" si="10"/>
        <v>538.94836279512663</v>
      </c>
      <c r="CC67" s="59">
        <f t="shared" si="11"/>
        <v>832.28169612846</v>
      </c>
      <c r="CD67" s="59">
        <f ca="1">AVERAGE(OFFSET($CC$3,0,0,'Données projet'!$E$12+1,1))-AVERAGE(OFFSET($H$3,0,0,'Données projet'!$E$12+1,1))</f>
        <v>310.06530483941287</v>
      </c>
      <c r="CE67" s="59">
        <f t="shared" si="40"/>
        <v>170.13425794309376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44.214623341086352</v>
      </c>
      <c r="CL67" s="21">
        <f>EXP(-LN(2)/25)*CL66+(1-EXP(-LN(2)/25))/(LN(2)/25)*Calculateur!CG67*Calculateur!CI67*VLOOKUP('Données projet'!$B$12,Paramètres!$A$1:$I$89,3,0)*0.475*44/12</f>
        <v>11.316336553927995</v>
      </c>
      <c r="CM67" s="21">
        <f>EXP(-LN(2)/2)*CM66+(1-EXP(-LN(2)/2))/(LN(2)/2)*CG67*CJ67*VLOOKUP('Données projet'!$B$12,Paramètres!$A$1:$I$89,3,0)*0.475*44/12</f>
        <v>1.5866465203295985</v>
      </c>
      <c r="CN67" s="22">
        <f t="shared" si="12"/>
        <v>57.11760641534395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>
        <f>CT67*VLOOKUP('Données projet'!$B$13,Paramètres!$A$1:$I$89,3,0)*VLOOKUP('Données projet'!$B$13,Paramètres!$A$1:$I$89,5,0)</f>
        <v>0</v>
      </c>
      <c r="CV67" s="13" t="e">
        <f t="shared" si="41"/>
        <v>#NUM!</v>
      </c>
      <c r="CW67" s="20" t="e">
        <f t="shared" si="13"/>
        <v>#NUM!</v>
      </c>
      <c r="CX67" s="59" t="e">
        <f t="shared" si="14"/>
        <v>#NUM!</v>
      </c>
      <c r="CY67" s="59">
        <f ca="1">AVERAGE(OFFSET($CX$3,0,0,'Données projet'!$E$13+1,1))-AVERAGE(OFFSET($H$3,0,0,'Données projet'!$E$13+1,1))</f>
        <v>168.08890945052406</v>
      </c>
      <c r="CZ67" s="59">
        <f t="shared" si="42"/>
        <v>182.52462557642343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104.76101887593154</v>
      </c>
      <c r="DG67" s="21">
        <f>EXP(-LN(2)/25)*DG66+(1-EXP(-LN(2)/25))/(LN(2)/25)*Calculateur!DB67*Calculateur!DD67*VLOOKUP('Données projet'!$B$13,Paramètres!$A$1:$I$89,3,0)*0.475*44/12</f>
        <v>25.553679857216327</v>
      </c>
      <c r="DH67" s="21">
        <f>EXP(-LN(2)/2)*DH66+(1-EXP(-LN(2)/2))/(LN(2)/2)*DB67*DE67*VLOOKUP('Données projet'!$B$13,Paramètres!$A$1:$I$89,3,0)*0.475*44/12</f>
        <v>14.171860021386996</v>
      </c>
      <c r="DI67" s="22">
        <f t="shared" si="15"/>
        <v>144.48655875453488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-2.2737367544323206E-13</v>
      </c>
      <c r="DP67" s="17">
        <f>DO67*VLOOKUP('Données projet'!$B$14,Paramètres!$A$1:$I$89,3,0)*VLOOKUP('Données projet'!$B$14,Paramètres!$A$1:$I$89,5,0)</f>
        <v>-1.2710188457276673E-13</v>
      </c>
      <c r="DQ67" s="13" t="e">
        <f t="shared" si="43"/>
        <v>#NUM!</v>
      </c>
      <c r="DR67" s="20" t="e">
        <f t="shared" si="16"/>
        <v>#NUM!</v>
      </c>
      <c r="DS67" s="59" t="e">
        <f t="shared" si="17"/>
        <v>#NUM!</v>
      </c>
      <c r="DT67" s="59">
        <f ca="1">AVERAGE(OFFSET($DS$3,0,0,'Données projet'!$E$14+1,1))-AVERAGE(OFFSET($H$3,0,0,'Données projet'!$E$14+1,1))</f>
        <v>355.23615781077405</v>
      </c>
      <c r="DU67" s="59">
        <f t="shared" si="44"/>
        <v>448.84541017639367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239.07446315247208</v>
      </c>
      <c r="EB67" s="21">
        <f>EXP(-LN(2)/25)*EB66+(1-EXP(-LN(2)/25))/(LN(2)/25)*Calculateur!DW67*Calculateur!DY67*VLOOKUP('Données projet'!$B$14,Paramètres!$A$1:$I$89,3,0)*0.475*44/12</f>
        <v>57.661440808487939</v>
      </c>
      <c r="EC67" s="21">
        <f>EXP(-LN(2)/2)*EC66+(1-EXP(-LN(2)/2))/(LN(2)/2)*DW67*DZ67*VLOOKUP('Données projet'!$B$14,Paramètres!$A$1:$I$89,3,0)*0.475*44/12</f>
        <v>14.080212598827316</v>
      </c>
      <c r="ED67" s="22">
        <f t="shared" si="18"/>
        <v>310.8161165597873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>
        <f>VLOOKUP(A67,'Données projet'!$A$191:$I$211,2,0)</f>
        <v>124</v>
      </c>
      <c r="EH67" s="12">
        <f>VLOOKUP(A67,'Données projet'!$A$191:$I$211,9,0)</f>
        <v>5.2999999999999989</v>
      </c>
      <c r="EI67" s="12">
        <f t="array" ref="EI67">INDEX(EH:EH,MIN(IF(ISNUMBER(EH67:EH263),ROW(EH67:EH263),"")))</f>
        <v>5.2999999999999989</v>
      </c>
      <c r="EJ67" s="12">
        <f>IF('Données projet'!$A$192&gt;35,EJ66+EI67-ER66,IF(A67&lt;'Données projet'!$A$192,$EG$205^A67,IF(A67='Données projet'!$A$192,'Données projet'!$B$192,EJ66+EI67-ER66)))</f>
        <v>123.99999999999996</v>
      </c>
      <c r="EK67" s="17">
        <f>EJ67*VLOOKUP('Données projet'!$B$15,Paramètres!$A$1:$I$89,3,0)*VLOOKUP('Données projet'!$B$15,Paramètres!$A$1:$I$89,5,0)</f>
        <v>133.47359999999995</v>
      </c>
      <c r="EL67" s="13">
        <f t="shared" si="45"/>
        <v>34.797770344180101</v>
      </c>
      <c r="EM67" s="20">
        <f t="shared" si="19"/>
        <v>293.07263668278023</v>
      </c>
      <c r="EN67" s="59">
        <f t="shared" si="20"/>
        <v>586.40597001611354</v>
      </c>
      <c r="EO67" s="59">
        <f ca="1">AVERAGE(OFFSET($EN$3,0,0,'Données projet'!$E$15+1,1))-AVERAGE(OFFSET($H$3,0,0,'Données projet'!$E$15+1,1))</f>
        <v>130.76477588601989</v>
      </c>
      <c r="EP67" s="59">
        <f t="shared" si="46"/>
        <v>94.034011511502172</v>
      </c>
      <c r="EQ67" s="15">
        <f>IF(ISNA(VLOOKUP(A67,'Données projet'!$A$191:$I$211,3,0)),0,VLOOKUP(A67,'Données projet'!$A$191:$I$211,3,0))</f>
        <v>4</v>
      </c>
      <c r="ER67" s="15">
        <f>IF(ISNA(VLOOKUP(A67,'Données projet'!$A$191:$I$211,4,0)),0,VLOOKUP(A67,'Données projet'!$A$191:$I$211,4,0))</f>
        <v>32.800000000000004</v>
      </c>
      <c r="ES67" s="16">
        <f>IF(ISNA(VLOOKUP(A67,'Données projet'!$A$191:$I$211,5,0)),0%,VLOOKUP(A67,'Données projet'!$A$191:$I$211,5,0)*VLOOKUP('Données projet'!$B$15,Paramètres!$A$1:$I$89,7,0))</f>
        <v>0.30099999999999999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11.747924283430152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11.747924283430152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-2.2737367544323206E-13</v>
      </c>
      <c r="FF67" s="17">
        <f>FE67*VLOOKUP('Données projet'!$B$16,Paramètres!$A$1:$I$89,3,0)*VLOOKUP('Données projet'!$B$16,Paramètres!$A$1:$I$89,5,0)</f>
        <v>-1.0345502232667058E-13</v>
      </c>
      <c r="FG67" s="13" t="e">
        <f t="shared" si="47"/>
        <v>#NUM!</v>
      </c>
      <c r="FH67" s="20" t="e">
        <f t="shared" si="22"/>
        <v>#NUM!</v>
      </c>
      <c r="FI67" s="59" t="e">
        <f t="shared" si="23"/>
        <v>#NUM!</v>
      </c>
      <c r="FJ67" s="59">
        <f ca="1">AVERAGE(OFFSET($FI$3,0,0,'Données projet'!$E$16+1,1))-AVERAGE(OFFSET($H$3,0,0,'Données projet'!$E$16+1,1))</f>
        <v>279.43442619866738</v>
      </c>
      <c r="FK67" s="59">
        <f t="shared" si="48"/>
        <v>355.95192241448217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194.59549326364004</v>
      </c>
      <c r="FR67" s="21">
        <f>EXP(-LN(2)/25)*FR66+(1-EXP(-LN(2)/25))/(LN(2)/25)*Calculateur!FM67*Calculateur!FO67*VLOOKUP('Données projet'!$B$16,Paramètres!$A$1:$I$89,3,0)*0.475*44/12</f>
        <v>46.933730890629725</v>
      </c>
      <c r="FS67" s="21">
        <f>EXP(-LN(2)/2)*FS66+(1-EXP(-LN(2)/2))/(LN(2)/2)*FM67*FP67*VLOOKUP('Données projet'!$B$16,Paramètres!$A$1:$I$89,3,0)*0.475*44/12</f>
        <v>11.46063816183619</v>
      </c>
      <c r="FT67" s="22">
        <f t="shared" si="24"/>
        <v>252.98986231610596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-1.1368683772161603E-13</v>
      </c>
      <c r="O68" s="13">
        <f>N68*VLOOKUP('Données projet'!$B$9,Paramètres!$A$1:$I$89,3,0)*VLOOKUP('Données projet'!$B$9,Paramètres!$A$1:$I$89,5,0)</f>
        <v>-6.7984728957526396E-14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227.89848316900191</v>
      </c>
      <c r="T68" s="59">
        <f t="shared" si="34"/>
        <v>239.85955661394541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129.79825335008181</v>
      </c>
      <c r="AA68" s="21">
        <f>EXP(-LN(2)/25)*AA67+(1-EXP(-LN(2)/25))/(LN(2)/25)*Calculateur!V68*Calculateur!X68*VLOOKUP('Données projet'!$B$9,Paramètres!$A$1:$I$89,3,0)*0.475*44/12</f>
        <v>30.069357843868765</v>
      </c>
      <c r="AB68" s="21">
        <f>EXP(-LN(2)/2)*AB67+(1-EXP(-LN(2)/2))/(LN(2)/2)*V68*Y68*VLOOKUP('Données projet'!$B$9,Paramètres!$A$1:$I$89,3,0)*0.475*44/12</f>
        <v>12.960581521506969</v>
      </c>
      <c r="AC68" s="22">
        <f t="shared" ref="AC68:AC131" si="57">SUM(Z68:AB68)</f>
        <v>172.82819271545756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8.125</v>
      </c>
      <c r="AI68" s="13">
        <f>IF('Données projet'!$A$62&gt;35,AI67+AH68-AQ67,IF(A68&lt;'Données projet'!$A$62,$AF$205^A68,IF(A68='Données projet'!$A$62,'Données projet'!$B$62,AI67+AH68-AQ67)))</f>
        <v>179.37500000000017</v>
      </c>
      <c r="AJ68" s="13">
        <f>AI68*VLOOKUP('Données projet'!$B$10,Paramètres!$A$1:$I$89,3,0)*VLOOKUP('Données projet'!$B$10,Paramètres!$A$1:$I$89,5,0)</f>
        <v>162.29850000000016</v>
      </c>
      <c r="AK68" s="13">
        <f t="shared" si="35"/>
        <v>41.36051734610367</v>
      </c>
      <c r="AL68" s="20">
        <f t="shared" ref="AL68:AL131" si="58">(AJ68+AK68)*0.475*44/12</f>
        <v>354.70612187779744</v>
      </c>
      <c r="AM68" s="59">
        <f t="shared" ref="AM68:AM131" si="59">AL68+(AD68+AE68)*44/12</f>
        <v>648.03945521113076</v>
      </c>
      <c r="AN68" s="59">
        <f ca="1">AVERAGE(OFFSET($AM$3,0,0,'Données projet'!$E$10+1,1))-AVERAGE(OFFSET($H$3,0,0,'Données projet'!$E$10+1,1))</f>
        <v>215.7418266360167</v>
      </c>
      <c r="AO68" s="59">
        <f t="shared" si="36"/>
        <v>155.78420008229949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18.57058050399225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18.57058050399225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5.75</v>
      </c>
      <c r="BD68" s="12">
        <f>IF('Données projet'!$A$88&gt;35,BD67+BC68-BL67,IF(A68&lt;'Données projet'!$A$88,$BA$205^A68,IF(A68='Données projet'!$A$88,'Données projet'!$B$88,BD67+BC68-BL67)))</f>
        <v>119.75</v>
      </c>
      <c r="BE68" s="13">
        <f>BD68*VLOOKUP('Données projet'!$B$11,Paramètres!$A$1:$I$89,3,0)*VLOOKUP('Données projet'!$B$11,Paramètres!$A$1:$I$89,5,0)</f>
        <v>121.42650000000002</v>
      </c>
      <c r="BF68" s="13">
        <f t="shared" si="37"/>
        <v>32.007477820598567</v>
      </c>
      <c r="BG68" s="20">
        <f t="shared" ref="BG68:BG131" si="61">(BE68+BF68)*0.475*44/12</f>
        <v>267.23084470420918</v>
      </c>
      <c r="BH68" s="59">
        <f t="shared" ref="BH68:BH131" si="62">BG68+(AY68+AZ68)*44/12</f>
        <v>560.56417803754243</v>
      </c>
      <c r="BI68" s="59">
        <f ca="1">AVERAGE(OFFSET($BH$3,0,0,'Données projet'!$E$11+1,1))-AVERAGE(OFFSET($H$3,0,0,'Données projet'!$E$11+1,1))</f>
        <v>179.53921263314447</v>
      </c>
      <c r="BJ68" s="59">
        <f t="shared" si="38"/>
        <v>120.81513023281337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13.562337907505318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13.562337907505318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22.381733539094633</v>
      </c>
      <c r="BY68" s="12">
        <f>IF('Données projet'!$A$114&gt;35,BY67+BX68-CG67,IF(A68&lt;'Données projet'!$A$114,$BV$205^A68,IF(A68='Données projet'!$A$114,'Données projet'!$B$114,BY67+BX68-CG67)))</f>
        <v>554.56021090535012</v>
      </c>
      <c r="BZ68" s="13">
        <f>BY68*VLOOKUP('Données projet'!$B$12,Paramètres!$A$1:$I$89,3,0)*VLOOKUP('Données projet'!$B$12,Paramètres!$A$1:$I$89,5,0)</f>
        <v>259.53417870370384</v>
      </c>
      <c r="CA68" s="13">
        <f t="shared" si="39"/>
        <v>62.62307331950457</v>
      </c>
      <c r="CB68" s="20">
        <f t="shared" ref="CB68:CB131" si="64">(BZ68+CA68)*0.475*44/12</f>
        <v>561.09054727375462</v>
      </c>
      <c r="CC68" s="59">
        <f t="shared" ref="CC68:CC131" si="65">CB68+(BT68+BU68)*44/12</f>
        <v>854.42388060708799</v>
      </c>
      <c r="CD68" s="59">
        <f ca="1">AVERAGE(OFFSET($CC$3,0,0,'Données projet'!$E$12+1,1))-AVERAGE(OFFSET($H$3,0,0,'Données projet'!$E$12+1,1))</f>
        <v>310.06530483941287</v>
      </c>
      <c r="CE68" s="59">
        <f t="shared" si="40"/>
        <v>170.13425794309376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43.34760154562499</v>
      </c>
      <c r="CL68" s="21">
        <f>EXP(-LN(2)/25)*CL67+(1-EXP(-LN(2)/25))/(LN(2)/25)*Calculateur!CG68*Calculateur!CI68*VLOOKUP('Données projet'!$B$12,Paramètres!$A$1:$I$89,3,0)*0.475*44/12</f>
        <v>11.006890735760559</v>
      </c>
      <c r="CM68" s="21">
        <f>EXP(-LN(2)/2)*CM67+(1-EXP(-LN(2)/2))/(LN(2)/2)*CG68*CJ68*VLOOKUP('Données projet'!$B$12,Paramètres!$A$1:$I$89,3,0)*0.475*44/12</f>
        <v>1.1219285138710986</v>
      </c>
      <c r="CN68" s="22">
        <f t="shared" ref="CN68:CN131" si="66">SUM(CK68:CM68)</f>
        <v>55.476420795256644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>
        <f>CT68*VLOOKUP('Données projet'!$B$13,Paramètres!$A$1:$I$89,3,0)*VLOOKUP('Données projet'!$B$13,Paramètres!$A$1:$I$89,5,0)</f>
        <v>0</v>
      </c>
      <c r="CV68" s="13" t="e">
        <f t="shared" si="41"/>
        <v>#NUM!</v>
      </c>
      <c r="CW68" s="20" t="e">
        <f t="shared" ref="CW68:CW131" si="67">(CU68+CV68)*0.475*44/12</f>
        <v>#NUM!</v>
      </c>
      <c r="CX68" s="59" t="e">
        <f t="shared" ref="CX68:CX131" si="68">CW68+(CO68+CP68)*44/12</f>
        <v>#NUM!</v>
      </c>
      <c r="CY68" s="59">
        <f ca="1">AVERAGE(OFFSET($CX$3,0,0,'Données projet'!$E$13+1,1))-AVERAGE(OFFSET($H$3,0,0,'Données projet'!$E$13+1,1))</f>
        <v>168.08890945052406</v>
      </c>
      <c r="CZ68" s="59">
        <f t="shared" si="42"/>
        <v>182.52462557642343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102.70671919368664</v>
      </c>
      <c r="DG68" s="21">
        <f>EXP(-LN(2)/25)*DG67+(1-EXP(-LN(2)/25))/(LN(2)/25)*Calculateur!DB68*Calculateur!DD68*VLOOKUP('Données projet'!$B$13,Paramètres!$A$1:$I$89,3,0)*0.475*44/12</f>
        <v>24.854913137711126</v>
      </c>
      <c r="DH68" s="21">
        <f>EXP(-LN(2)/2)*DH67+(1-EXP(-LN(2)/2))/(LN(2)/2)*DB68*DE68*VLOOKUP('Données projet'!$B$13,Paramètres!$A$1:$I$89,3,0)*0.475*44/12</f>
        <v>10.021018323149276</v>
      </c>
      <c r="DI68" s="22">
        <f t="shared" ref="DI68:DI131" si="69">SUM(DF68:DH68)</f>
        <v>137.58265065454702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-2.2737367544323206E-13</v>
      </c>
      <c r="DP68" s="17">
        <f>DO68*VLOOKUP('Données projet'!$B$14,Paramètres!$A$1:$I$89,3,0)*VLOOKUP('Données projet'!$B$14,Paramètres!$A$1:$I$89,5,0)</f>
        <v>-1.2710188457276673E-13</v>
      </c>
      <c r="DQ68" s="13" t="e">
        <f t="shared" si="43"/>
        <v>#NUM!</v>
      </c>
      <c r="DR68" s="20" t="e">
        <f t="shared" ref="DR68:DR131" si="70">(DP68+DQ68)*0.475*44/12</f>
        <v>#NUM!</v>
      </c>
      <c r="DS68" s="59" t="e">
        <f t="shared" ref="DS68:DS131" si="71">DR68+(DJ68+DK68)*44/12</f>
        <v>#NUM!</v>
      </c>
      <c r="DT68" s="59">
        <f ca="1">AVERAGE(OFFSET($DS$3,0,0,'Données projet'!$E$14+1,1))-AVERAGE(OFFSET($H$3,0,0,'Données projet'!$E$14+1,1))</f>
        <v>355.23615781077405</v>
      </c>
      <c r="DU68" s="59">
        <f t="shared" si="44"/>
        <v>448.84541017639367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234.38635875107599</v>
      </c>
      <c r="EB68" s="21">
        <f>EXP(-LN(2)/25)*EB67+(1-EXP(-LN(2)/25))/(LN(2)/25)*Calculateur!DW68*Calculateur!DY68*VLOOKUP('Données projet'!$B$14,Paramètres!$A$1:$I$89,3,0)*0.475*44/12</f>
        <v>56.084685677296449</v>
      </c>
      <c r="EC68" s="21">
        <f>EXP(-LN(2)/2)*EC67+(1-EXP(-LN(2)/2))/(LN(2)/2)*DW68*DZ68*VLOOKUP('Données projet'!$B$14,Paramètres!$A$1:$I$89,3,0)*0.475*44/12</f>
        <v>9.956213809179058</v>
      </c>
      <c r="ED68" s="22">
        <f t="shared" ref="ED68:ED131" si="72">SUM(EA68:EC68)</f>
        <v>300.42725823755154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4.6000000000000014</v>
      </c>
      <c r="EJ68" s="12">
        <f>IF('Données projet'!$A$192&gt;35,EJ67+EI68-ER67,IF(A68&lt;'Données projet'!$A$192,$EG$205^A68,IF(A68='Données projet'!$A$192,'Données projet'!$B$192,EJ67+EI68-ER67)))</f>
        <v>95.799999999999955</v>
      </c>
      <c r="EK68" s="17">
        <f>EJ68*VLOOKUP('Données projet'!$B$15,Paramètres!$A$1:$I$89,3,0)*VLOOKUP('Données projet'!$B$15,Paramètres!$A$1:$I$89,5,0)</f>
        <v>103.11911999999994</v>
      </c>
      <c r="EL68" s="13">
        <f t="shared" si="45"/>
        <v>27.703751333753878</v>
      </c>
      <c r="EM68" s="20">
        <f t="shared" ref="EM68:EM131" si="73">(EK68+EL68)*0.475*44/12</f>
        <v>227.84983423962123</v>
      </c>
      <c r="EN68" s="59">
        <f t="shared" ref="EN68:EN131" si="74">EM68+(EE68+EF68)*44/12</f>
        <v>521.18316757295452</v>
      </c>
      <c r="EO68" s="59">
        <f ca="1">AVERAGE(OFFSET($EN$3,0,0,'Données projet'!$E$15+1,1))-AVERAGE(OFFSET($H$3,0,0,'Données projet'!$E$15+1,1))</f>
        <v>130.76477588601989</v>
      </c>
      <c r="EP68" s="59">
        <f t="shared" si="46"/>
        <v>94.034011511502172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11.517554653758362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11.517554653758362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-2.2737367544323206E-13</v>
      </c>
      <c r="FF68" s="17">
        <f>FE68*VLOOKUP('Données projet'!$B$16,Paramètres!$A$1:$I$89,3,0)*VLOOKUP('Données projet'!$B$16,Paramètres!$A$1:$I$89,5,0)</f>
        <v>-1.0345502232667058E-13</v>
      </c>
      <c r="FG68" s="13" t="e">
        <f t="shared" si="47"/>
        <v>#NUM!</v>
      </c>
      <c r="FH68" s="20" t="e">
        <f t="shared" ref="FH68:FH131" si="76">(FF68+FG68)*0.475*44/12</f>
        <v>#NUM!</v>
      </c>
      <c r="FI68" s="59" t="e">
        <f t="shared" ref="FI68:FI131" si="77">FH68+(EZ68+FA68)*44/12</f>
        <v>#NUM!</v>
      </c>
      <c r="FJ68" s="59">
        <f ca="1">AVERAGE(OFFSET($FI$3,0,0,'Données projet'!$E$16+1,1))-AVERAGE(OFFSET($H$3,0,0,'Données projet'!$E$16+1,1))</f>
        <v>279.43442619866738</v>
      </c>
      <c r="FK68" s="59">
        <f t="shared" si="48"/>
        <v>355.95192241448217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190.77959433227113</v>
      </c>
      <c r="FR68" s="21">
        <f>EXP(-LN(2)/25)*FR67+(1-EXP(-LN(2)/25))/(LN(2)/25)*Calculateur!FM68*Calculateur!FO68*VLOOKUP('Données projet'!$B$16,Paramètres!$A$1:$I$89,3,0)*0.475*44/12</f>
        <v>45.650325551287814</v>
      </c>
      <c r="FS68" s="21">
        <f>EXP(-LN(2)/2)*FS67+(1-EXP(-LN(2)/2))/(LN(2)/2)*FM68*FP68*VLOOKUP('Données projet'!$B$16,Paramètres!$A$1:$I$89,3,0)*0.475*44/12</f>
        <v>8.1038949609596997</v>
      </c>
      <c r="FT68" s="22">
        <f t="shared" ref="FT68:FT131" si="78">SUM(FQ68:FS68)</f>
        <v>244.53381484451864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-1.1368683772161603E-13</v>
      </c>
      <c r="O69" s="13">
        <f>N69*VLOOKUP('Données projet'!$B$9,Paramètres!$A$1:$I$89,3,0)*VLOOKUP('Données projet'!$B$9,Paramètres!$A$1:$I$89,5,0)</f>
        <v>-6.7984728957526396E-14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227.89848316900191</v>
      </c>
      <c r="T69" s="59">
        <f t="shared" ref="T69:T132" si="88">$T$3</f>
        <v>239.85955661394541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127.25298877100394</v>
      </c>
      <c r="AA69" s="21">
        <f>EXP(-LN(2)/25)*AA68+(1-EXP(-LN(2)/25))/(LN(2)/25)*Calculateur!V69*Calculateur!X69*VLOOKUP('Données projet'!$B$9,Paramètres!$A$1:$I$89,3,0)*0.475*44/12</f>
        <v>29.247109672349371</v>
      </c>
      <c r="AB69" s="21">
        <f>EXP(-LN(2)/2)*AB68+(1-EXP(-LN(2)/2))/(LN(2)/2)*V69*Y69*VLOOKUP('Données projet'!$B$9,Paramètres!$A$1:$I$89,3,0)*0.475*44/12</f>
        <v>9.1645150819786405</v>
      </c>
      <c r="AC69" s="22">
        <f t="shared" si="57"/>
        <v>165.66461352533196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8.125</v>
      </c>
      <c r="AI69" s="13">
        <f>IF('Données projet'!$A$62&gt;35,AI68+AH69-AQ68,IF(A69&lt;'Données projet'!$A$62,$AF$205^A69,IF(A69='Données projet'!$A$62,'Données projet'!$B$62,AI68+AH69-AQ68)))</f>
        <v>187.50000000000017</v>
      </c>
      <c r="AJ69" s="13">
        <f>AI69*VLOOKUP('Données projet'!$B$10,Paramètres!$A$1:$I$89,3,0)*VLOOKUP('Données projet'!$B$10,Paramètres!$A$1:$I$89,5,0)</f>
        <v>169.65000000000015</v>
      </c>
      <c r="AK69" s="13">
        <f t="shared" ref="AK69:AK132" si="89">EXP(-1.0587+0.8836*LN(AJ69)+0.284)</f>
        <v>43.01162582831487</v>
      </c>
      <c r="AL69" s="20">
        <f t="shared" si="58"/>
        <v>370.38566498431533</v>
      </c>
      <c r="AM69" s="59">
        <f t="shared" si="59"/>
        <v>663.71899831764858</v>
      </c>
      <c r="AN69" s="59">
        <f ca="1">AVERAGE(OFFSET($AM$3,0,0,'Données projet'!$E$10+1,1))-AVERAGE(OFFSET($H$3,0,0,'Données projet'!$E$10+1,1))</f>
        <v>215.7418266360167</v>
      </c>
      <c r="AO69" s="59">
        <f t="shared" ref="AO69:AO132" si="90">$AO$3</f>
        <v>155.78420008229949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18.206422747244627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18.206422747244627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5.75</v>
      </c>
      <c r="BD69" s="12">
        <f>IF('Données projet'!$A$88&gt;35,BD68+BC69-BL68,IF(A69&lt;'Données projet'!$A$88,$BA$205^A69,IF(A69='Données projet'!$A$88,'Données projet'!$B$88,BD68+BC69-BL68)))</f>
        <v>125.5</v>
      </c>
      <c r="BE69" s="13">
        <f>BD69*VLOOKUP('Données projet'!$B$11,Paramètres!$A$1:$I$89,3,0)*VLOOKUP('Données projet'!$B$11,Paramètres!$A$1:$I$89,5,0)</f>
        <v>127.25700000000001</v>
      </c>
      <c r="BF69" s="13">
        <f t="shared" ref="BF69:BF132" si="91">EXP(-1.0587+0.8836*LN(BE69)+0.284)</f>
        <v>33.36174803609903</v>
      </c>
      <c r="BG69" s="20">
        <f t="shared" si="61"/>
        <v>279.74431949620583</v>
      </c>
      <c r="BH69" s="59">
        <f t="shared" si="62"/>
        <v>573.07765282953915</v>
      </c>
      <c r="BI69" s="59">
        <f ca="1">AVERAGE(OFFSET($BH$3,0,0,'Données projet'!$E$11+1,1))-AVERAGE(OFFSET($H$3,0,0,'Données projet'!$E$11+1,1))</f>
        <v>179.53921263314447</v>
      </c>
      <c r="BJ69" s="59">
        <f t="shared" ref="BJ69:BJ132" si="92">$BJ$3</f>
        <v>120.81513023281337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13.296388733348449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13.296388733348449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22.381733539094633</v>
      </c>
      <c r="BY69" s="12">
        <f>IF('Données projet'!$A$114&gt;35,BY68+BX69-CG68,IF(A69&lt;'Données projet'!$A$114,$BV$205^A69,IF(A69='Données projet'!$A$114,'Données projet'!$B$114,BY68+BX69-CG68)))</f>
        <v>576.94194444444474</v>
      </c>
      <c r="BZ69" s="13">
        <f>BY69*VLOOKUP('Données projet'!$B$12,Paramètres!$A$1:$I$89,3,0)*VLOOKUP('Données projet'!$B$12,Paramètres!$A$1:$I$89,5,0)</f>
        <v>270.00883000000016</v>
      </c>
      <c r="CA69" s="13">
        <f t="shared" ref="CA69:CA132" si="93">EXP(-1.0587+0.8836*LN(BZ69)+0.284)</f>
        <v>64.85114323312628</v>
      </c>
      <c r="CB69" s="20">
        <f t="shared" si="64"/>
        <v>583.21445338102853</v>
      </c>
      <c r="CC69" s="59">
        <f t="shared" si="65"/>
        <v>876.54778671436179</v>
      </c>
      <c r="CD69" s="59">
        <f ca="1">AVERAGE(OFFSET($CC$3,0,0,'Données projet'!$E$12+1,1))-AVERAGE(OFFSET($H$3,0,0,'Données projet'!$E$12+1,1))</f>
        <v>310.06530483941287</v>
      </c>
      <c r="CE69" s="59">
        <f t="shared" ref="CE69:CE132" si="94">$CE$3</f>
        <v>170.13425794309376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42.497581518741548</v>
      </c>
      <c r="CL69" s="21">
        <f>EXP(-LN(2)/25)*CL68+(1-EXP(-LN(2)/25))/(LN(2)/25)*Calculateur!CG69*Calculateur!CI69*VLOOKUP('Données projet'!$B$12,Paramètres!$A$1:$I$89,3,0)*0.475*44/12</f>
        <v>10.705906729763958</v>
      </c>
      <c r="CM69" s="21">
        <f>EXP(-LN(2)/2)*CM68+(1-EXP(-LN(2)/2))/(LN(2)/2)*CG69*CJ69*VLOOKUP('Données projet'!$B$12,Paramètres!$A$1:$I$89,3,0)*0.475*44/12</f>
        <v>0.79332326016479937</v>
      </c>
      <c r="CN69" s="22">
        <f t="shared" si="66"/>
        <v>53.996811508670305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>
        <f>CT69*VLOOKUP('Données projet'!$B$13,Paramètres!$A$1:$I$89,3,0)*VLOOKUP('Données projet'!$B$13,Paramètres!$A$1:$I$89,5,0)</f>
        <v>0</v>
      </c>
      <c r="CV69" s="13" t="e">
        <f t="shared" ref="CV69:CV132" si="95">EXP(-1.0587+0.8836*LN(CU69)+0.284)</f>
        <v>#NUM!</v>
      </c>
      <c r="CW69" s="20" t="e">
        <f t="shared" si="67"/>
        <v>#NUM!</v>
      </c>
      <c r="CX69" s="59" t="e">
        <f t="shared" si="68"/>
        <v>#NUM!</v>
      </c>
      <c r="CY69" s="59">
        <f ca="1">AVERAGE(OFFSET($CX$3,0,0,'Données projet'!$E$13+1,1))-AVERAGE(OFFSET($H$3,0,0,'Données projet'!$E$13+1,1))</f>
        <v>168.08890945052406</v>
      </c>
      <c r="CZ69" s="59">
        <f t="shared" ref="CZ69:CZ132" si="96">$CZ$3</f>
        <v>182.52462557642343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100.69270307521148</v>
      </c>
      <c r="DG69" s="21">
        <f>EXP(-LN(2)/25)*DG68+(1-EXP(-LN(2)/25))/(LN(2)/25)*Calculateur!DB69*Calculateur!DD69*VLOOKUP('Données projet'!$B$13,Paramètres!$A$1:$I$89,3,0)*0.475*44/12</f>
        <v>24.175254230897341</v>
      </c>
      <c r="DH69" s="21">
        <f>EXP(-LN(2)/2)*DH68+(1-EXP(-LN(2)/2))/(LN(2)/2)*DB69*DE69*VLOOKUP('Données projet'!$B$13,Paramètres!$A$1:$I$89,3,0)*0.475*44/12</f>
        <v>7.0859300106934988</v>
      </c>
      <c r="DI69" s="22">
        <f t="shared" si="69"/>
        <v>131.95388731680231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-2.2737367544323206E-13</v>
      </c>
      <c r="DP69" s="17">
        <f>DO69*VLOOKUP('Données projet'!$B$14,Paramètres!$A$1:$I$89,3,0)*VLOOKUP('Données projet'!$B$14,Paramètres!$A$1:$I$89,5,0)</f>
        <v>-1.2710188457276673E-13</v>
      </c>
      <c r="DQ69" s="13" t="e">
        <f t="shared" ref="DQ69:DQ132" si="97">EXP(-1.0587+0.8836*LN(DP69)+0.284)</f>
        <v>#NUM!</v>
      </c>
      <c r="DR69" s="20" t="e">
        <f t="shared" si="70"/>
        <v>#NUM!</v>
      </c>
      <c r="DS69" s="59" t="e">
        <f t="shared" si="71"/>
        <v>#NUM!</v>
      </c>
      <c r="DT69" s="59">
        <f ca="1">AVERAGE(OFFSET($DS$3,0,0,'Données projet'!$E$14+1,1))-AVERAGE(OFFSET($H$3,0,0,'Données projet'!$E$14+1,1))</f>
        <v>355.23615781077405</v>
      </c>
      <c r="DU69" s="59">
        <f t="shared" ref="DU69:DU132" si="98">$DU$3</f>
        <v>448.84541017639367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229.79018521752994</v>
      </c>
      <c r="EB69" s="21">
        <f>EXP(-LN(2)/25)*EB68+(1-EXP(-LN(2)/25))/(LN(2)/25)*Calculateur!DW69*Calculateur!DY69*VLOOKUP('Données projet'!$B$14,Paramètres!$A$1:$I$89,3,0)*0.475*44/12</f>
        <v>54.55104699808534</v>
      </c>
      <c r="EC69" s="21">
        <f>EXP(-LN(2)/2)*EC68+(1-EXP(-LN(2)/2))/(LN(2)/2)*DW69*DZ69*VLOOKUP('Données projet'!$B$14,Paramètres!$A$1:$I$89,3,0)*0.475*44/12</f>
        <v>7.0401062994136598</v>
      </c>
      <c r="ED69" s="22">
        <f t="shared" si="72"/>
        <v>291.38133851502892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4.6000000000000014</v>
      </c>
      <c r="EJ69" s="12">
        <f>IF('Données projet'!$A$192&gt;35,EJ68+EI69-ER68,IF(A69&lt;'Données projet'!$A$192,$EG$205^A69,IF(A69='Données projet'!$A$192,'Données projet'!$B$192,EJ68+EI69-ER68)))</f>
        <v>100.39999999999995</v>
      </c>
      <c r="EK69" s="17">
        <f>EJ69*VLOOKUP('Données projet'!$B$15,Paramètres!$A$1:$I$89,3,0)*VLOOKUP('Données projet'!$B$15,Paramètres!$A$1:$I$89,5,0)</f>
        <v>108.07055999999993</v>
      </c>
      <c r="EL69" s="13">
        <f t="shared" ref="EL69:EL132" si="99">EXP(-1.0587+0.8836*LN(EK69)+0.284)</f>
        <v>28.875926332959509</v>
      </c>
      <c r="EM69" s="20">
        <f t="shared" si="73"/>
        <v>238.51513036323766</v>
      </c>
      <c r="EN69" s="59">
        <f t="shared" si="74"/>
        <v>531.848463696571</v>
      </c>
      <c r="EO69" s="59">
        <f ca="1">AVERAGE(OFFSET($EN$3,0,0,'Données projet'!$E$15+1,1))-AVERAGE(OFFSET($H$3,0,0,'Données projet'!$E$15+1,1))</f>
        <v>130.76477588601989</v>
      </c>
      <c r="EP69" s="59">
        <f t="shared" ref="EP69:EP132" si="100">$EP$3</f>
        <v>94.034011511502172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11.291702432012837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11.291702432012837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-2.2737367544323206E-13</v>
      </c>
      <c r="FF69" s="17">
        <f>FE69*VLOOKUP('Données projet'!$B$16,Paramètres!$A$1:$I$89,3,0)*VLOOKUP('Données projet'!$B$16,Paramètres!$A$1:$I$89,5,0)</f>
        <v>-1.0345502232667058E-13</v>
      </c>
      <c r="FG69" s="13" t="e">
        <f t="shared" ref="FG69:FG132" si="101">EXP(-1.0587+0.8836*LN(FF69)+0.284)</f>
        <v>#NUM!</v>
      </c>
      <c r="FH69" s="20" t="e">
        <f t="shared" si="76"/>
        <v>#NUM!</v>
      </c>
      <c r="FI69" s="59" t="e">
        <f t="shared" si="77"/>
        <v>#NUM!</v>
      </c>
      <c r="FJ69" s="59">
        <f ca="1">AVERAGE(OFFSET($FI$3,0,0,'Données projet'!$E$16+1,1))-AVERAGE(OFFSET($H$3,0,0,'Données projet'!$E$16+1,1))</f>
        <v>279.43442619866738</v>
      </c>
      <c r="FK69" s="59">
        <f t="shared" ref="FK69:FK132" si="102">$FK$3</f>
        <v>355.95192241448217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187.03852285147784</v>
      </c>
      <c r="FR69" s="21">
        <f>EXP(-LN(2)/25)*FR68+(1-EXP(-LN(2)/25))/(LN(2)/25)*Calculateur!FM69*Calculateur!FO69*VLOOKUP('Données projet'!$B$16,Paramètres!$A$1:$I$89,3,0)*0.475*44/12</f>
        <v>44.402014998441565</v>
      </c>
      <c r="FS69" s="21">
        <f>EXP(-LN(2)/2)*FS68+(1-EXP(-LN(2)/2))/(LN(2)/2)*FM69*FP69*VLOOKUP('Données projet'!$B$16,Paramètres!$A$1:$I$89,3,0)*0.475*44/12</f>
        <v>5.7303190809180959</v>
      </c>
      <c r="FT69" s="22">
        <f t="shared" si="78"/>
        <v>237.17085693083749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-1.1368683772161603E-13</v>
      </c>
      <c r="O70" s="13">
        <f>N70*VLOOKUP('Données projet'!$B$9,Paramètres!$A$1:$I$89,3,0)*VLOOKUP('Données projet'!$B$9,Paramètres!$A$1:$I$89,5,0)</f>
        <v>-6.7984728957526396E-14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227.89848316900191</v>
      </c>
      <c r="T70" s="59">
        <f t="shared" si="88"/>
        <v>239.85955661394541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124.7576352778637</v>
      </c>
      <c r="AA70" s="21">
        <f>EXP(-LN(2)/25)*AA69+(1-EXP(-LN(2)/25))/(LN(2)/25)*Calculateur!V70*Calculateur!X70*VLOOKUP('Données projet'!$B$9,Paramètres!$A$1:$I$89,3,0)*0.475*44/12</f>
        <v>28.447345920320323</v>
      </c>
      <c r="AB70" s="21">
        <f>EXP(-LN(2)/2)*AB69+(1-EXP(-LN(2)/2))/(LN(2)/2)*V70*Y70*VLOOKUP('Données projet'!$B$9,Paramètres!$A$1:$I$89,3,0)*0.475*44/12</f>
        <v>6.4802907607534852</v>
      </c>
      <c r="AC70" s="22">
        <f t="shared" si="57"/>
        <v>159.68527195893751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8.125</v>
      </c>
      <c r="AI70" s="13">
        <f>IF('Données projet'!$A$62&gt;35,AI69+AH70-AQ69,IF(A70&lt;'Données projet'!$A$62,$AF$205^A70,IF(A70='Données projet'!$A$62,'Données projet'!$B$62,AI69+AH70-AQ69)))</f>
        <v>195.62500000000017</v>
      </c>
      <c r="AJ70" s="13">
        <f>AI70*VLOOKUP('Données projet'!$B$10,Paramètres!$A$1:$I$89,3,0)*VLOOKUP('Données projet'!$B$10,Paramètres!$A$1:$I$89,5,0)</f>
        <v>177.00150000000014</v>
      </c>
      <c r="AK70" s="13">
        <f t="shared" si="89"/>
        <v>44.654424341380576</v>
      </c>
      <c r="AL70" s="20">
        <f t="shared" si="58"/>
        <v>386.05073489457141</v>
      </c>
      <c r="AM70" s="59">
        <f t="shared" si="59"/>
        <v>679.38406822790466</v>
      </c>
      <c r="AN70" s="59">
        <f ca="1">AVERAGE(OFFSET($AM$3,0,0,'Données projet'!$E$10+1,1))-AVERAGE(OFFSET($H$3,0,0,'Données projet'!$E$10+1,1))</f>
        <v>215.7418266360167</v>
      </c>
      <c r="AO70" s="59">
        <f t="shared" si="90"/>
        <v>155.78420008229949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17.849405901992526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17.849405901992526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5.75</v>
      </c>
      <c r="BD70" s="12">
        <f>IF('Données projet'!$A$88&gt;35,BD69+BC70-BL69,IF(A70&lt;'Données projet'!$A$88,$BA$205^A70,IF(A70='Données projet'!$A$88,'Données projet'!$B$88,BD69+BC70-BL69)))</f>
        <v>131.25</v>
      </c>
      <c r="BE70" s="13">
        <f>BD70*VLOOKUP('Données projet'!$B$11,Paramètres!$A$1:$I$89,3,0)*VLOOKUP('Données projet'!$B$11,Paramètres!$A$1:$I$89,5,0)</f>
        <v>133.08750000000001</v>
      </c>
      <c r="BF70" s="13">
        <f t="shared" si="91"/>
        <v>34.708812399411578</v>
      </c>
      <c r="BG70" s="20">
        <f t="shared" si="61"/>
        <v>292.24524409564179</v>
      </c>
      <c r="BH70" s="59">
        <f t="shared" si="62"/>
        <v>585.57857742897511</v>
      </c>
      <c r="BI70" s="59">
        <f ca="1">AVERAGE(OFFSET($BH$3,0,0,'Données projet'!$E$11+1,1))-AVERAGE(OFFSET($H$3,0,0,'Données projet'!$E$11+1,1))</f>
        <v>179.53921263314447</v>
      </c>
      <c r="BJ70" s="59">
        <f t="shared" si="92"/>
        <v>120.81513023281337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13.035654660283818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13.035654660283818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22.381733539094633</v>
      </c>
      <c r="BY70" s="12">
        <f>IF('Données projet'!$A$114&gt;35,BY69+BX70-CG69,IF(A70&lt;'Données projet'!$A$114,$BV$205^A70,IF(A70='Données projet'!$A$114,'Données projet'!$B$114,BY69+BX70-CG69)))</f>
        <v>599.32367798353937</v>
      </c>
      <c r="BZ70" s="13">
        <f>BY70*VLOOKUP('Données projet'!$B$12,Paramètres!$A$1:$I$89,3,0)*VLOOKUP('Données projet'!$B$12,Paramètres!$A$1:$I$89,5,0)</f>
        <v>280.48348129629642</v>
      </c>
      <c r="CA70" s="13">
        <f t="shared" si="93"/>
        <v>67.069172116119901</v>
      </c>
      <c r="CB70" s="20">
        <f t="shared" si="64"/>
        <v>605.32087135995846</v>
      </c>
      <c r="CC70" s="59">
        <f t="shared" si="65"/>
        <v>898.65420469329183</v>
      </c>
      <c r="CD70" s="59">
        <f ca="1">AVERAGE(OFFSET($CC$3,0,0,'Données projet'!$E$12+1,1))-AVERAGE(OFFSET($H$3,0,0,'Données projet'!$E$12+1,1))</f>
        <v>310.06530483941287</v>
      </c>
      <c r="CE70" s="59">
        <f t="shared" si="94"/>
        <v>170.13425794309376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41.664229866124266</v>
      </c>
      <c r="CL70" s="21">
        <f>EXP(-LN(2)/25)*CL69+(1-EXP(-LN(2)/25))/(LN(2)/25)*Calculateur!CG70*Calculateur!CI70*VLOOKUP('Données projet'!$B$12,Paramètres!$A$1:$I$89,3,0)*0.475*44/12</f>
        <v>10.413153147239397</v>
      </c>
      <c r="CM70" s="21">
        <f>EXP(-LN(2)/2)*CM69+(1-EXP(-LN(2)/2))/(LN(2)/2)*CG70*CJ70*VLOOKUP('Données projet'!$B$12,Paramètres!$A$1:$I$89,3,0)*0.475*44/12</f>
        <v>0.5609642569355493</v>
      </c>
      <c r="CN70" s="22">
        <f t="shared" si="66"/>
        <v>52.638347270299214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>
        <f>CT70*VLOOKUP('Données projet'!$B$13,Paramètres!$A$1:$I$89,3,0)*VLOOKUP('Données projet'!$B$13,Paramètres!$A$1:$I$89,5,0)</f>
        <v>0</v>
      </c>
      <c r="CV70" s="13" t="e">
        <f t="shared" si="95"/>
        <v>#NUM!</v>
      </c>
      <c r="CW70" s="20" t="e">
        <f t="shared" si="67"/>
        <v>#NUM!</v>
      </c>
      <c r="CX70" s="59" t="e">
        <f t="shared" si="68"/>
        <v>#NUM!</v>
      </c>
      <c r="CY70" s="59">
        <f ca="1">AVERAGE(OFFSET($CX$3,0,0,'Données projet'!$E$13+1,1))-AVERAGE(OFFSET($H$3,0,0,'Données projet'!$E$13+1,1))</f>
        <v>168.08890945052406</v>
      </c>
      <c r="CZ70" s="59">
        <f t="shared" si="96"/>
        <v>182.52462557642343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98.718180584391092</v>
      </c>
      <c r="DG70" s="21">
        <f>EXP(-LN(2)/25)*DG69+(1-EXP(-LN(2)/25))/(LN(2)/25)*Calculateur!DB70*Calculateur!DD70*VLOOKUP('Données projet'!$B$13,Paramètres!$A$1:$I$89,3,0)*0.475*44/12</f>
        <v>23.514180632632087</v>
      </c>
      <c r="DH70" s="21">
        <f>EXP(-LN(2)/2)*DH69+(1-EXP(-LN(2)/2))/(LN(2)/2)*DB70*DE70*VLOOKUP('Données projet'!$B$13,Paramètres!$A$1:$I$89,3,0)*0.475*44/12</f>
        <v>5.0105091615746389</v>
      </c>
      <c r="DI70" s="22">
        <f t="shared" si="69"/>
        <v>127.24287037859781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-2.2737367544323206E-13</v>
      </c>
      <c r="DP70" s="17">
        <f>DO70*VLOOKUP('Données projet'!$B$14,Paramètres!$A$1:$I$89,3,0)*VLOOKUP('Données projet'!$B$14,Paramètres!$A$1:$I$89,5,0)</f>
        <v>-1.2710188457276673E-13</v>
      </c>
      <c r="DQ70" s="13" t="e">
        <f t="shared" si="97"/>
        <v>#NUM!</v>
      </c>
      <c r="DR70" s="20" t="e">
        <f t="shared" si="70"/>
        <v>#NUM!</v>
      </c>
      <c r="DS70" s="59" t="e">
        <f t="shared" si="71"/>
        <v>#NUM!</v>
      </c>
      <c r="DT70" s="59">
        <f ca="1">AVERAGE(OFFSET($DS$3,0,0,'Données projet'!$E$14+1,1))-AVERAGE(OFFSET($H$3,0,0,'Données projet'!$E$14+1,1))</f>
        <v>355.23615781077405</v>
      </c>
      <c r="DU70" s="59">
        <f t="shared" si="98"/>
        <v>448.84541017639367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225.2841398435877</v>
      </c>
      <c r="EB70" s="21">
        <f>EXP(-LN(2)/25)*EB69+(1-EXP(-LN(2)/25))/(LN(2)/25)*Calculateur!DW70*Calculateur!DY70*VLOOKUP('Données projet'!$B$14,Paramètres!$A$1:$I$89,3,0)*0.475*44/12</f>
        <v>53.059345749207814</v>
      </c>
      <c r="EC70" s="21">
        <f>EXP(-LN(2)/2)*EC69+(1-EXP(-LN(2)/2))/(LN(2)/2)*DW70*DZ70*VLOOKUP('Données projet'!$B$14,Paramètres!$A$1:$I$89,3,0)*0.475*44/12</f>
        <v>4.9781069045895299</v>
      </c>
      <c r="ED70" s="22">
        <f t="shared" si="72"/>
        <v>283.32159249738504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4.6000000000000014</v>
      </c>
      <c r="EJ70" s="12">
        <f>IF('Données projet'!$A$192&gt;35,EJ69+EI70-ER69,IF(A70&lt;'Données projet'!$A$192,$EG$205^A70,IF(A70='Données projet'!$A$192,'Données projet'!$B$192,EJ69+EI70-ER69)))</f>
        <v>104.99999999999994</v>
      </c>
      <c r="EK70" s="17">
        <f>EJ70*VLOOKUP('Données projet'!$B$15,Paramètres!$A$1:$I$89,3,0)*VLOOKUP('Données projet'!$B$15,Paramètres!$A$1:$I$89,5,0)</f>
        <v>113.02199999999995</v>
      </c>
      <c r="EL70" s="13">
        <f t="shared" si="99"/>
        <v>30.041864379091827</v>
      </c>
      <c r="EM70" s="20">
        <f t="shared" si="73"/>
        <v>249.16956379358484</v>
      </c>
      <c r="EN70" s="59">
        <f t="shared" si="74"/>
        <v>542.50289712691813</v>
      </c>
      <c r="EO70" s="59">
        <f ca="1">AVERAGE(OFFSET($EN$3,0,0,'Données projet'!$E$15+1,1))-AVERAGE(OFFSET($H$3,0,0,'Données projet'!$E$15+1,1))</f>
        <v>130.76477588601989</v>
      </c>
      <c r="EP70" s="59">
        <f t="shared" si="100"/>
        <v>94.034011511502172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11.070279034579489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11.070279034579489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-2.2737367544323206E-13</v>
      </c>
      <c r="FF70" s="17">
        <f>FE70*VLOOKUP('Données projet'!$B$16,Paramètres!$A$1:$I$89,3,0)*VLOOKUP('Données projet'!$B$16,Paramètres!$A$1:$I$89,5,0)</f>
        <v>-1.0345502232667058E-13</v>
      </c>
      <c r="FG70" s="13" t="e">
        <f t="shared" si="101"/>
        <v>#NUM!</v>
      </c>
      <c r="FH70" s="20" t="e">
        <f t="shared" si="76"/>
        <v>#NUM!</v>
      </c>
      <c r="FI70" s="59" t="e">
        <f t="shared" si="77"/>
        <v>#NUM!</v>
      </c>
      <c r="FJ70" s="59">
        <f ca="1">AVERAGE(OFFSET($FI$3,0,0,'Données projet'!$E$16+1,1))-AVERAGE(OFFSET($H$3,0,0,'Données projet'!$E$16+1,1))</f>
        <v>279.43442619866738</v>
      </c>
      <c r="FK70" s="59">
        <f t="shared" si="102"/>
        <v>355.95192241448217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183.37081150059461</v>
      </c>
      <c r="FR70" s="21">
        <f>EXP(-LN(2)/25)*FR69+(1-EXP(-LN(2)/25))/(LN(2)/25)*Calculateur!FM70*Calculateur!FO70*VLOOKUP('Données projet'!$B$16,Paramètres!$A$1:$I$89,3,0)*0.475*44/12</f>
        <v>43.187839563308692</v>
      </c>
      <c r="FS70" s="21">
        <f>EXP(-LN(2)/2)*FS69+(1-EXP(-LN(2)/2))/(LN(2)/2)*FM70*FP70*VLOOKUP('Données projet'!$B$16,Paramètres!$A$1:$I$89,3,0)*0.475*44/12</f>
        <v>4.0519474804798508</v>
      </c>
      <c r="FT70" s="22">
        <f t="shared" si="78"/>
        <v>230.61059854438315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-1.1368683772161603E-13</v>
      </c>
      <c r="O71" s="13">
        <f>N71*VLOOKUP('Données projet'!$B$9,Paramètres!$A$1:$I$89,3,0)*VLOOKUP('Données projet'!$B$9,Paramètres!$A$1:$I$89,5,0)</f>
        <v>-6.7984728957526396E-14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227.89848316900191</v>
      </c>
      <c r="T71" s="59">
        <f t="shared" si="88"/>
        <v>239.85955661394541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122.31121414470859</v>
      </c>
      <c r="AA71" s="21">
        <f>EXP(-LN(2)/25)*AA70+(1-EXP(-LN(2)/25))/(LN(2)/25)*Calculateur!V71*Calculateur!X71*VLOOKUP('Données projet'!$B$9,Paramètres!$A$1:$I$89,3,0)*0.475*44/12</f>
        <v>27.669451750148259</v>
      </c>
      <c r="AB71" s="21">
        <f>EXP(-LN(2)/2)*AB70+(1-EXP(-LN(2)/2))/(LN(2)/2)*V71*Y71*VLOOKUP('Données projet'!$B$9,Paramètres!$A$1:$I$89,3,0)*0.475*44/12</f>
        <v>4.5822575409893203</v>
      </c>
      <c r="AC71" s="22">
        <f t="shared" si="57"/>
        <v>154.56292343584619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8.125</v>
      </c>
      <c r="AI71" s="13">
        <f>IF('Données projet'!$A$62&gt;35,AI70+AH71-AQ70,IF(A71&lt;'Données projet'!$A$62,$AF$205^A71,IF(A71='Données projet'!$A$62,'Données projet'!$B$62,AI70+AH71-AQ70)))</f>
        <v>203.75000000000017</v>
      </c>
      <c r="AJ71" s="13">
        <f>AI71*VLOOKUP('Données projet'!$B$10,Paramètres!$A$1:$I$89,3,0)*VLOOKUP('Données projet'!$B$10,Paramètres!$A$1:$I$89,5,0)</f>
        <v>184.35300000000015</v>
      </c>
      <c r="AK71" s="13">
        <f t="shared" si="89"/>
        <v>46.289297497980243</v>
      </c>
      <c r="AL71" s="20">
        <f t="shared" si="58"/>
        <v>401.70200147564918</v>
      </c>
      <c r="AM71" s="59">
        <f t="shared" si="59"/>
        <v>695.0353348089825</v>
      </c>
      <c r="AN71" s="59">
        <f ca="1">AVERAGE(OFFSET($AM$3,0,0,'Données projet'!$E$10+1,1))-AVERAGE(OFFSET($H$3,0,0,'Données projet'!$E$10+1,1))</f>
        <v>215.7418266360167</v>
      </c>
      <c r="AO71" s="59">
        <f t="shared" si="90"/>
        <v>155.78420008229949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17.499389939317044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17.499389939317044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5.75</v>
      </c>
      <c r="BD71" s="12">
        <f>IF('Données projet'!$A$88&gt;35,BD70+BC71-BL70,IF(A71&lt;'Données projet'!$A$88,$BA$205^A71,IF(A71='Données projet'!$A$88,'Données projet'!$B$88,BD70+BC71-BL70)))</f>
        <v>137</v>
      </c>
      <c r="BE71" s="13">
        <f>BD71*VLOOKUP('Données projet'!$B$11,Paramètres!$A$1:$I$89,3,0)*VLOOKUP('Données projet'!$B$11,Paramètres!$A$1:$I$89,5,0)</f>
        <v>138.91800000000001</v>
      </c>
      <c r="BF71" s="13">
        <f t="shared" si="91"/>
        <v>36.049022673886341</v>
      </c>
      <c r="BG71" s="20">
        <f t="shared" si="61"/>
        <v>304.73423115701871</v>
      </c>
      <c r="BH71" s="59">
        <f t="shared" si="62"/>
        <v>598.06756449035197</v>
      </c>
      <c r="BI71" s="59">
        <f ca="1">AVERAGE(OFFSET($BH$3,0,0,'Données projet'!$E$11+1,1))-AVERAGE(OFFSET($H$3,0,0,'Données projet'!$E$11+1,1))</f>
        <v>179.53921263314447</v>
      </c>
      <c r="BJ71" s="59">
        <f t="shared" si="92"/>
        <v>120.81513023281337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12.780033423359903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12.780033423359903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22.381733539094633</v>
      </c>
      <c r="BY71" s="12">
        <f>IF('Données projet'!$A$114&gt;35,BY70+BX71-CG70,IF(A71&lt;'Données projet'!$A$114,$BV$205^A71,IF(A71='Données projet'!$A$114,'Données projet'!$B$114,BY70+BX71-CG70)))</f>
        <v>621.70541152263399</v>
      </c>
      <c r="BZ71" s="13">
        <f>BY71*VLOOKUP('Données projet'!$B$12,Paramètres!$A$1:$I$89,3,0)*VLOOKUP('Données projet'!$B$12,Paramètres!$A$1:$I$89,5,0)</f>
        <v>290.95813259259273</v>
      </c>
      <c r="CA71" s="13">
        <f t="shared" si="93"/>
        <v>69.277577887673488</v>
      </c>
      <c r="CB71" s="20">
        <f t="shared" si="64"/>
        <v>627.41052908646373</v>
      </c>
      <c r="CC71" s="59">
        <f t="shared" si="65"/>
        <v>920.7438624197971</v>
      </c>
      <c r="CD71" s="59">
        <f ca="1">AVERAGE(OFFSET($CC$3,0,0,'Données projet'!$E$12+1,1))-AVERAGE(OFFSET($H$3,0,0,'Données projet'!$E$12+1,1))</f>
        <v>310.06530483941287</v>
      </c>
      <c r="CE71" s="59">
        <f t="shared" si="94"/>
        <v>170.13425794309376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40.847219731120497</v>
      </c>
      <c r="CL71" s="21">
        <f>EXP(-LN(2)/25)*CL70+(1-EXP(-LN(2)/25))/(LN(2)/25)*Calculateur!CG71*Calculateur!CI71*VLOOKUP('Données projet'!$B$12,Paramètres!$A$1:$I$89,3,0)*0.475*44/12</f>
        <v>10.128404926824212</v>
      </c>
      <c r="CM71" s="21">
        <f>EXP(-LN(2)/2)*CM70+(1-EXP(-LN(2)/2))/(LN(2)/2)*CG71*CJ71*VLOOKUP('Données projet'!$B$12,Paramètres!$A$1:$I$89,3,0)*0.475*44/12</f>
        <v>0.39666163008239969</v>
      </c>
      <c r="CN71" s="22">
        <f t="shared" si="66"/>
        <v>51.372286288027105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>
        <f>CT71*VLOOKUP('Données projet'!$B$13,Paramètres!$A$1:$I$89,3,0)*VLOOKUP('Données projet'!$B$13,Paramètres!$A$1:$I$89,5,0)</f>
        <v>0</v>
      </c>
      <c r="CV71" s="13" t="e">
        <f t="shared" si="95"/>
        <v>#NUM!</v>
      </c>
      <c r="CW71" s="20" t="e">
        <f t="shared" si="67"/>
        <v>#NUM!</v>
      </c>
      <c r="CX71" s="59" t="e">
        <f t="shared" si="68"/>
        <v>#NUM!</v>
      </c>
      <c r="CY71" s="59">
        <f ca="1">AVERAGE(OFFSET($CX$3,0,0,'Données projet'!$E$13+1,1))-AVERAGE(OFFSET($H$3,0,0,'Données projet'!$E$13+1,1))</f>
        <v>168.08890945052406</v>
      </c>
      <c r="CZ71" s="59">
        <f t="shared" si="96"/>
        <v>182.52462557642343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96.782377275275877</v>
      </c>
      <c r="DG71" s="21">
        <f>EXP(-LN(2)/25)*DG70+(1-EXP(-LN(2)/25))/(LN(2)/25)*Calculateur!DB71*Calculateur!DD71*VLOOKUP('Données projet'!$B$13,Paramètres!$A$1:$I$89,3,0)*0.475*44/12</f>
        <v>22.871184126675747</v>
      </c>
      <c r="DH71" s="21">
        <f>EXP(-LN(2)/2)*DH70+(1-EXP(-LN(2)/2))/(LN(2)/2)*DB71*DE71*VLOOKUP('Données projet'!$B$13,Paramètres!$A$1:$I$89,3,0)*0.475*44/12</f>
        <v>3.5429650053467503</v>
      </c>
      <c r="DI71" s="22">
        <f t="shared" si="69"/>
        <v>123.19652640729836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-2.2737367544323206E-13</v>
      </c>
      <c r="DP71" s="17">
        <f>DO71*VLOOKUP('Données projet'!$B$14,Paramètres!$A$1:$I$89,3,0)*VLOOKUP('Données projet'!$B$14,Paramètres!$A$1:$I$89,5,0)</f>
        <v>-1.2710188457276673E-13</v>
      </c>
      <c r="DQ71" s="13" t="e">
        <f t="shared" si="97"/>
        <v>#NUM!</v>
      </c>
      <c r="DR71" s="20" t="e">
        <f t="shared" si="70"/>
        <v>#NUM!</v>
      </c>
      <c r="DS71" s="59" t="e">
        <f t="shared" si="71"/>
        <v>#NUM!</v>
      </c>
      <c r="DT71" s="59">
        <f ca="1">AVERAGE(OFFSET($DS$3,0,0,'Données projet'!$E$14+1,1))-AVERAGE(OFFSET($H$3,0,0,'Données projet'!$E$14+1,1))</f>
        <v>355.23615781077405</v>
      </c>
      <c r="DU71" s="59">
        <f t="shared" si="98"/>
        <v>448.84541017639367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220.86645527101217</v>
      </c>
      <c r="EB71" s="21">
        <f>EXP(-LN(2)/25)*EB70+(1-EXP(-LN(2)/25))/(LN(2)/25)*Calculateur!DW71*Calculateur!DY71*VLOOKUP('Données projet'!$B$14,Paramètres!$A$1:$I$89,3,0)*0.475*44/12</f>
        <v>51.608435149426001</v>
      </c>
      <c r="EC71" s="21">
        <f>EXP(-LN(2)/2)*EC70+(1-EXP(-LN(2)/2))/(LN(2)/2)*DW71*DZ71*VLOOKUP('Données projet'!$B$14,Paramètres!$A$1:$I$89,3,0)*0.475*44/12</f>
        <v>3.5200531497068304</v>
      </c>
      <c r="ED71" s="22">
        <f t="shared" si="72"/>
        <v>275.99494357014498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4.6000000000000014</v>
      </c>
      <c r="EJ71" s="12">
        <f>IF('Données projet'!$A$192&gt;35,EJ70+EI71-ER70,IF(A71&lt;'Données projet'!$A$192,$EG$205^A71,IF(A71='Données projet'!$A$192,'Données projet'!$B$192,EJ70+EI71-ER70)))</f>
        <v>109.59999999999994</v>
      </c>
      <c r="EK71" s="17">
        <f>EJ71*VLOOKUP('Données projet'!$B$15,Paramètres!$A$1:$I$89,3,0)*VLOOKUP('Données projet'!$B$15,Paramètres!$A$1:$I$89,5,0)</f>
        <v>117.97343999999993</v>
      </c>
      <c r="EL71" s="13">
        <f t="shared" si="99"/>
        <v>31.201869937389745</v>
      </c>
      <c r="EM71" s="20">
        <f t="shared" si="73"/>
        <v>259.81366480762034</v>
      </c>
      <c r="EN71" s="59">
        <f t="shared" si="74"/>
        <v>553.14699814095366</v>
      </c>
      <c r="EO71" s="59">
        <f ca="1">AVERAGE(OFFSET($EN$3,0,0,'Données projet'!$E$15+1,1))-AVERAGE(OFFSET($H$3,0,0,'Données projet'!$E$15+1,1))</f>
        <v>130.76477588601989</v>
      </c>
      <c r="EP71" s="59">
        <f t="shared" si="100"/>
        <v>94.034011511502172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10.853197614914871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10.853197614914871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-2.2737367544323206E-13</v>
      </c>
      <c r="FF71" s="17">
        <f>FE71*VLOOKUP('Données projet'!$B$16,Paramètres!$A$1:$I$89,3,0)*VLOOKUP('Données projet'!$B$16,Paramètres!$A$1:$I$89,5,0)</f>
        <v>-1.0345502232667058E-13</v>
      </c>
      <c r="FG71" s="13" t="e">
        <f t="shared" si="101"/>
        <v>#NUM!</v>
      </c>
      <c r="FH71" s="20" t="e">
        <f t="shared" si="76"/>
        <v>#NUM!</v>
      </c>
      <c r="FI71" s="59" t="e">
        <f t="shared" si="77"/>
        <v>#NUM!</v>
      </c>
      <c r="FJ71" s="59">
        <f ca="1">AVERAGE(OFFSET($FI$3,0,0,'Données projet'!$E$16+1,1))-AVERAGE(OFFSET($H$3,0,0,'Données projet'!$E$16+1,1))</f>
        <v>279.43442619866738</v>
      </c>
      <c r="FK71" s="59">
        <f t="shared" si="102"/>
        <v>355.95192241448217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179.77502173221919</v>
      </c>
      <c r="FR71" s="21">
        <f>EXP(-LN(2)/25)*FR70+(1-EXP(-LN(2)/25))/(LN(2)/25)*Calculateur!FM71*Calculateur!FO71*VLOOKUP('Données projet'!$B$16,Paramètres!$A$1:$I$89,3,0)*0.475*44/12</f>
        <v>42.006865819300238</v>
      </c>
      <c r="FS71" s="21">
        <f>EXP(-LN(2)/2)*FS70+(1-EXP(-LN(2)/2))/(LN(2)/2)*FM71*FP71*VLOOKUP('Données projet'!$B$16,Paramètres!$A$1:$I$89,3,0)*0.475*44/12</f>
        <v>2.8651595404590484</v>
      </c>
      <c r="FT71" s="22">
        <f t="shared" si="78"/>
        <v>224.64704709197846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-1.1368683772161603E-13</v>
      </c>
      <c r="O72" s="13">
        <f>N72*VLOOKUP('Données projet'!$B$9,Paramètres!$A$1:$I$89,3,0)*VLOOKUP('Données projet'!$B$9,Paramètres!$A$1:$I$89,5,0)</f>
        <v>-6.7984728957526396E-14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227.89848316900191</v>
      </c>
      <c r="T72" s="59">
        <f t="shared" si="88"/>
        <v>239.85955661394541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119.9127658378051</v>
      </c>
      <c r="AA72" s="21">
        <f>EXP(-LN(2)/25)*AA71+(1-EXP(-LN(2)/25))/(LN(2)/25)*Calculateur!V72*Calculateur!X72*VLOOKUP('Données projet'!$B$9,Paramètres!$A$1:$I$89,3,0)*0.475*44/12</f>
        <v>26.912829136967225</v>
      </c>
      <c r="AB72" s="21">
        <f>EXP(-LN(2)/2)*AB71+(1-EXP(-LN(2)/2))/(LN(2)/2)*V72*Y72*VLOOKUP('Données projet'!$B$9,Paramètres!$A$1:$I$89,3,0)*0.475*44/12</f>
        <v>3.2401453803767426</v>
      </c>
      <c r="AC72" s="22">
        <f t="shared" si="57"/>
        <v>150.06574035514905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8.125</v>
      </c>
      <c r="AI72" s="13">
        <f>IF('Données projet'!$A$62&gt;35,AI71+AH72-AQ71,IF(A72&lt;'Données projet'!$A$62,$AF$205^A72,IF(A72='Données projet'!$A$62,'Données projet'!$B$62,AI71+AH72-AQ71)))</f>
        <v>211.87500000000017</v>
      </c>
      <c r="AJ72" s="13">
        <f>AI72*VLOOKUP('Données projet'!$B$10,Paramètres!$A$1:$I$89,3,0)*VLOOKUP('Données projet'!$B$10,Paramètres!$A$1:$I$89,5,0)</f>
        <v>191.70450000000014</v>
      </c>
      <c r="AK72" s="13">
        <f t="shared" si="89"/>
        <v>47.916597499815005</v>
      </c>
      <c r="AL72" s="20">
        <f t="shared" si="58"/>
        <v>417.34007814551131</v>
      </c>
      <c r="AM72" s="59">
        <f t="shared" si="59"/>
        <v>710.67341147884463</v>
      </c>
      <c r="AN72" s="59">
        <f ca="1">AVERAGE(OFFSET($AM$3,0,0,'Données projet'!$E$10+1,1))-AVERAGE(OFFSET($H$3,0,0,'Données projet'!$E$10+1,1))</f>
        <v>215.7418266360167</v>
      </c>
      <c r="AO72" s="59">
        <f t="shared" si="90"/>
        <v>155.78420008229949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17.156237576180974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17.156237576180974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5.75</v>
      </c>
      <c r="BD72" s="12">
        <f>IF('Données projet'!$A$88&gt;35,BD71+BC72-BL71,IF(A72&lt;'Données projet'!$A$88,$BA$205^A72,IF(A72='Données projet'!$A$88,'Données projet'!$B$88,BD71+BC72-BL71)))</f>
        <v>142.75</v>
      </c>
      <c r="BE72" s="13">
        <f>BD72*VLOOKUP('Données projet'!$B$11,Paramètres!$A$1:$I$89,3,0)*VLOOKUP('Données projet'!$B$11,Paramètres!$A$1:$I$89,5,0)</f>
        <v>144.74850000000001</v>
      </c>
      <c r="BF72" s="13">
        <f t="shared" si="91"/>
        <v>37.38269942487895</v>
      </c>
      <c r="BG72" s="20">
        <f t="shared" si="61"/>
        <v>317.21183899833085</v>
      </c>
      <c r="BH72" s="59">
        <f t="shared" si="62"/>
        <v>610.54517233166416</v>
      </c>
      <c r="BI72" s="59">
        <f ca="1">AVERAGE(OFFSET($BH$3,0,0,'Données projet'!$E$11+1,1))-AVERAGE(OFFSET($H$3,0,0,'Données projet'!$E$11+1,1))</f>
        <v>179.53921263314447</v>
      </c>
      <c r="BJ72" s="59">
        <f t="shared" si="92"/>
        <v>120.81513023281337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12.529424762978506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12.529424762978506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22.381733539094633</v>
      </c>
      <c r="BY72" s="12">
        <f>IF('Données projet'!$A$114&gt;35,BY71+BX72-CG71,IF(A72&lt;'Données projet'!$A$114,$BV$205^A72,IF(A72='Données projet'!$A$114,'Données projet'!$B$114,BY71+BX72-CG71)))</f>
        <v>644.08714506172862</v>
      </c>
      <c r="BZ72" s="13">
        <f>BY72*VLOOKUP('Données projet'!$B$12,Paramètres!$A$1:$I$89,3,0)*VLOOKUP('Données projet'!$B$12,Paramètres!$A$1:$I$89,5,0)</f>
        <v>301.43278388888899</v>
      </c>
      <c r="CA72" s="13">
        <f t="shared" si="93"/>
        <v>71.476746670742571</v>
      </c>
      <c r="CB72" s="20">
        <f t="shared" si="64"/>
        <v>649.48409905802498</v>
      </c>
      <c r="CC72" s="59">
        <f t="shared" si="65"/>
        <v>942.81743239135835</v>
      </c>
      <c r="CD72" s="59">
        <f ca="1">AVERAGE(OFFSET($CC$3,0,0,'Données projet'!$E$12+1,1))-AVERAGE(OFFSET($H$3,0,0,'Données projet'!$E$12+1,1))</f>
        <v>310.06530483941287</v>
      </c>
      <c r="CE72" s="59">
        <f t="shared" si="94"/>
        <v>170.13425794309376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40.04623066653717</v>
      </c>
      <c r="CL72" s="21">
        <f>EXP(-LN(2)/25)*CL71+(1-EXP(-LN(2)/25))/(LN(2)/25)*Calculateur!CG72*Calculateur!CI72*VLOOKUP('Données projet'!$B$12,Paramètres!$A$1:$I$89,3,0)*0.475*44/12</f>
        <v>9.851443161470538</v>
      </c>
      <c r="CM72" s="21">
        <f>EXP(-LN(2)/2)*CM71+(1-EXP(-LN(2)/2))/(LN(2)/2)*CG72*CJ72*VLOOKUP('Données projet'!$B$12,Paramètres!$A$1:$I$89,3,0)*0.475*44/12</f>
        <v>0.28048212846777465</v>
      </c>
      <c r="CN72" s="22">
        <f t="shared" si="66"/>
        <v>50.178155956475486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>
        <f>CT72*VLOOKUP('Données projet'!$B$13,Paramètres!$A$1:$I$89,3,0)*VLOOKUP('Données projet'!$B$13,Paramètres!$A$1:$I$89,5,0)</f>
        <v>0</v>
      </c>
      <c r="CV72" s="13" t="e">
        <f t="shared" si="95"/>
        <v>#NUM!</v>
      </c>
      <c r="CW72" s="20" t="e">
        <f t="shared" si="67"/>
        <v>#NUM!</v>
      </c>
      <c r="CX72" s="59" t="e">
        <f t="shared" si="68"/>
        <v>#NUM!</v>
      </c>
      <c r="CY72" s="59">
        <f ca="1">AVERAGE(OFFSET($CX$3,0,0,'Données projet'!$E$13+1,1))-AVERAGE(OFFSET($H$3,0,0,'Données projet'!$E$13+1,1))</f>
        <v>168.08890945052406</v>
      </c>
      <c r="CZ72" s="59">
        <f t="shared" si="96"/>
        <v>182.52462557642343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94.884533888328988</v>
      </c>
      <c r="DG72" s="21">
        <f>EXP(-LN(2)/25)*DG71+(1-EXP(-LN(2)/25))/(LN(2)/25)*Calculateur!DB72*Calculateur!DD72*VLOOKUP('Données projet'!$B$13,Paramètres!$A$1:$I$89,3,0)*0.475*44/12</f>
        <v>22.245770393988497</v>
      </c>
      <c r="DH72" s="21">
        <f>EXP(-LN(2)/2)*DH71+(1-EXP(-LN(2)/2))/(LN(2)/2)*DB72*DE72*VLOOKUP('Données projet'!$B$13,Paramètres!$A$1:$I$89,3,0)*0.475*44/12</f>
        <v>2.5052545807873199</v>
      </c>
      <c r="DI72" s="22">
        <f t="shared" si="69"/>
        <v>119.63555886310481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-2.2737367544323206E-13</v>
      </c>
      <c r="DP72" s="17">
        <f>DO72*VLOOKUP('Données projet'!$B$14,Paramètres!$A$1:$I$89,3,0)*VLOOKUP('Données projet'!$B$14,Paramètres!$A$1:$I$89,5,0)</f>
        <v>-1.2710188457276673E-13</v>
      </c>
      <c r="DQ72" s="13" t="e">
        <f t="shared" si="97"/>
        <v>#NUM!</v>
      </c>
      <c r="DR72" s="20" t="e">
        <f t="shared" si="70"/>
        <v>#NUM!</v>
      </c>
      <c r="DS72" s="59" t="e">
        <f t="shared" si="71"/>
        <v>#NUM!</v>
      </c>
      <c r="DT72" s="59">
        <f ca="1">AVERAGE(OFFSET($DS$3,0,0,'Données projet'!$E$14+1,1))-AVERAGE(OFFSET($H$3,0,0,'Données projet'!$E$14+1,1))</f>
        <v>355.23615781077405</v>
      </c>
      <c r="DU72" s="59">
        <f t="shared" si="98"/>
        <v>448.84541017639367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216.53539879838331</v>
      </c>
      <c r="EB72" s="21">
        <f>EXP(-LN(2)/25)*EB71+(1-EXP(-LN(2)/25))/(LN(2)/25)*Calculateur!DW72*Calculateur!DY72*VLOOKUP('Données projet'!$B$14,Paramètres!$A$1:$I$89,3,0)*0.475*44/12</f>
        <v>50.197199776295292</v>
      </c>
      <c r="EC72" s="21">
        <f>EXP(-LN(2)/2)*EC71+(1-EXP(-LN(2)/2))/(LN(2)/2)*DW72*DZ72*VLOOKUP('Données projet'!$B$14,Paramètres!$A$1:$I$89,3,0)*0.475*44/12</f>
        <v>2.4890534522947654</v>
      </c>
      <c r="ED72" s="22">
        <f t="shared" si="72"/>
        <v>269.22165202697335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4.6000000000000014</v>
      </c>
      <c r="EJ72" s="12">
        <f>IF('Données projet'!$A$192&gt;35,EJ71+EI72-ER71,IF(A72&lt;'Données projet'!$A$192,$EG$205^A72,IF(A72='Données projet'!$A$192,'Données projet'!$B$192,EJ71+EI72-ER71)))</f>
        <v>114.19999999999993</v>
      </c>
      <c r="EK72" s="17">
        <f>EJ72*VLOOKUP('Données projet'!$B$15,Paramètres!$A$1:$I$89,3,0)*VLOOKUP('Données projet'!$B$15,Paramètres!$A$1:$I$89,5,0)</f>
        <v>122.92487999999992</v>
      </c>
      <c r="EL72" s="13">
        <f t="shared" si="99"/>
        <v>32.356220469980919</v>
      </c>
      <c r="EM72" s="20">
        <f t="shared" si="73"/>
        <v>270.44791665188325</v>
      </c>
      <c r="EN72" s="59">
        <f t="shared" si="74"/>
        <v>563.78124998521662</v>
      </c>
      <c r="EO72" s="59">
        <f ca="1">AVERAGE(OFFSET($EN$3,0,0,'Données projet'!$E$15+1,1))-AVERAGE(OFFSET($H$3,0,0,'Données projet'!$E$15+1,1))</f>
        <v>130.76477588601989</v>
      </c>
      <c r="EP72" s="59">
        <f t="shared" si="100"/>
        <v>94.034011511502172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10.640373029483285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10.640373029483285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-2.2737367544323206E-13</v>
      </c>
      <c r="FF72" s="17">
        <f>FE72*VLOOKUP('Données projet'!$B$16,Paramètres!$A$1:$I$89,3,0)*VLOOKUP('Données projet'!$B$16,Paramètres!$A$1:$I$89,5,0)</f>
        <v>-1.0345502232667058E-13</v>
      </c>
      <c r="FG72" s="13" t="e">
        <f t="shared" si="101"/>
        <v>#NUM!</v>
      </c>
      <c r="FH72" s="20" t="e">
        <f t="shared" si="76"/>
        <v>#NUM!</v>
      </c>
      <c r="FI72" s="59" t="e">
        <f t="shared" si="77"/>
        <v>#NUM!</v>
      </c>
      <c r="FJ72" s="59">
        <f ca="1">AVERAGE(OFFSET($FI$3,0,0,'Données projet'!$E$16+1,1))-AVERAGE(OFFSET($H$3,0,0,'Données projet'!$E$16+1,1))</f>
        <v>279.43442619866738</v>
      </c>
      <c r="FK72" s="59">
        <f t="shared" si="102"/>
        <v>355.95192241448217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176.2497432079864</v>
      </c>
      <c r="FR72" s="21">
        <f>EXP(-LN(2)/25)*FR71+(1-EXP(-LN(2)/25))/(LN(2)/25)*Calculateur!FM72*Calculateur!FO72*VLOOKUP('Données projet'!$B$16,Paramètres!$A$1:$I$89,3,0)*0.475*44/12</f>
        <v>40.85818586442641</v>
      </c>
      <c r="FS72" s="21">
        <f>EXP(-LN(2)/2)*FS71+(1-EXP(-LN(2)/2))/(LN(2)/2)*FM72*FP72*VLOOKUP('Données projet'!$B$16,Paramètres!$A$1:$I$89,3,0)*0.475*44/12</f>
        <v>2.0259737402399254</v>
      </c>
      <c r="FT72" s="22">
        <f t="shared" si="78"/>
        <v>219.13390281265274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-1.1368683772161603E-13</v>
      </c>
      <c r="O73" s="13">
        <f>N73*VLOOKUP('Données projet'!$B$9,Paramètres!$A$1:$I$89,3,0)*VLOOKUP('Données projet'!$B$9,Paramètres!$A$1:$I$89,5,0)</f>
        <v>-6.7984728957526396E-14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227.89848316900191</v>
      </c>
      <c r="T73" s="59">
        <f t="shared" si="88"/>
        <v>239.85955661394541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117.56134963929097</v>
      </c>
      <c r="AA73" s="21">
        <f>EXP(-LN(2)/25)*AA72+(1-EXP(-LN(2)/25))/(LN(2)/25)*Calculateur!V73*Calculateur!X73*VLOOKUP('Données projet'!$B$9,Paramètres!$A$1:$I$89,3,0)*0.475*44/12</f>
        <v>26.176896408932681</v>
      </c>
      <c r="AB73" s="21">
        <f>EXP(-LN(2)/2)*AB72+(1-EXP(-LN(2)/2))/(LN(2)/2)*V73*Y73*VLOOKUP('Données projet'!$B$9,Paramètres!$A$1:$I$89,3,0)*0.475*44/12</f>
        <v>2.2911287704946601</v>
      </c>
      <c r="AC73" s="22">
        <f t="shared" si="57"/>
        <v>146.02937481871831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220</v>
      </c>
      <c r="AG73" s="12">
        <f>VLOOKUP(A73,'Données projet'!$A$61:$I$81,9,0)</f>
        <v>8.125</v>
      </c>
      <c r="AH73" s="12">
        <f t="array" ref="AH73">INDEX(AG:AG,MIN(IF(ISNUMBER(AG73:AG269),ROW(AG73:AG269),"")))</f>
        <v>8.125</v>
      </c>
      <c r="AI73" s="13">
        <f>IF('Données projet'!$A$62&gt;35,AI72+AH73-AQ72,IF(A73&lt;'Données projet'!$A$62,$AF$205^A73,IF(A73='Données projet'!$A$62,'Données projet'!$B$62,AI72+AH73-AQ72)))</f>
        <v>220.00000000000017</v>
      </c>
      <c r="AJ73" s="13">
        <f>AI73*VLOOKUP('Données projet'!$B$10,Paramètres!$A$1:$I$89,3,0)*VLOOKUP('Données projet'!$B$10,Paramètres!$A$1:$I$89,5,0)</f>
        <v>199.05600000000015</v>
      </c>
      <c r="AK73" s="13">
        <f t="shared" si="89"/>
        <v>49.536648006253976</v>
      </c>
      <c r="AL73" s="20">
        <f t="shared" si="58"/>
        <v>432.96552861089259</v>
      </c>
      <c r="AM73" s="59">
        <f t="shared" si="59"/>
        <v>726.29886194422591</v>
      </c>
      <c r="AN73" s="59">
        <f ca="1">AVERAGE(OFFSET($AM$3,0,0,'Données projet'!$E$10+1,1))-AVERAGE(OFFSET($H$3,0,0,'Données projet'!$E$10+1,1))</f>
        <v>215.7418266360167</v>
      </c>
      <c r="AO73" s="59">
        <f t="shared" si="90"/>
        <v>155.78420008229949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53</v>
      </c>
      <c r="AR73" s="16">
        <f>IF(ISNA(VLOOKUP(A73,'Données projet'!$A$61:$I$81,5,0)),0%,VLOOKUP(A73,'Données projet'!$A$61:$I$81,5,0)*VLOOKUP('Données projet'!$B$10,Paramètres!$A$1:$I$89,7,0))</f>
        <v>0.30099999999999999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32.77647702083447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32.77647702083447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5.75</v>
      </c>
      <c r="BD73" s="12">
        <f>IF('Données projet'!$A$88&gt;35,BD72+BC73-BL72,IF(A73&lt;'Données projet'!$A$88,$BA$205^A73,IF(A73='Données projet'!$A$88,'Données projet'!$B$88,BD72+BC73-BL72)))</f>
        <v>148.5</v>
      </c>
      <c r="BE73" s="13">
        <f>BD73*VLOOKUP('Données projet'!$B$11,Paramètres!$A$1:$I$89,3,0)*VLOOKUP('Données projet'!$B$11,Paramètres!$A$1:$I$89,5,0)</f>
        <v>150.57900000000001</v>
      </c>
      <c r="BF73" s="13">
        <f t="shared" si="91"/>
        <v>38.71013593121895</v>
      </c>
      <c r="BG73" s="20">
        <f t="shared" si="61"/>
        <v>329.6785784135397</v>
      </c>
      <c r="BH73" s="59">
        <f t="shared" si="62"/>
        <v>623.01191174687301</v>
      </c>
      <c r="BI73" s="59">
        <f ca="1">AVERAGE(OFFSET($BH$3,0,0,'Données projet'!$E$11+1,1))-AVERAGE(OFFSET($H$3,0,0,'Données projet'!$E$11+1,1))</f>
        <v>179.53921263314447</v>
      </c>
      <c r="BJ73" s="59">
        <f t="shared" si="92"/>
        <v>120.81513023281337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12.283730385570999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12.283730385570999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666.46887860082302</v>
      </c>
      <c r="BW73" s="12">
        <f>VLOOKUP(A73,'Données projet'!$A$113:$I$133,9,0)</f>
        <v>22.381733539094633</v>
      </c>
      <c r="BX73" s="12">
        <f t="array" ref="BX73">INDEX(BW:BW,MIN(IF(ISNUMBER(BW73:BW269),ROW(BW73:BW269),"")))</f>
        <v>22.381733539094633</v>
      </c>
      <c r="BY73" s="12">
        <f>IF('Données projet'!$A$114&gt;35,BY72+BX73-CG72,IF(A73&lt;'Données projet'!$A$114,$BV$205^A73,IF(A73='Données projet'!$A$114,'Données projet'!$B$114,BY72+BX73-CG72)))</f>
        <v>666.46887860082325</v>
      </c>
      <c r="BZ73" s="13">
        <f>BY73*VLOOKUP('Données projet'!$B$12,Paramètres!$A$1:$I$89,3,0)*VLOOKUP('Données projet'!$B$12,Paramètres!$A$1:$I$89,5,0)</f>
        <v>311.90743518518525</v>
      </c>
      <c r="CA73" s="13">
        <f t="shared" si="93"/>
        <v>73.66703623125602</v>
      </c>
      <c r="CB73" s="20">
        <f t="shared" si="64"/>
        <v>671.54220438363518</v>
      </c>
      <c r="CC73" s="59">
        <f t="shared" si="65"/>
        <v>964.87553771696844</v>
      </c>
      <c r="CD73" s="59">
        <f ca="1">AVERAGE(OFFSET($CC$3,0,0,'Données projet'!$E$12+1,1))-AVERAGE(OFFSET($H$3,0,0,'Données projet'!$E$12+1,1))</f>
        <v>310.06530483941287</v>
      </c>
      <c r="CE73" s="59">
        <f t="shared" si="94"/>
        <v>170.13425794309376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111.0774691358025</v>
      </c>
      <c r="CH73" s="16">
        <f>IF(ISNA(VLOOKUP(A73,'Données projet'!$A$113:$I$133,5,0)),0%,VLOOKUP(A73,'Données projet'!$A$113:$I$133,5,0)*VLOOKUP('Données projet'!$B$12,Paramètres!$A$1:$I$89,7,0))</f>
        <v>0.38500000000000001</v>
      </c>
      <c r="CI73" s="16">
        <f>IF(ISNA(VLOOKUP(A73,'Données projet'!$A$113:$I$133,6,0)),0%,VLOOKUP(A73,'Données projet'!$A$113:$I$133,6,0)*VLOOKUP('Données projet'!$B$12,Paramètres!$A$1:$I$89,7,0))</f>
        <v>9.240000000000001E-2</v>
      </c>
      <c r="CJ73" s="16">
        <f>IF(ISNA(VLOOKUP(A73,'Données projet'!$A$113:$I$133,7,0)),0%,VLOOKUP(A73,'Données projet'!$A$113:$I$133,7,0))</f>
        <v>0.13200000000000001</v>
      </c>
      <c r="CK73" s="21">
        <f>EXP(-LN(2)/35)*CK72+(1-EXP(-LN(2)/35))/(LN(2)/35)*CG73*CH73*VLOOKUP('Données projet'!$B$12,Paramètres!$A$1:$I$89,3,0)*0.475*44/12</f>
        <v>65.810727789012134</v>
      </c>
      <c r="CL73" s="21">
        <f>EXP(-LN(2)/25)*CL72+(1-EXP(-LN(2)/25))/(LN(2)/25)*Calculateur!CG73*Calculateur!CI73*VLOOKUP('Données projet'!$B$12,Paramètres!$A$1:$I$89,3,0)*0.475*44/12</f>
        <v>15.928913174020602</v>
      </c>
      <c r="CM73" s="21">
        <f>EXP(-LN(2)/2)*CM72+(1-EXP(-LN(2)/2))/(LN(2)/2)*CG73*CJ73*VLOOKUP('Données projet'!$B$12,Paramètres!$A$1:$I$89,3,0)*0.475*44/12</f>
        <v>7.9676202246199921</v>
      </c>
      <c r="CN73" s="22">
        <f t="shared" si="66"/>
        <v>89.707261187652733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>
        <f>CT73*VLOOKUP('Données projet'!$B$13,Paramètres!$A$1:$I$89,3,0)*VLOOKUP('Données projet'!$B$13,Paramètres!$A$1:$I$89,5,0)</f>
        <v>0</v>
      </c>
      <c r="CV73" s="13" t="e">
        <f t="shared" si="95"/>
        <v>#NUM!</v>
      </c>
      <c r="CW73" s="20" t="e">
        <f t="shared" si="67"/>
        <v>#NUM!</v>
      </c>
      <c r="CX73" s="59" t="e">
        <f t="shared" si="68"/>
        <v>#NUM!</v>
      </c>
      <c r="CY73" s="59">
        <f ca="1">AVERAGE(OFFSET($CX$3,0,0,'Données projet'!$E$13+1,1))-AVERAGE(OFFSET($H$3,0,0,'Données projet'!$E$13+1,1))</f>
        <v>168.08890945052406</v>
      </c>
      <c r="CZ73" s="59">
        <f t="shared" si="96"/>
        <v>182.52462557642343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93.023906052629954</v>
      </c>
      <c r="DG73" s="21">
        <f>EXP(-LN(2)/25)*DG72+(1-EXP(-LN(2)/25))/(LN(2)/25)*Calculateur!DB73*Calculateur!DD73*VLOOKUP('Données projet'!$B$13,Paramètres!$A$1:$I$89,3,0)*0.475*44/12</f>
        <v>21.637458632710661</v>
      </c>
      <c r="DH73" s="21">
        <f>EXP(-LN(2)/2)*DH72+(1-EXP(-LN(2)/2))/(LN(2)/2)*DB73*DE73*VLOOKUP('Données projet'!$B$13,Paramètres!$A$1:$I$89,3,0)*0.475*44/12</f>
        <v>1.7714825026733754</v>
      </c>
      <c r="DI73" s="22">
        <f t="shared" si="69"/>
        <v>116.43284718801399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-2.2737367544323206E-13</v>
      </c>
      <c r="DP73" s="17">
        <f>DO73*VLOOKUP('Données projet'!$B$14,Paramètres!$A$1:$I$89,3,0)*VLOOKUP('Données projet'!$B$14,Paramètres!$A$1:$I$89,5,0)</f>
        <v>-1.2710188457276673E-13</v>
      </c>
      <c r="DQ73" s="13" t="e">
        <f t="shared" si="97"/>
        <v>#NUM!</v>
      </c>
      <c r="DR73" s="20" t="e">
        <f t="shared" si="70"/>
        <v>#NUM!</v>
      </c>
      <c r="DS73" s="59" t="e">
        <f t="shared" si="71"/>
        <v>#NUM!</v>
      </c>
      <c r="DT73" s="59">
        <f ca="1">AVERAGE(OFFSET($DS$3,0,0,'Données projet'!$E$14+1,1))-AVERAGE(OFFSET($H$3,0,0,'Données projet'!$E$14+1,1))</f>
        <v>355.23615781077405</v>
      </c>
      <c r="DU73" s="59">
        <f t="shared" si="98"/>
        <v>448.84541017639367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212.2892717014991</v>
      </c>
      <c r="EB73" s="21">
        <f>EXP(-LN(2)/25)*EB72+(1-EXP(-LN(2)/25))/(LN(2)/25)*Calculateur!DW73*Calculateur!DY73*VLOOKUP('Données projet'!$B$14,Paramètres!$A$1:$I$89,3,0)*0.475*44/12</f>
        <v>48.824554708656486</v>
      </c>
      <c r="EC73" s="21">
        <f>EXP(-LN(2)/2)*EC72+(1-EXP(-LN(2)/2))/(LN(2)/2)*DW73*DZ73*VLOOKUP('Données projet'!$B$14,Paramètres!$A$1:$I$89,3,0)*0.475*44/12</f>
        <v>1.7600265748534154</v>
      </c>
      <c r="ED73" s="22">
        <f t="shared" si="72"/>
        <v>262.87385298500902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4.6000000000000014</v>
      </c>
      <c r="EJ73" s="12">
        <f>IF('Données projet'!$A$192&gt;35,EJ72+EI73-ER72,IF(A73&lt;'Données projet'!$A$192,$EG$205^A73,IF(A73='Données projet'!$A$192,'Données projet'!$B$192,EJ72+EI73-ER72)))</f>
        <v>118.79999999999993</v>
      </c>
      <c r="EK73" s="17">
        <f>EJ73*VLOOKUP('Données projet'!$B$15,Paramètres!$A$1:$I$89,3,0)*VLOOKUP('Données projet'!$B$15,Paramètres!$A$1:$I$89,5,0)</f>
        <v>127.87631999999991</v>
      </c>
      <c r="EL73" s="13">
        <f t="shared" si="99"/>
        <v>33.505169821414185</v>
      </c>
      <c r="EM73" s="20">
        <f t="shared" si="73"/>
        <v>281.07276143896286</v>
      </c>
      <c r="EN73" s="59">
        <f t="shared" si="74"/>
        <v>574.40609477229623</v>
      </c>
      <c r="EO73" s="59">
        <f ca="1">AVERAGE(OFFSET($EN$3,0,0,'Données projet'!$E$15+1,1))-AVERAGE(OFFSET($H$3,0,0,'Données projet'!$E$15+1,1))</f>
        <v>130.76477588601989</v>
      </c>
      <c r="EP73" s="59">
        <f t="shared" si="100"/>
        <v>94.034011511502172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10.431721804361834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10.431721804361834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-2.2737367544323206E-13</v>
      </c>
      <c r="FF73" s="17">
        <f>FE73*VLOOKUP('Données projet'!$B$16,Paramètres!$A$1:$I$89,3,0)*VLOOKUP('Données projet'!$B$16,Paramètres!$A$1:$I$89,5,0)</f>
        <v>-1.0345502232667058E-13</v>
      </c>
      <c r="FG73" s="13" t="e">
        <f t="shared" si="101"/>
        <v>#NUM!</v>
      </c>
      <c r="FH73" s="20" t="e">
        <f t="shared" si="76"/>
        <v>#NUM!</v>
      </c>
      <c r="FI73" s="59" t="e">
        <f t="shared" si="77"/>
        <v>#NUM!</v>
      </c>
      <c r="FJ73" s="59">
        <f ca="1">AVERAGE(OFFSET($FI$3,0,0,'Données projet'!$E$16+1,1))-AVERAGE(OFFSET($H$3,0,0,'Données projet'!$E$16+1,1))</f>
        <v>279.43442619866738</v>
      </c>
      <c r="FK73" s="59">
        <f t="shared" si="102"/>
        <v>355.95192241448217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172.79359324540621</v>
      </c>
      <c r="FR73" s="21">
        <f>EXP(-LN(2)/25)*FR72+(1-EXP(-LN(2)/25))/(LN(2)/25)*Calculateur!FM73*Calculateur!FO73*VLOOKUP('Données projet'!$B$16,Paramètres!$A$1:$I$89,3,0)*0.475*44/12</f>
        <v>39.740916623325056</v>
      </c>
      <c r="FS73" s="21">
        <f>EXP(-LN(2)/2)*FS72+(1-EXP(-LN(2)/2))/(LN(2)/2)*FM73*FP73*VLOOKUP('Données projet'!$B$16,Paramètres!$A$1:$I$89,3,0)*0.475*44/12</f>
        <v>1.4325797702295242</v>
      </c>
      <c r="FT73" s="22">
        <f t="shared" si="78"/>
        <v>213.9670896389608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-1.1368683772161603E-13</v>
      </c>
      <c r="O74" s="13">
        <f>N74*VLOOKUP('Données projet'!$B$9,Paramètres!$A$1:$I$89,3,0)*VLOOKUP('Données projet'!$B$9,Paramètres!$A$1:$I$89,5,0)</f>
        <v>-6.7984728957526396E-14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227.89848316900191</v>
      </c>
      <c r="T74" s="59">
        <f t="shared" si="88"/>
        <v>239.85955661394541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115.25604327820744</v>
      </c>
      <c r="AA74" s="21">
        <f>EXP(-LN(2)/25)*AA73+(1-EXP(-LN(2)/25))/(LN(2)/25)*Calculateur!V74*Calculateur!X74*VLOOKUP('Données projet'!$B$9,Paramètres!$A$1:$I$89,3,0)*0.475*44/12</f>
        <v>25.461087800047263</v>
      </c>
      <c r="AB74" s="21">
        <f>EXP(-LN(2)/2)*AB73+(1-EXP(-LN(2)/2))/(LN(2)/2)*V74*Y74*VLOOKUP('Données projet'!$B$9,Paramètres!$A$1:$I$89,3,0)*0.475*44/12</f>
        <v>1.6200726901883713</v>
      </c>
      <c r="AC74" s="22">
        <f t="shared" si="57"/>
        <v>142.33720376844309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7.5</v>
      </c>
      <c r="AI74" s="13">
        <f>IF('Données projet'!$A$62&gt;35,AI73+AH74-AQ73,IF(A74&lt;'Données projet'!$A$62,$AF$205^A74,IF(A74='Données projet'!$A$62,'Données projet'!$B$62,AI73+AH74-AQ73)))</f>
        <v>174.50000000000017</v>
      </c>
      <c r="AJ74" s="13">
        <f>AI74*VLOOKUP('Données projet'!$B$10,Paramètres!$A$1:$I$89,3,0)*VLOOKUP('Données projet'!$B$10,Paramètres!$A$1:$I$89,5,0)</f>
        <v>157.88760000000016</v>
      </c>
      <c r="AK74" s="13">
        <f t="shared" si="89"/>
        <v>40.365689775715261</v>
      </c>
      <c r="AL74" s="20">
        <f t="shared" si="58"/>
        <v>345.29114635937094</v>
      </c>
      <c r="AM74" s="59">
        <f t="shared" si="59"/>
        <v>638.6244796927042</v>
      </c>
      <c r="AN74" s="59">
        <f ca="1">AVERAGE(OFFSET($AM$3,0,0,'Données projet'!$E$10+1,1))-AVERAGE(OFFSET($H$3,0,0,'Données projet'!$E$10+1,1))</f>
        <v>215.7418266360167</v>
      </c>
      <c r="AO74" s="59">
        <f t="shared" si="90"/>
        <v>155.78420008229949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32.133750298132874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32.133750298132874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5.75</v>
      </c>
      <c r="BD74" s="12">
        <f>IF('Données projet'!$A$88&gt;35,BD73+BC74-BL73,IF(A74&lt;'Données projet'!$A$88,$BA$205^A74,IF(A74='Données projet'!$A$88,'Données projet'!$B$88,BD73+BC74-BL73)))</f>
        <v>154.25</v>
      </c>
      <c r="BE74" s="13">
        <f>BD74*VLOOKUP('Données projet'!$B$11,Paramètres!$A$1:$I$89,3,0)*VLOOKUP('Données projet'!$B$11,Paramètres!$A$1:$I$89,5,0)</f>
        <v>156.40950000000001</v>
      </c>
      <c r="BF74" s="13">
        <f t="shared" si="91"/>
        <v>40.031601473819443</v>
      </c>
      <c r="BG74" s="20">
        <f t="shared" si="61"/>
        <v>342.13491840023556</v>
      </c>
      <c r="BH74" s="59">
        <f t="shared" si="62"/>
        <v>635.46825173356888</v>
      </c>
      <c r="BI74" s="59">
        <f ca="1">AVERAGE(OFFSET($BH$3,0,0,'Données projet'!$E$11+1,1))-AVERAGE(OFFSET($H$3,0,0,'Données projet'!$E$11+1,1))</f>
        <v>179.53921263314447</v>
      </c>
      <c r="BJ74" s="59">
        <f t="shared" si="92"/>
        <v>120.81513023281337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12.04285392504568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12.04285392504568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25.853044410150915</v>
      </c>
      <c r="BY74" s="12">
        <f>IF('Données projet'!$A$114&gt;35,BY73+BX74-CG73,IF(A74&lt;'Données projet'!$A$114,$BV$205^A74,IF(A74='Données projet'!$A$114,'Données projet'!$B$114,BY73+BX74-CG73)))</f>
        <v>581.24445387517164</v>
      </c>
      <c r="BZ74" s="13">
        <f>BY74*VLOOKUP('Données projet'!$B$12,Paramètres!$A$1:$I$89,3,0)*VLOOKUP('Données projet'!$B$12,Paramètres!$A$1:$I$89,5,0)</f>
        <v>272.02240441358032</v>
      </c>
      <c r="CA74" s="13">
        <f t="shared" si="93"/>
        <v>65.278287957996284</v>
      </c>
      <c r="CB74" s="20">
        <f t="shared" si="64"/>
        <v>587.46537254716259</v>
      </c>
      <c r="CC74" s="59">
        <f t="shared" si="65"/>
        <v>880.79870588049585</v>
      </c>
      <c r="CD74" s="59">
        <f ca="1">AVERAGE(OFFSET($CC$3,0,0,'Données projet'!$E$12+1,1))-AVERAGE(OFFSET($H$3,0,0,'Données projet'!$E$12+1,1))</f>
        <v>310.06530483941287</v>
      </c>
      <c r="CE74" s="59">
        <f t="shared" si="94"/>
        <v>170.13425794309376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64.520219557650009</v>
      </c>
      <c r="CL74" s="21">
        <f>EXP(-LN(2)/25)*CL73+(1-EXP(-LN(2)/25))/(LN(2)/25)*Calculateur!CG74*Calculateur!CI74*VLOOKUP('Données projet'!$B$12,Paramètres!$A$1:$I$89,3,0)*0.475*44/12</f>
        <v>15.493336205611872</v>
      </c>
      <c r="CM74" s="21">
        <f>EXP(-LN(2)/2)*CM73+(1-EXP(-LN(2)/2))/(LN(2)/2)*CG74*CJ74*VLOOKUP('Données projet'!$B$12,Paramètres!$A$1:$I$89,3,0)*0.475*44/12</f>
        <v>5.6339582907478798</v>
      </c>
      <c r="CN74" s="22">
        <f t="shared" si="66"/>
        <v>85.647514054009761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>
        <f>CT74*VLOOKUP('Données projet'!$B$13,Paramètres!$A$1:$I$89,3,0)*VLOOKUP('Données projet'!$B$13,Paramètres!$A$1:$I$89,5,0)</f>
        <v>0</v>
      </c>
      <c r="CV74" s="13" t="e">
        <f t="shared" si="95"/>
        <v>#NUM!</v>
      </c>
      <c r="CW74" s="20" t="e">
        <f t="shared" si="67"/>
        <v>#NUM!</v>
      </c>
      <c r="CX74" s="59" t="e">
        <f t="shared" si="68"/>
        <v>#NUM!</v>
      </c>
      <c r="CY74" s="59">
        <f ca="1">AVERAGE(OFFSET($CX$3,0,0,'Données projet'!$E$13+1,1))-AVERAGE(OFFSET($H$3,0,0,'Données projet'!$E$13+1,1))</f>
        <v>168.08890945052406</v>
      </c>
      <c r="CZ74" s="59">
        <f t="shared" si="96"/>
        <v>182.52462557642343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91.199763993918069</v>
      </c>
      <c r="DG74" s="21">
        <f>EXP(-LN(2)/25)*DG73+(1-EXP(-LN(2)/25))/(LN(2)/25)*Calculateur!DB74*Calculateur!DD74*VLOOKUP('Données projet'!$B$13,Paramètres!$A$1:$I$89,3,0)*0.475*44/12</f>
        <v>21.045781188534693</v>
      </c>
      <c r="DH74" s="21">
        <f>EXP(-LN(2)/2)*DH73+(1-EXP(-LN(2)/2))/(LN(2)/2)*DB74*DE74*VLOOKUP('Données projet'!$B$13,Paramètres!$A$1:$I$89,3,0)*0.475*44/12</f>
        <v>1.2526272903936602</v>
      </c>
      <c r="DI74" s="22">
        <f t="shared" si="69"/>
        <v>113.49817247284642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-2.2737367544323206E-13</v>
      </c>
      <c r="DP74" s="17">
        <f>DO74*VLOOKUP('Données projet'!$B$14,Paramètres!$A$1:$I$89,3,0)*VLOOKUP('Données projet'!$B$14,Paramètres!$A$1:$I$89,5,0)</f>
        <v>-1.2710188457276673E-13</v>
      </c>
      <c r="DQ74" s="13" t="e">
        <f t="shared" si="97"/>
        <v>#NUM!</v>
      </c>
      <c r="DR74" s="20" t="e">
        <f t="shared" si="70"/>
        <v>#NUM!</v>
      </c>
      <c r="DS74" s="59" t="e">
        <f t="shared" si="71"/>
        <v>#NUM!</v>
      </c>
      <c r="DT74" s="59">
        <f ca="1">AVERAGE(OFFSET($DS$3,0,0,'Données projet'!$E$14+1,1))-AVERAGE(OFFSET($H$3,0,0,'Données projet'!$E$14+1,1))</f>
        <v>355.23615781077405</v>
      </c>
      <c r="DU74" s="59">
        <f t="shared" si="98"/>
        <v>448.84541017639367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208.126408567103</v>
      </c>
      <c r="EB74" s="21">
        <f>EXP(-LN(2)/25)*EB73+(1-EXP(-LN(2)/25))/(LN(2)/25)*Calculateur!DW74*Calculateur!DY74*VLOOKUP('Données projet'!$B$14,Paramètres!$A$1:$I$89,3,0)*0.475*44/12</f>
        <v>47.489444692576534</v>
      </c>
      <c r="EC74" s="21">
        <f>EXP(-LN(2)/2)*EC73+(1-EXP(-LN(2)/2))/(LN(2)/2)*DW74*DZ74*VLOOKUP('Données projet'!$B$14,Paramètres!$A$1:$I$89,3,0)*0.475*44/12</f>
        <v>1.2445267261473827</v>
      </c>
      <c r="ED74" s="22">
        <f t="shared" si="72"/>
        <v>256.86037998582691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4.6000000000000014</v>
      </c>
      <c r="EJ74" s="12">
        <f>IF('Données projet'!$A$192&gt;35,EJ73+EI74-ER73,IF(A74&lt;'Données projet'!$A$192,$EG$205^A74,IF(A74='Données projet'!$A$192,'Données projet'!$B$192,EJ73+EI74-ER73)))</f>
        <v>123.39999999999992</v>
      </c>
      <c r="EK74" s="17">
        <f>EJ74*VLOOKUP('Données projet'!$B$15,Paramètres!$A$1:$I$89,3,0)*VLOOKUP('Données projet'!$B$15,Paramètres!$A$1:$I$89,5,0)</f>
        <v>132.82775999999993</v>
      </c>
      <c r="EL74" s="13">
        <f t="shared" si="99"/>
        <v>34.648951065082436</v>
      </c>
      <c r="EM74" s="20">
        <f t="shared" si="73"/>
        <v>291.68860510501838</v>
      </c>
      <c r="EN74" s="59">
        <f t="shared" si="74"/>
        <v>585.02193843835175</v>
      </c>
      <c r="EO74" s="59">
        <f ca="1">AVERAGE(OFFSET($EN$3,0,0,'Données projet'!$E$15+1,1))-AVERAGE(OFFSET($H$3,0,0,'Données projet'!$E$15+1,1))</f>
        <v>130.76477588601989</v>
      </c>
      <c r="EP74" s="59">
        <f t="shared" si="100"/>
        <v>94.034011511502172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10.227162102500332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10.227162102500332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-2.2737367544323206E-13</v>
      </c>
      <c r="FF74" s="17">
        <f>FE74*VLOOKUP('Données projet'!$B$16,Paramètres!$A$1:$I$89,3,0)*VLOOKUP('Données projet'!$B$16,Paramètres!$A$1:$I$89,5,0)</f>
        <v>-1.0345502232667058E-13</v>
      </c>
      <c r="FG74" s="13" t="e">
        <f t="shared" si="101"/>
        <v>#NUM!</v>
      </c>
      <c r="FH74" s="20" t="e">
        <f t="shared" si="76"/>
        <v>#NUM!</v>
      </c>
      <c r="FI74" s="59" t="e">
        <f t="shared" si="77"/>
        <v>#NUM!</v>
      </c>
      <c r="FJ74" s="59">
        <f ca="1">AVERAGE(OFFSET($FI$3,0,0,'Données projet'!$E$16+1,1))-AVERAGE(OFFSET($H$3,0,0,'Données projet'!$E$16+1,1))</f>
        <v>279.43442619866738</v>
      </c>
      <c r="FK74" s="59">
        <f t="shared" si="102"/>
        <v>355.95192241448217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169.40521627554892</v>
      </c>
      <c r="FR74" s="21">
        <f>EXP(-LN(2)/25)*FR73+(1-EXP(-LN(2)/25))/(LN(2)/25)*Calculateur!FM74*Calculateur!FO74*VLOOKUP('Données projet'!$B$16,Paramètres!$A$1:$I$89,3,0)*0.475*44/12</f>
        <v>38.654199168376259</v>
      </c>
      <c r="FS74" s="21">
        <f>EXP(-LN(2)/2)*FS73+(1-EXP(-LN(2)/2))/(LN(2)/2)*FM74*FP74*VLOOKUP('Données projet'!$B$16,Paramètres!$A$1:$I$89,3,0)*0.475*44/12</f>
        <v>1.0129868701199627</v>
      </c>
      <c r="FT74" s="22">
        <f t="shared" si="78"/>
        <v>209.07240231404515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-1.1368683772161603E-13</v>
      </c>
      <c r="O75" s="13">
        <f>N75*VLOOKUP('Données projet'!$B$9,Paramètres!$A$1:$I$89,3,0)*VLOOKUP('Données projet'!$B$9,Paramètres!$A$1:$I$89,5,0)</f>
        <v>-6.7984728957526396E-14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227.89848316900191</v>
      </c>
      <c r="T75" s="59">
        <f t="shared" si="88"/>
        <v>239.85955661394541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112.99594256876672</v>
      </c>
      <c r="AA75" s="21">
        <f>EXP(-LN(2)/25)*AA74+(1-EXP(-LN(2)/25))/(LN(2)/25)*Calculateur!V75*Calculateur!X75*VLOOKUP('Données projet'!$B$9,Paramètres!$A$1:$I$89,3,0)*0.475*44/12</f>
        <v>24.764853015214555</v>
      </c>
      <c r="AB75" s="21">
        <f>EXP(-LN(2)/2)*AB74+(1-EXP(-LN(2)/2))/(LN(2)/2)*V75*Y75*VLOOKUP('Données projet'!$B$9,Paramètres!$A$1:$I$89,3,0)*0.475*44/12</f>
        <v>1.1455643852473301</v>
      </c>
      <c r="AC75" s="22">
        <f t="shared" si="57"/>
        <v>138.90635996922862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7.5</v>
      </c>
      <c r="AI75" s="13">
        <f>IF('Données projet'!$A$62&gt;35,AI74+AH75-AQ74,IF(A75&lt;'Données projet'!$A$62,$AF$205^A75,IF(A75='Données projet'!$A$62,'Données projet'!$B$62,AI74+AH75-AQ74)))</f>
        <v>182.00000000000017</v>
      </c>
      <c r="AJ75" s="13">
        <f>AI75*VLOOKUP('Données projet'!$B$10,Paramètres!$A$1:$I$89,3,0)*VLOOKUP('Données projet'!$B$10,Paramètres!$A$1:$I$89,5,0)</f>
        <v>164.67360000000014</v>
      </c>
      <c r="AK75" s="13">
        <f t="shared" si="89"/>
        <v>41.894886049197019</v>
      </c>
      <c r="AL75" s="20">
        <f t="shared" si="58"/>
        <v>359.77344653568503</v>
      </c>
      <c r="AM75" s="59">
        <f t="shared" si="59"/>
        <v>653.10677986901828</v>
      </c>
      <c r="AN75" s="59">
        <f ca="1">AVERAGE(OFFSET($AM$3,0,0,'Données projet'!$E$10+1,1))-AVERAGE(OFFSET($H$3,0,0,'Données projet'!$E$10+1,1))</f>
        <v>215.7418266360167</v>
      </c>
      <c r="AO75" s="59">
        <f t="shared" si="90"/>
        <v>155.78420008229949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31.503627054438866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31.503627054438866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>
        <f>VLOOKUP(A75,'Données projet'!$A$87:$I$107,2,0)</f>
        <v>160</v>
      </c>
      <c r="BB75" s="12">
        <f>VLOOKUP(A75,'Données projet'!$A$87:$I$107,9,0)</f>
        <v>5.75</v>
      </c>
      <c r="BC75" s="12">
        <f t="array" ref="BC75">INDEX(BB:BB,MIN(IF(ISNUMBER(BB75:BB271),ROW(BB75:BB271),"")))</f>
        <v>5.75</v>
      </c>
      <c r="BD75" s="12">
        <f>IF('Données projet'!$A$88&gt;35,BD74+BC75-BL74,IF(A75&lt;'Données projet'!$A$88,$BA$205^A75,IF(A75='Données projet'!$A$88,'Données projet'!$B$88,BD74+BC75-BL74)))</f>
        <v>160</v>
      </c>
      <c r="BE75" s="13">
        <f>BD75*VLOOKUP('Données projet'!$B$11,Paramètres!$A$1:$I$89,3,0)*VLOOKUP('Données projet'!$B$11,Paramètres!$A$1:$I$89,5,0)</f>
        <v>162.24</v>
      </c>
      <c r="BF75" s="13">
        <f t="shared" si="91"/>
        <v>41.347344120141088</v>
      </c>
      <c r="BG75" s="20">
        <f t="shared" si="61"/>
        <v>354.58129100924572</v>
      </c>
      <c r="BH75" s="59">
        <f t="shared" si="62"/>
        <v>647.91462434257903</v>
      </c>
      <c r="BI75" s="59">
        <f ca="1">AVERAGE(OFFSET($BH$3,0,0,'Données projet'!$E$11+1,1))-AVERAGE(OFFSET($H$3,0,0,'Données projet'!$E$11+1,1))</f>
        <v>179.53921263314447</v>
      </c>
      <c r="BJ75" s="59">
        <f t="shared" si="92"/>
        <v>120.81513023281337</v>
      </c>
      <c r="BK75" s="15">
        <f>IF(ISNA(VLOOKUP(A75,'Données projet'!$A$87:$I$107,3,0)),0,VLOOKUP(A75,'Données projet'!$A$87:$I$107,3,0))</f>
        <v>5</v>
      </c>
      <c r="BL75" s="15">
        <f>IF(ISNA(VLOOKUP(A75,'Données projet'!$A$87:$I$107,4,0)),0,VLOOKUP(A75,'Données projet'!$A$87:$I$107,4,0))</f>
        <v>32</v>
      </c>
      <c r="BM75" s="16">
        <f>IF(ISNA(VLOOKUP(A75,'Données projet'!$A$87:$I$107,5,0)),0%,VLOOKUP(A75,'Données projet'!$A$87:$I$107,5,0)*VLOOKUP('Données projet'!$B$11,Paramètres!$A$1:$I$89,7,0))</f>
        <v>0.30099999999999999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22.603662070391763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22.603662070391763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25.853044410150915</v>
      </c>
      <c r="BY75" s="12">
        <f>IF('Données projet'!$A$114&gt;35,BY74+BX75-CG74,IF(A75&lt;'Données projet'!$A$114,$BV$205^A75,IF(A75='Données projet'!$A$114,'Données projet'!$B$114,BY74+BX75-CG74)))</f>
        <v>607.09749828532256</v>
      </c>
      <c r="BZ75" s="13">
        <f>BY75*VLOOKUP('Données projet'!$B$12,Paramètres!$A$1:$I$89,3,0)*VLOOKUP('Données projet'!$B$12,Paramètres!$A$1:$I$89,5,0)</f>
        <v>284.12162919753098</v>
      </c>
      <c r="CA75" s="13">
        <f t="shared" si="93"/>
        <v>67.837285458920434</v>
      </c>
      <c r="CB75" s="20">
        <f t="shared" si="64"/>
        <v>612.99510969331948</v>
      </c>
      <c r="CC75" s="59">
        <f t="shared" si="65"/>
        <v>906.32844302665285</v>
      </c>
      <c r="CD75" s="59">
        <f ca="1">AVERAGE(OFFSET($CC$3,0,0,'Données projet'!$E$12+1,1))-AVERAGE(OFFSET($H$3,0,0,'Données projet'!$E$12+1,1))</f>
        <v>310.06530483941287</v>
      </c>
      <c r="CE75" s="59">
        <f t="shared" si="94"/>
        <v>170.13425794309376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63.255017405572595</v>
      </c>
      <c r="CL75" s="21">
        <f>EXP(-LN(2)/25)*CL74+(1-EXP(-LN(2)/25))/(LN(2)/25)*Calculateur!CG75*Calculateur!CI75*VLOOKUP('Données projet'!$B$12,Paramètres!$A$1:$I$89,3,0)*0.475*44/12</f>
        <v>15.069670112310275</v>
      </c>
      <c r="CM75" s="21">
        <f>EXP(-LN(2)/2)*CM74+(1-EXP(-LN(2)/2))/(LN(2)/2)*CG75*CJ75*VLOOKUP('Données projet'!$B$12,Paramètres!$A$1:$I$89,3,0)*0.475*44/12</f>
        <v>3.9838101123099965</v>
      </c>
      <c r="CN75" s="22">
        <f t="shared" si="66"/>
        <v>82.308497630192861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>
        <f>CT75*VLOOKUP('Données projet'!$B$13,Paramètres!$A$1:$I$89,3,0)*VLOOKUP('Données projet'!$B$13,Paramètres!$A$1:$I$89,5,0)</f>
        <v>0</v>
      </c>
      <c r="CV75" s="13" t="e">
        <f t="shared" si="95"/>
        <v>#NUM!</v>
      </c>
      <c r="CW75" s="20" t="e">
        <f t="shared" si="67"/>
        <v>#NUM!</v>
      </c>
      <c r="CX75" s="59" t="e">
        <f t="shared" si="68"/>
        <v>#NUM!</v>
      </c>
      <c r="CY75" s="59">
        <f ca="1">AVERAGE(OFFSET($CX$3,0,0,'Données projet'!$E$13+1,1))-AVERAGE(OFFSET($H$3,0,0,'Données projet'!$E$13+1,1))</f>
        <v>168.08890945052406</v>
      </c>
      <c r="CZ75" s="59">
        <f t="shared" si="96"/>
        <v>182.52462557642343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89.411392248360727</v>
      </c>
      <c r="DG75" s="21">
        <f>EXP(-LN(2)/25)*DG74+(1-EXP(-LN(2)/25))/(LN(2)/25)*Calculateur!DB75*Calculateur!DD75*VLOOKUP('Données projet'!$B$13,Paramètres!$A$1:$I$89,3,0)*0.475*44/12</f>
        <v>20.470283195184681</v>
      </c>
      <c r="DH75" s="21">
        <f>EXP(-LN(2)/2)*DH74+(1-EXP(-LN(2)/2))/(LN(2)/2)*DB75*DE75*VLOOKUP('Données projet'!$B$13,Paramètres!$A$1:$I$89,3,0)*0.475*44/12</f>
        <v>0.8857412513366878</v>
      </c>
      <c r="DI75" s="22">
        <f t="shared" si="69"/>
        <v>110.76741669488209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-2.2737367544323206E-13</v>
      </c>
      <c r="DP75" s="17">
        <f>DO75*VLOOKUP('Données projet'!$B$14,Paramètres!$A$1:$I$89,3,0)*VLOOKUP('Données projet'!$B$14,Paramètres!$A$1:$I$89,5,0)</f>
        <v>-1.2710188457276673E-13</v>
      </c>
      <c r="DQ75" s="13" t="e">
        <f t="shared" si="97"/>
        <v>#NUM!</v>
      </c>
      <c r="DR75" s="20" t="e">
        <f t="shared" si="70"/>
        <v>#NUM!</v>
      </c>
      <c r="DS75" s="59" t="e">
        <f t="shared" si="71"/>
        <v>#NUM!</v>
      </c>
      <c r="DT75" s="59">
        <f ca="1">AVERAGE(OFFSET($DS$3,0,0,'Données projet'!$E$14+1,1))-AVERAGE(OFFSET($H$3,0,0,'Données projet'!$E$14+1,1))</f>
        <v>355.23615781077405</v>
      </c>
      <c r="DU75" s="59">
        <f t="shared" si="98"/>
        <v>448.84541017639367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204.04517663967661</v>
      </c>
      <c r="EB75" s="21">
        <f>EXP(-LN(2)/25)*EB74+(1-EXP(-LN(2)/25))/(LN(2)/25)*Calculateur!DW75*Calculateur!DY75*VLOOKUP('Données projet'!$B$14,Paramètres!$A$1:$I$89,3,0)*0.475*44/12</f>
        <v>46.190843330096669</v>
      </c>
      <c r="EC75" s="21">
        <f>EXP(-LN(2)/2)*EC74+(1-EXP(-LN(2)/2))/(LN(2)/2)*DW75*DZ75*VLOOKUP('Données projet'!$B$14,Paramètres!$A$1:$I$89,3,0)*0.475*44/12</f>
        <v>0.8800132874267077</v>
      </c>
      <c r="ED75" s="22">
        <f t="shared" si="72"/>
        <v>251.1160332572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>
        <f>VLOOKUP(A75,'Données projet'!$A$191:$I$211,2,0)</f>
        <v>128</v>
      </c>
      <c r="EH75" s="12">
        <f>VLOOKUP(A75,'Données projet'!$A$191:$I$211,9,0)</f>
        <v>4.6000000000000014</v>
      </c>
      <c r="EI75" s="12">
        <f t="array" ref="EI75">INDEX(EH:EH,MIN(IF(ISNUMBER(EH75:EH271),ROW(EH75:EH271),"")))</f>
        <v>4.6000000000000014</v>
      </c>
      <c r="EJ75" s="12">
        <f>IF('Données projet'!$A$192&gt;35,EJ74+EI75-ER74,IF(A75&lt;'Données projet'!$A$192,$EG$205^A75,IF(A75='Données projet'!$A$192,'Données projet'!$B$192,EJ74+EI75-ER74)))</f>
        <v>127.99999999999991</v>
      </c>
      <c r="EK75" s="17">
        <f>EJ75*VLOOKUP('Données projet'!$B$15,Paramètres!$A$1:$I$89,3,0)*VLOOKUP('Données projet'!$B$15,Paramètres!$A$1:$I$89,5,0)</f>
        <v>137.77919999999992</v>
      </c>
      <c r="EL75" s="13">
        <f t="shared" si="99"/>
        <v>35.787778913287646</v>
      </c>
      <c r="EM75" s="20">
        <f t="shared" si="73"/>
        <v>302.29582160730911</v>
      </c>
      <c r="EN75" s="59">
        <f t="shared" si="74"/>
        <v>595.62915494064237</v>
      </c>
      <c r="EO75" s="59">
        <f ca="1">AVERAGE(OFFSET($EN$3,0,0,'Données projet'!$E$15+1,1))-AVERAGE(OFFSET($H$3,0,0,'Données projet'!$E$15+1,1))</f>
        <v>130.76477588601989</v>
      </c>
      <c r="EP75" s="59">
        <f t="shared" si="100"/>
        <v>94.034011511502172</v>
      </c>
      <c r="EQ75" s="15">
        <f>IF(ISNA(VLOOKUP(A75,'Données projet'!$A$191:$I$211,3,0)),0,VLOOKUP(A75,'Données projet'!$A$191:$I$211,3,0))</f>
        <v>5</v>
      </c>
      <c r="ER75" s="15">
        <f>IF(ISNA(VLOOKUP(A75,'Données projet'!$A$191:$I$211,4,0)),0,VLOOKUP(A75,'Données projet'!$A$191:$I$211,4,0))</f>
        <v>25.6</v>
      </c>
      <c r="ES75" s="16">
        <f>IF(ISNA(VLOOKUP(A75,'Données projet'!$A$191:$I$211,5,0)),0%,VLOOKUP(A75,'Données projet'!$A$191:$I$211,5,0)*VLOOKUP('Données projet'!$B$15,Paramètres!$A$1:$I$89,7,0))</f>
        <v>0.30099999999999999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19.195725327471159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19.195725327471159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-2.2737367544323206E-13</v>
      </c>
      <c r="FF75" s="17">
        <f>FE75*VLOOKUP('Données projet'!$B$16,Paramètres!$A$1:$I$89,3,0)*VLOOKUP('Données projet'!$B$16,Paramètres!$A$1:$I$89,5,0)</f>
        <v>-1.0345502232667058E-13</v>
      </c>
      <c r="FG75" s="13" t="e">
        <f t="shared" si="101"/>
        <v>#NUM!</v>
      </c>
      <c r="FH75" s="20" t="e">
        <f t="shared" si="76"/>
        <v>#NUM!</v>
      </c>
      <c r="FI75" s="59" t="e">
        <f t="shared" si="77"/>
        <v>#NUM!</v>
      </c>
      <c r="FJ75" s="59">
        <f ca="1">AVERAGE(OFFSET($FI$3,0,0,'Données projet'!$E$16+1,1))-AVERAGE(OFFSET($H$3,0,0,'Données projet'!$E$16+1,1))</f>
        <v>279.43442619866738</v>
      </c>
      <c r="FK75" s="59">
        <f t="shared" si="102"/>
        <v>355.95192241448217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166.08328331136465</v>
      </c>
      <c r="FR75" s="21">
        <f>EXP(-LN(2)/25)*FR74+(1-EXP(-LN(2)/25))/(LN(2)/25)*Calculateur!FM75*Calculateur!FO75*VLOOKUP('Données projet'!$B$16,Paramètres!$A$1:$I$89,3,0)*0.475*44/12</f>
        <v>37.597198059381022</v>
      </c>
      <c r="FS75" s="21">
        <f>EXP(-LN(2)/2)*FS74+(1-EXP(-LN(2)/2))/(LN(2)/2)*FM75*FP75*VLOOKUP('Données projet'!$B$16,Paramètres!$A$1:$I$89,3,0)*0.475*44/12</f>
        <v>0.7162898851147621</v>
      </c>
      <c r="FT75" s="22">
        <f t="shared" si="78"/>
        <v>204.39677125586044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-1.1368683772161603E-13</v>
      </c>
      <c r="O76" s="13">
        <f>N76*VLOOKUP('Données projet'!$B$9,Paramètres!$A$1:$I$89,3,0)*VLOOKUP('Données projet'!$B$9,Paramètres!$A$1:$I$89,5,0)</f>
        <v>-6.7984728957526396E-14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227.89848316900191</v>
      </c>
      <c r="T76" s="59">
        <f t="shared" si="88"/>
        <v>239.85955661394541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110.78016105571282</v>
      </c>
      <c r="AA76" s="21">
        <f>EXP(-LN(2)/25)*AA75+(1-EXP(-LN(2)/25))/(LN(2)/25)*Calculateur!V76*Calculateur!X76*VLOOKUP('Données projet'!$B$9,Paramètres!$A$1:$I$89,3,0)*0.475*44/12</f>
        <v>24.087656807186494</v>
      </c>
      <c r="AB76" s="21">
        <f>EXP(-LN(2)/2)*AB75+(1-EXP(-LN(2)/2))/(LN(2)/2)*V76*Y76*VLOOKUP('Données projet'!$B$9,Paramètres!$A$1:$I$89,3,0)*0.475*44/12</f>
        <v>0.81003634509418565</v>
      </c>
      <c r="AC76" s="22">
        <f t="shared" si="57"/>
        <v>135.67785420799351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7.5</v>
      </c>
      <c r="AI76" s="13">
        <f>IF('Données projet'!$A$62&gt;35,AI75+AH76-AQ75,IF(A76&lt;'Données projet'!$A$62,$AF$205^A76,IF(A76='Données projet'!$A$62,'Données projet'!$B$62,AI75+AH76-AQ75)))</f>
        <v>189.50000000000017</v>
      </c>
      <c r="AJ76" s="13">
        <f>AI76*VLOOKUP('Données projet'!$B$10,Paramètres!$A$1:$I$89,3,0)*VLOOKUP('Données projet'!$B$10,Paramètres!$A$1:$I$89,5,0)</f>
        <v>171.45960000000017</v>
      </c>
      <c r="AK76" s="13">
        <f t="shared" si="89"/>
        <v>43.416762598027233</v>
      </c>
      <c r="AL76" s="20">
        <f t="shared" si="58"/>
        <v>374.24299819156437</v>
      </c>
      <c r="AM76" s="59">
        <f t="shared" si="59"/>
        <v>667.57633152489768</v>
      </c>
      <c r="AN76" s="59">
        <f ca="1">AVERAGE(OFFSET($AM$3,0,0,'Données projet'!$E$10+1,1))-AVERAGE(OFFSET($H$3,0,0,'Données projet'!$E$10+1,1))</f>
        <v>215.7418266360167</v>
      </c>
      <c r="AO76" s="59">
        <f t="shared" si="90"/>
        <v>155.78420008229949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30.885860143216469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30.885860143216469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4.8888888888888893</v>
      </c>
      <c r="BD76" s="12">
        <f>IF('Données projet'!$A$88&gt;35,BD75+BC76-BL75,IF(A76&lt;'Données projet'!$A$88,$BA$205^A76,IF(A76='Données projet'!$A$88,'Données projet'!$B$88,BD75+BC76-BL75)))</f>
        <v>132.88888888888889</v>
      </c>
      <c r="BE76" s="13">
        <f>BD76*VLOOKUP('Données projet'!$B$11,Paramètres!$A$1:$I$89,3,0)*VLOOKUP('Données projet'!$B$11,Paramètres!$A$1:$I$89,5,0)</f>
        <v>134.74933333333334</v>
      </c>
      <c r="BF76" s="13">
        <f t="shared" si="91"/>
        <v>35.091488542755741</v>
      </c>
      <c r="BG76" s="20">
        <f t="shared" si="61"/>
        <v>295.80609810085514</v>
      </c>
      <c r="BH76" s="59">
        <f t="shared" si="62"/>
        <v>589.13943143418851</v>
      </c>
      <c r="BI76" s="59">
        <f ca="1">AVERAGE(OFFSET($BH$3,0,0,'Données projet'!$E$11+1,1))-AVERAGE(OFFSET($H$3,0,0,'Données projet'!$E$11+1,1))</f>
        <v>179.53921263314447</v>
      </c>
      <c r="BJ76" s="59">
        <f t="shared" si="92"/>
        <v>120.81513023281337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22.160418044063903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22.160418044063903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25.853044410150915</v>
      </c>
      <c r="BY76" s="12">
        <f>IF('Données projet'!$A$114&gt;35,BY75+BX76-CG75,IF(A76&lt;'Données projet'!$A$114,$BV$205^A76,IF(A76='Données projet'!$A$114,'Données projet'!$B$114,BY75+BX76-CG75)))</f>
        <v>632.95054269547347</v>
      </c>
      <c r="BZ76" s="13">
        <f>BY76*VLOOKUP('Données projet'!$B$12,Paramètres!$A$1:$I$89,3,0)*VLOOKUP('Données projet'!$B$12,Paramètres!$A$1:$I$89,5,0)</f>
        <v>296.22085398148158</v>
      </c>
      <c r="CA76" s="13">
        <f t="shared" si="93"/>
        <v>70.38362572585055</v>
      </c>
      <c r="CB76" s="20">
        <f t="shared" si="64"/>
        <v>638.50280215693681</v>
      </c>
      <c r="CC76" s="59">
        <f t="shared" si="65"/>
        <v>931.83613549027018</v>
      </c>
      <c r="CD76" s="59">
        <f ca="1">AVERAGE(OFFSET($CC$3,0,0,'Données projet'!$E$12+1,1))-AVERAGE(OFFSET($H$3,0,0,'Données projet'!$E$12+1,1))</f>
        <v>310.06530483941287</v>
      </c>
      <c r="CE76" s="59">
        <f t="shared" si="94"/>
        <v>170.13425794309376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62.014625096000302</v>
      </c>
      <c r="CL76" s="21">
        <f>EXP(-LN(2)/25)*CL75+(1-EXP(-LN(2)/25))/(LN(2)/25)*Calculateur!CG76*Calculateur!CI76*VLOOKUP('Données projet'!$B$12,Paramètres!$A$1:$I$89,3,0)*0.475*44/12</f>
        <v>14.657589190609642</v>
      </c>
      <c r="CM76" s="21">
        <f>EXP(-LN(2)/2)*CM75+(1-EXP(-LN(2)/2))/(LN(2)/2)*CG76*CJ76*VLOOKUP('Données projet'!$B$12,Paramètres!$A$1:$I$89,3,0)*0.475*44/12</f>
        <v>2.8169791453739403</v>
      </c>
      <c r="CN76" s="22">
        <f t="shared" si="66"/>
        <v>79.489193431983878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>
        <f>CT76*VLOOKUP('Données projet'!$B$13,Paramètres!$A$1:$I$89,3,0)*VLOOKUP('Données projet'!$B$13,Paramètres!$A$1:$I$89,5,0)</f>
        <v>0</v>
      </c>
      <c r="CV76" s="13" t="e">
        <f t="shared" si="95"/>
        <v>#NUM!</v>
      </c>
      <c r="CW76" s="20" t="e">
        <f t="shared" si="67"/>
        <v>#NUM!</v>
      </c>
      <c r="CX76" s="59" t="e">
        <f t="shared" si="68"/>
        <v>#NUM!</v>
      </c>
      <c r="CY76" s="59">
        <f ca="1">AVERAGE(OFFSET($CX$3,0,0,'Données projet'!$E$13+1,1))-AVERAGE(OFFSET($H$3,0,0,'Données projet'!$E$13+1,1))</f>
        <v>168.08890945052406</v>
      </c>
      <c r="CZ76" s="59">
        <f t="shared" si="96"/>
        <v>182.52462557642343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87.658089381934701</v>
      </c>
      <c r="DG76" s="21">
        <f>EXP(-LN(2)/25)*DG75+(1-EXP(-LN(2)/25))/(LN(2)/25)*Calculateur!DB76*Calculateur!DD76*VLOOKUP('Données projet'!$B$13,Paramètres!$A$1:$I$89,3,0)*0.475*44/12</f>
        <v>19.910522224726947</v>
      </c>
      <c r="DH76" s="21">
        <f>EXP(-LN(2)/2)*DH75+(1-EXP(-LN(2)/2))/(LN(2)/2)*DB76*DE76*VLOOKUP('Données projet'!$B$13,Paramètres!$A$1:$I$89,3,0)*0.475*44/12</f>
        <v>0.62631364519683008</v>
      </c>
      <c r="DI76" s="22">
        <f t="shared" si="69"/>
        <v>108.19492525185848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-2.2737367544323206E-13</v>
      </c>
      <c r="DP76" s="17">
        <f>DO76*VLOOKUP('Données projet'!$B$14,Paramètres!$A$1:$I$89,3,0)*VLOOKUP('Données projet'!$B$14,Paramètres!$A$1:$I$89,5,0)</f>
        <v>-1.2710188457276673E-13</v>
      </c>
      <c r="DQ76" s="13" t="e">
        <f t="shared" si="97"/>
        <v>#NUM!</v>
      </c>
      <c r="DR76" s="20" t="e">
        <f t="shared" si="70"/>
        <v>#NUM!</v>
      </c>
      <c r="DS76" s="59" t="e">
        <f t="shared" si="71"/>
        <v>#NUM!</v>
      </c>
      <c r="DT76" s="59">
        <f ca="1">AVERAGE(OFFSET($DS$3,0,0,'Données projet'!$E$14+1,1))-AVERAGE(OFFSET($H$3,0,0,'Données projet'!$E$14+1,1))</f>
        <v>355.23615781077405</v>
      </c>
      <c r="DU76" s="59">
        <f t="shared" si="98"/>
        <v>448.84541017639367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200.04397518104136</v>
      </c>
      <c r="EB76" s="21">
        <f>EXP(-LN(2)/25)*EB75+(1-EXP(-LN(2)/25))/(LN(2)/25)*Calculateur!DW76*Calculateur!DY76*VLOOKUP('Données projet'!$B$14,Paramètres!$A$1:$I$89,3,0)*0.475*44/12</f>
        <v>44.927752290164293</v>
      </c>
      <c r="EC76" s="21">
        <f>EXP(-LN(2)/2)*EC75+(1-EXP(-LN(2)/2))/(LN(2)/2)*DW76*DZ76*VLOOKUP('Données projet'!$B$14,Paramètres!$A$1:$I$89,3,0)*0.475*44/12</f>
        <v>0.62226336307369134</v>
      </c>
      <c r="ED76" s="22">
        <f t="shared" si="72"/>
        <v>245.59399083427937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3.9111111111111097</v>
      </c>
      <c r="EJ76" s="12">
        <f>IF('Données projet'!$A$192&gt;35,EJ75+EI76-ER75,IF(A76&lt;'Données projet'!$A$192,$EG$205^A76,IF(A76='Données projet'!$A$192,'Données projet'!$B$192,EJ75+EI76-ER75)))</f>
        <v>106.31111111111102</v>
      </c>
      <c r="EK76" s="17">
        <f>EJ76*VLOOKUP('Données projet'!$B$15,Paramètres!$A$1:$I$89,3,0)*VLOOKUP('Données projet'!$B$15,Paramètres!$A$1:$I$89,5,0)</f>
        <v>114.43327999999991</v>
      </c>
      <c r="EL76" s="13">
        <f t="shared" si="99"/>
        <v>30.373085876017925</v>
      </c>
      <c r="EM76" s="20">
        <f t="shared" si="73"/>
        <v>252.2044205673977</v>
      </c>
      <c r="EN76" s="59">
        <f t="shared" si="74"/>
        <v>545.53775390073099</v>
      </c>
      <c r="EO76" s="59">
        <f ca="1">AVERAGE(OFFSET($EN$3,0,0,'Données projet'!$E$15+1,1))-AVERAGE(OFFSET($H$3,0,0,'Données projet'!$E$15+1,1))</f>
        <v>130.76477588601989</v>
      </c>
      <c r="EP76" s="59">
        <f t="shared" si="100"/>
        <v>94.034011511502172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18.819308862035808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18.819308862035808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-2.2737367544323206E-13</v>
      </c>
      <c r="FF76" s="17">
        <f>FE76*VLOOKUP('Données projet'!$B$16,Paramètres!$A$1:$I$89,3,0)*VLOOKUP('Données projet'!$B$16,Paramètres!$A$1:$I$89,5,0)</f>
        <v>-1.0345502232667058E-13</v>
      </c>
      <c r="FG76" s="13" t="e">
        <f t="shared" si="101"/>
        <v>#NUM!</v>
      </c>
      <c r="FH76" s="20" t="e">
        <f t="shared" si="76"/>
        <v>#NUM!</v>
      </c>
      <c r="FI76" s="59" t="e">
        <f t="shared" si="77"/>
        <v>#NUM!</v>
      </c>
      <c r="FJ76" s="59">
        <f ca="1">AVERAGE(OFFSET($FI$3,0,0,'Données projet'!$E$16+1,1))-AVERAGE(OFFSET($H$3,0,0,'Données projet'!$E$16+1,1))</f>
        <v>279.43442619866738</v>
      </c>
      <c r="FK76" s="59">
        <f t="shared" si="102"/>
        <v>355.95192241448217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162.82649142642899</v>
      </c>
      <c r="FR76" s="21">
        <f>EXP(-LN(2)/25)*FR75+(1-EXP(-LN(2)/25))/(LN(2)/25)*Calculateur!FM76*Calculateur!FO76*VLOOKUP('Données projet'!$B$16,Paramètres!$A$1:$I$89,3,0)*0.475*44/12</f>
        <v>36.569100701296534</v>
      </c>
      <c r="FS76" s="21">
        <f>EXP(-LN(2)/2)*FS75+(1-EXP(-LN(2)/2))/(LN(2)/2)*FM76*FP76*VLOOKUP('Données projet'!$B$16,Paramètres!$A$1:$I$89,3,0)*0.475*44/12</f>
        <v>0.50649343505998135</v>
      </c>
      <c r="FT76" s="22">
        <f t="shared" si="78"/>
        <v>199.90208556278552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-1.1368683772161603E-13</v>
      </c>
      <c r="O77" s="13">
        <f>N77*VLOOKUP('Données projet'!$B$9,Paramètres!$A$1:$I$89,3,0)*VLOOKUP('Données projet'!$B$9,Paramètres!$A$1:$I$89,5,0)</f>
        <v>-6.7984728957526396E-14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227.89848316900191</v>
      </c>
      <c r="T77" s="59">
        <f t="shared" si="88"/>
        <v>239.85955661394541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108.60782966663663</v>
      </c>
      <c r="AA77" s="21">
        <f>EXP(-LN(2)/25)*AA76+(1-EXP(-LN(2)/25))/(LN(2)/25)*Calculateur!V77*Calculateur!X77*VLOOKUP('Données projet'!$B$9,Paramètres!$A$1:$I$89,3,0)*0.475*44/12</f>
        <v>23.428978565079163</v>
      </c>
      <c r="AB77" s="21">
        <f>EXP(-LN(2)/2)*AB76+(1-EXP(-LN(2)/2))/(LN(2)/2)*V77*Y77*VLOOKUP('Données projet'!$B$9,Paramètres!$A$1:$I$89,3,0)*0.475*44/12</f>
        <v>0.57278219262366503</v>
      </c>
      <c r="AC77" s="22">
        <f t="shared" si="57"/>
        <v>132.60959042433944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7.5</v>
      </c>
      <c r="AI77" s="13">
        <f>IF('Données projet'!$A$62&gt;35,AI76+AH77-AQ76,IF(A77&lt;'Données projet'!$A$62,$AF$205^A77,IF(A77='Données projet'!$A$62,'Données projet'!$B$62,AI76+AH77-AQ76)))</f>
        <v>197.00000000000017</v>
      </c>
      <c r="AJ77" s="13">
        <f>AI77*VLOOKUP('Données projet'!$B$10,Paramètres!$A$1:$I$89,3,0)*VLOOKUP('Données projet'!$B$10,Paramètres!$A$1:$I$89,5,0)</f>
        <v>178.24560000000014</v>
      </c>
      <c r="AK77" s="13">
        <f t="shared" si="89"/>
        <v>44.931642269910469</v>
      </c>
      <c r="AL77" s="20">
        <f t="shared" si="58"/>
        <v>388.70036362009432</v>
      </c>
      <c r="AM77" s="59">
        <f t="shared" si="59"/>
        <v>682.03369695342758</v>
      </c>
      <c r="AN77" s="59">
        <f ca="1">AVERAGE(OFFSET($AM$3,0,0,'Données projet'!$E$10+1,1))-AVERAGE(OFFSET($H$3,0,0,'Données projet'!$E$10+1,1))</f>
        <v>215.7418266360167</v>
      </c>
      <c r="AO77" s="59">
        <f t="shared" si="90"/>
        <v>155.78420008229949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30.280207264322531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30.280207264322531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4.8888888888888893</v>
      </c>
      <c r="BD77" s="12">
        <f>IF('Données projet'!$A$88&gt;35,BD76+BC77-BL76,IF(A77&lt;'Données projet'!$A$88,$BA$205^A77,IF(A77='Données projet'!$A$88,'Données projet'!$B$88,BD76+BC77-BL76)))</f>
        <v>137.77777777777777</v>
      </c>
      <c r="BE77" s="13">
        <f>BD77*VLOOKUP('Données projet'!$B$11,Paramètres!$A$1:$I$89,3,0)*VLOOKUP('Données projet'!$B$11,Paramètres!$A$1:$I$89,5,0)</f>
        <v>139.70666666666668</v>
      </c>
      <c r="BF77" s="13">
        <f t="shared" si="91"/>
        <v>36.229798746684182</v>
      </c>
      <c r="BG77" s="20">
        <f t="shared" si="61"/>
        <v>306.42267726158605</v>
      </c>
      <c r="BH77" s="59">
        <f t="shared" si="62"/>
        <v>599.75601059491942</v>
      </c>
      <c r="BI77" s="59">
        <f ca="1">AVERAGE(OFFSET($BH$3,0,0,'Données projet'!$E$11+1,1))-AVERAGE(OFFSET($H$3,0,0,'Données projet'!$E$11+1,1))</f>
        <v>179.53921263314447</v>
      </c>
      <c r="BJ77" s="59">
        <f t="shared" si="92"/>
        <v>120.81513023281337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21.72586576274017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21.72586576274017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25.853044410150915</v>
      </c>
      <c r="BY77" s="12">
        <f>IF('Données projet'!$A$114&gt;35,BY76+BX77-CG76,IF(A77&lt;'Données projet'!$A$114,$BV$205^A77,IF(A77='Données projet'!$A$114,'Données projet'!$B$114,BY76+BX77-CG76)))</f>
        <v>658.80358710562439</v>
      </c>
      <c r="BZ77" s="13">
        <f>BY77*VLOOKUP('Données projet'!$B$12,Paramètres!$A$1:$I$89,3,0)*VLOOKUP('Données projet'!$B$12,Paramètres!$A$1:$I$89,5,0)</f>
        <v>308.32007876543219</v>
      </c>
      <c r="CA77" s="13">
        <f t="shared" si="93"/>
        <v>72.91788488126376</v>
      </c>
      <c r="CB77" s="20">
        <f t="shared" si="64"/>
        <v>663.98945335132873</v>
      </c>
      <c r="CC77" s="59">
        <f t="shared" si="65"/>
        <v>957.32278668466211</v>
      </c>
      <c r="CD77" s="59">
        <f ca="1">AVERAGE(OFFSET($CC$3,0,0,'Données projet'!$E$12+1,1))-AVERAGE(OFFSET($H$3,0,0,'Données projet'!$E$12+1,1))</f>
        <v>310.06530483941287</v>
      </c>
      <c r="CE77" s="59">
        <f t="shared" si="94"/>
        <v>170.13425794309376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60.798556123054119</v>
      </c>
      <c r="CL77" s="21">
        <f>EXP(-LN(2)/25)*CL76+(1-EXP(-LN(2)/25))/(LN(2)/25)*Calculateur!CG77*Calculateur!CI77*VLOOKUP('Données projet'!$B$12,Paramètres!$A$1:$I$89,3,0)*0.475*44/12</f>
        <v>14.256776643383306</v>
      </c>
      <c r="CM77" s="21">
        <f>EXP(-LN(2)/2)*CM76+(1-EXP(-LN(2)/2))/(LN(2)/2)*CG77*CJ77*VLOOKUP('Données projet'!$B$12,Paramètres!$A$1:$I$89,3,0)*0.475*44/12</f>
        <v>1.9919050561549987</v>
      </c>
      <c r="CN77" s="22">
        <f t="shared" si="66"/>
        <v>77.047237822592436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>
        <f>CT77*VLOOKUP('Données projet'!$B$13,Paramètres!$A$1:$I$89,3,0)*VLOOKUP('Données projet'!$B$13,Paramètres!$A$1:$I$89,5,0)</f>
        <v>0</v>
      </c>
      <c r="CV77" s="13" t="e">
        <f t="shared" si="95"/>
        <v>#NUM!</v>
      </c>
      <c r="CW77" s="20" t="e">
        <f t="shared" si="67"/>
        <v>#NUM!</v>
      </c>
      <c r="CX77" s="59" t="e">
        <f t="shared" si="68"/>
        <v>#NUM!</v>
      </c>
      <c r="CY77" s="59">
        <f ca="1">AVERAGE(OFFSET($CX$3,0,0,'Données projet'!$E$13+1,1))-AVERAGE(OFFSET($H$3,0,0,'Données projet'!$E$13+1,1))</f>
        <v>168.08890945052406</v>
      </c>
      <c r="CZ77" s="59">
        <f t="shared" si="96"/>
        <v>182.52462557642343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85.939167715310134</v>
      </c>
      <c r="DG77" s="21">
        <f>EXP(-LN(2)/25)*DG76+(1-EXP(-LN(2)/25))/(LN(2)/25)*Calculateur!DB77*Calculateur!DD77*VLOOKUP('Données projet'!$B$13,Paramètres!$A$1:$I$89,3,0)*0.475*44/12</f>
        <v>19.366067947442932</v>
      </c>
      <c r="DH77" s="21">
        <f>EXP(-LN(2)/2)*DH76+(1-EXP(-LN(2)/2))/(LN(2)/2)*DB77*DE77*VLOOKUP('Données projet'!$B$13,Paramètres!$A$1:$I$89,3,0)*0.475*44/12</f>
        <v>0.4428706256683439</v>
      </c>
      <c r="DI77" s="22">
        <f t="shared" si="69"/>
        <v>105.74810628842141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-2.2737367544323206E-13</v>
      </c>
      <c r="DP77" s="17">
        <f>DO77*VLOOKUP('Données projet'!$B$14,Paramètres!$A$1:$I$89,3,0)*VLOOKUP('Données projet'!$B$14,Paramètres!$A$1:$I$89,5,0)</f>
        <v>-1.2710188457276673E-13</v>
      </c>
      <c r="DQ77" s="13" t="e">
        <f t="shared" si="97"/>
        <v>#NUM!</v>
      </c>
      <c r="DR77" s="20" t="e">
        <f t="shared" si="70"/>
        <v>#NUM!</v>
      </c>
      <c r="DS77" s="59" t="e">
        <f t="shared" si="71"/>
        <v>#NUM!</v>
      </c>
      <c r="DT77" s="59">
        <f ca="1">AVERAGE(OFFSET($DS$3,0,0,'Données projet'!$E$14+1,1))-AVERAGE(OFFSET($H$3,0,0,'Données projet'!$E$14+1,1))</f>
        <v>355.23615781077405</v>
      </c>
      <c r="DU77" s="59">
        <f t="shared" si="98"/>
        <v>448.84541017639367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196.12123484251805</v>
      </c>
      <c r="EB77" s="21">
        <f>EXP(-LN(2)/25)*EB76+(1-EXP(-LN(2)/25))/(LN(2)/25)*Calculateur!DW77*Calculateur!DY77*VLOOKUP('Données projet'!$B$14,Paramètres!$A$1:$I$89,3,0)*0.475*44/12</f>
        <v>43.699200541141941</v>
      </c>
      <c r="EC77" s="21">
        <f>EXP(-LN(2)/2)*EC76+(1-EXP(-LN(2)/2))/(LN(2)/2)*DW77*DZ77*VLOOKUP('Données projet'!$B$14,Paramètres!$A$1:$I$89,3,0)*0.475*44/12</f>
        <v>0.44000664371335385</v>
      </c>
      <c r="ED77" s="22">
        <f t="shared" si="72"/>
        <v>240.26044202737336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3.9111111111111097</v>
      </c>
      <c r="EJ77" s="12">
        <f>IF('Données projet'!$A$192&gt;35,EJ76+EI77-ER76,IF(A77&lt;'Données projet'!$A$192,$EG$205^A77,IF(A77='Données projet'!$A$192,'Données projet'!$B$192,EJ76+EI77-ER76)))</f>
        <v>110.22222222222213</v>
      </c>
      <c r="EK77" s="17">
        <f>EJ77*VLOOKUP('Données projet'!$B$15,Paramètres!$A$1:$I$89,3,0)*VLOOKUP('Données projet'!$B$15,Paramètres!$A$1:$I$89,5,0)</f>
        <v>118.64319999999988</v>
      </c>
      <c r="EL77" s="13">
        <f t="shared" si="99"/>
        <v>31.358338853683431</v>
      </c>
      <c r="EM77" s="20">
        <f t="shared" si="73"/>
        <v>261.25268017016509</v>
      </c>
      <c r="EN77" s="59">
        <f t="shared" si="74"/>
        <v>554.58601350349841</v>
      </c>
      <c r="EO77" s="59">
        <f ca="1">AVERAGE(OFFSET($EN$3,0,0,'Données projet'!$E$15+1,1))-AVERAGE(OFFSET($H$3,0,0,'Données projet'!$E$15+1,1))</f>
        <v>130.76477588601989</v>
      </c>
      <c r="EP77" s="59">
        <f t="shared" si="100"/>
        <v>94.034011511502172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18.450273693896268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18.450273693896268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-2.2737367544323206E-13</v>
      </c>
      <c r="FF77" s="17">
        <f>FE77*VLOOKUP('Données projet'!$B$16,Paramètres!$A$1:$I$89,3,0)*VLOOKUP('Données projet'!$B$16,Paramètres!$A$1:$I$89,5,0)</f>
        <v>-1.0345502232667058E-13</v>
      </c>
      <c r="FG77" s="13" t="e">
        <f t="shared" si="101"/>
        <v>#NUM!</v>
      </c>
      <c r="FH77" s="20" t="e">
        <f t="shared" si="76"/>
        <v>#NUM!</v>
      </c>
      <c r="FI77" s="59" t="e">
        <f t="shared" si="77"/>
        <v>#NUM!</v>
      </c>
      <c r="FJ77" s="59">
        <f ca="1">AVERAGE(OFFSET($FI$3,0,0,'Données projet'!$E$16+1,1))-AVERAGE(OFFSET($H$3,0,0,'Données projet'!$E$16+1,1))</f>
        <v>279.43442619866738</v>
      </c>
      <c r="FK77" s="59">
        <f t="shared" si="102"/>
        <v>355.95192241448217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159.63356324391</v>
      </c>
      <c r="FR77" s="21">
        <f>EXP(-LN(2)/25)*FR76+(1-EXP(-LN(2)/25))/(LN(2)/25)*Calculateur!FM77*Calculateur!FO77*VLOOKUP('Données projet'!$B$16,Paramètres!$A$1:$I$89,3,0)*0.475*44/12</f>
        <v>35.569116719534158</v>
      </c>
      <c r="FS77" s="21">
        <f>EXP(-LN(2)/2)*FS76+(1-EXP(-LN(2)/2))/(LN(2)/2)*FM77*FP77*VLOOKUP('Données projet'!$B$16,Paramètres!$A$1:$I$89,3,0)*0.475*44/12</f>
        <v>0.35814494255738105</v>
      </c>
      <c r="FT77" s="22">
        <f t="shared" si="78"/>
        <v>195.56082490600153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-1.1368683772161603E-13</v>
      </c>
      <c r="O78" s="13">
        <f>N78*VLOOKUP('Données projet'!$B$9,Paramètres!$A$1:$I$89,3,0)*VLOOKUP('Données projet'!$B$9,Paramètres!$A$1:$I$89,5,0)</f>
        <v>-6.7984728957526396E-14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227.89848316900191</v>
      </c>
      <c r="T78" s="59">
        <f t="shared" si="88"/>
        <v>239.85955661394541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106.4780963711089</v>
      </c>
      <c r="AA78" s="21">
        <f>EXP(-LN(2)/25)*AA77+(1-EXP(-LN(2)/25))/(LN(2)/25)*Calculateur!V78*Calculateur!X78*VLOOKUP('Données projet'!$B$9,Paramètres!$A$1:$I$89,3,0)*0.475*44/12</f>
        <v>22.788311914140639</v>
      </c>
      <c r="AB78" s="21">
        <f>EXP(-LN(2)/2)*AB77+(1-EXP(-LN(2)/2))/(LN(2)/2)*V78*Y78*VLOOKUP('Données projet'!$B$9,Paramètres!$A$1:$I$89,3,0)*0.475*44/12</f>
        <v>0.40501817254709283</v>
      </c>
      <c r="AC78" s="22">
        <f t="shared" si="57"/>
        <v>129.67142645779666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7.5</v>
      </c>
      <c r="AI78" s="13">
        <f>IF('Données projet'!$A$62&gt;35,AI77+AH78-AQ77,IF(A78&lt;'Données projet'!$A$62,$AF$205^A78,IF(A78='Données projet'!$A$62,'Données projet'!$B$62,AI77+AH78-AQ77)))</f>
        <v>204.50000000000017</v>
      </c>
      <c r="AJ78" s="13">
        <f>AI78*VLOOKUP('Données projet'!$B$10,Paramètres!$A$1:$I$89,3,0)*VLOOKUP('Données projet'!$B$10,Paramètres!$A$1:$I$89,5,0)</f>
        <v>185.03160000000014</v>
      </c>
      <c r="AK78" s="13">
        <f t="shared" si="89"/>
        <v>46.439821937925259</v>
      </c>
      <c r="AL78" s="20">
        <f t="shared" si="58"/>
        <v>403.14605987522009</v>
      </c>
      <c r="AM78" s="59">
        <f t="shared" si="59"/>
        <v>696.47939320855335</v>
      </c>
      <c r="AN78" s="59">
        <f ca="1">AVERAGE(OFFSET($AM$3,0,0,'Données projet'!$E$10+1,1))-AVERAGE(OFFSET($H$3,0,0,'Données projet'!$E$10+1,1))</f>
        <v>215.7418266360167</v>
      </c>
      <c r="AO78" s="59">
        <f t="shared" si="90"/>
        <v>155.78420008229949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29.686430868971925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29.686430868971925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4.8888888888888893</v>
      </c>
      <c r="BD78" s="12">
        <f>IF('Données projet'!$A$88&gt;35,BD77+BC78-BL77,IF(A78&lt;'Données projet'!$A$88,$BA$205^A78,IF(A78='Données projet'!$A$88,'Données projet'!$B$88,BD77+BC78-BL77)))</f>
        <v>142.66666666666666</v>
      </c>
      <c r="BE78" s="13">
        <f>BD78*VLOOKUP('Données projet'!$B$11,Paramètres!$A$1:$I$89,3,0)*VLOOKUP('Données projet'!$B$11,Paramètres!$A$1:$I$89,5,0)</f>
        <v>144.66400000000002</v>
      </c>
      <c r="BF78" s="13">
        <f t="shared" si="91"/>
        <v>37.363416018158688</v>
      </c>
      <c r="BG78" s="20">
        <f t="shared" si="61"/>
        <v>317.03108289829305</v>
      </c>
      <c r="BH78" s="59">
        <f t="shared" si="62"/>
        <v>610.36441623162636</v>
      </c>
      <c r="BI78" s="59">
        <f ca="1">AVERAGE(OFFSET($BH$3,0,0,'Données projet'!$E$11+1,1))-AVERAGE(OFFSET($H$3,0,0,'Données projet'!$E$11+1,1))</f>
        <v>179.53921263314447</v>
      </c>
      <c r="BJ78" s="59">
        <f t="shared" si="92"/>
        <v>120.81513023281337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21.299834786602478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21.299834786602478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25.853044410150915</v>
      </c>
      <c r="BY78" s="12">
        <f>IF('Données projet'!$A$114&gt;35,BY77+BX78-CG77,IF(A78&lt;'Données projet'!$A$114,$BV$205^A78,IF(A78='Données projet'!$A$114,'Données projet'!$B$114,BY77+BX78-CG77)))</f>
        <v>684.6566315157753</v>
      </c>
      <c r="BZ78" s="13">
        <f>BY78*VLOOKUP('Données projet'!$B$12,Paramètres!$A$1:$I$89,3,0)*VLOOKUP('Données projet'!$B$12,Paramètres!$A$1:$I$89,5,0)</f>
        <v>320.41930354938285</v>
      </c>
      <c r="CA78" s="13">
        <f t="shared" si="93"/>
        <v>75.440591270732696</v>
      </c>
      <c r="CB78" s="20">
        <f t="shared" si="64"/>
        <v>689.45598347836778</v>
      </c>
      <c r="CC78" s="59">
        <f t="shared" si="65"/>
        <v>982.78931681170116</v>
      </c>
      <c r="CD78" s="59">
        <f ca="1">AVERAGE(OFFSET($CC$3,0,0,'Données projet'!$E$12+1,1))-AVERAGE(OFFSET($H$3,0,0,'Données projet'!$E$12+1,1))</f>
        <v>310.06530483941287</v>
      </c>
      <c r="CE78" s="59">
        <f t="shared" si="94"/>
        <v>170.13425794309376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59.606333520938577</v>
      </c>
      <c r="CL78" s="21">
        <f>EXP(-LN(2)/25)*CL77+(1-EXP(-LN(2)/25))/(LN(2)/25)*Calculateur!CG78*Calculateur!CI78*VLOOKUP('Données projet'!$B$12,Paramètres!$A$1:$I$89,3,0)*0.475*44/12</f>
        <v>13.866924336338689</v>
      </c>
      <c r="CM78" s="21">
        <f>EXP(-LN(2)/2)*CM77+(1-EXP(-LN(2)/2))/(LN(2)/2)*CG78*CJ78*VLOOKUP('Données projet'!$B$12,Paramètres!$A$1:$I$89,3,0)*0.475*44/12</f>
        <v>1.4084895726869704</v>
      </c>
      <c r="CN78" s="22">
        <f t="shared" si="66"/>
        <v>74.881747429964236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>
        <f>CT78*VLOOKUP('Données projet'!$B$13,Paramètres!$A$1:$I$89,3,0)*VLOOKUP('Données projet'!$B$13,Paramètres!$A$1:$I$89,5,0)</f>
        <v>0</v>
      </c>
      <c r="CV78" s="13" t="e">
        <f t="shared" si="95"/>
        <v>#NUM!</v>
      </c>
      <c r="CW78" s="20" t="e">
        <f t="shared" si="67"/>
        <v>#NUM!</v>
      </c>
      <c r="CX78" s="59" t="e">
        <f t="shared" si="68"/>
        <v>#NUM!</v>
      </c>
      <c r="CY78" s="59">
        <f ca="1">AVERAGE(OFFSET($CX$3,0,0,'Données projet'!$E$13+1,1))-AVERAGE(OFFSET($H$3,0,0,'Données projet'!$E$13+1,1))</f>
        <v>168.08890945052406</v>
      </c>
      <c r="CZ78" s="59">
        <f t="shared" si="96"/>
        <v>182.52462557642343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84.253953054129383</v>
      </c>
      <c r="DG78" s="21">
        <f>EXP(-LN(2)/25)*DG77+(1-EXP(-LN(2)/25))/(LN(2)/25)*Calculateur!DB78*Calculateur!DD78*VLOOKUP('Données projet'!$B$13,Paramètres!$A$1:$I$89,3,0)*0.475*44/12</f>
        <v>18.836501801002854</v>
      </c>
      <c r="DH78" s="21">
        <f>EXP(-LN(2)/2)*DH77+(1-EXP(-LN(2)/2))/(LN(2)/2)*DB78*DE78*VLOOKUP('Données projet'!$B$13,Paramètres!$A$1:$I$89,3,0)*0.475*44/12</f>
        <v>0.31315682259841504</v>
      </c>
      <c r="DI78" s="22">
        <f t="shared" si="69"/>
        <v>103.40361167773065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-2.2737367544323206E-13</v>
      </c>
      <c r="DP78" s="17">
        <f>DO78*VLOOKUP('Données projet'!$B$14,Paramètres!$A$1:$I$89,3,0)*VLOOKUP('Données projet'!$B$14,Paramètres!$A$1:$I$89,5,0)</f>
        <v>-1.2710188457276673E-13</v>
      </c>
      <c r="DQ78" s="13" t="e">
        <f t="shared" si="97"/>
        <v>#NUM!</v>
      </c>
      <c r="DR78" s="20" t="e">
        <f t="shared" si="70"/>
        <v>#NUM!</v>
      </c>
      <c r="DS78" s="59" t="e">
        <f t="shared" si="71"/>
        <v>#NUM!</v>
      </c>
      <c r="DT78" s="59">
        <f ca="1">AVERAGE(OFFSET($DS$3,0,0,'Données projet'!$E$14+1,1))-AVERAGE(OFFSET($H$3,0,0,'Données projet'!$E$14+1,1))</f>
        <v>355.23615781077405</v>
      </c>
      <c r="DU78" s="59">
        <f t="shared" si="98"/>
        <v>448.84541017639367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192.27541704939782</v>
      </c>
      <c r="EB78" s="21">
        <f>EXP(-LN(2)/25)*EB77+(1-EXP(-LN(2)/25))/(LN(2)/25)*Calculateur!DW78*Calculateur!DY78*VLOOKUP('Données projet'!$B$14,Paramètres!$A$1:$I$89,3,0)*0.475*44/12</f>
        <v>42.504243604303333</v>
      </c>
      <c r="EC78" s="21">
        <f>EXP(-LN(2)/2)*EC77+(1-EXP(-LN(2)/2))/(LN(2)/2)*DW78*DZ78*VLOOKUP('Données projet'!$B$14,Paramètres!$A$1:$I$89,3,0)*0.475*44/12</f>
        <v>0.31113168153684567</v>
      </c>
      <c r="ED78" s="22">
        <f t="shared" si="72"/>
        <v>235.09079233523798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3.9111111111111097</v>
      </c>
      <c r="EJ78" s="12">
        <f>IF('Données projet'!$A$192&gt;35,EJ77+EI78-ER77,IF(A78&lt;'Données projet'!$A$192,$EG$205^A78,IF(A78='Données projet'!$A$192,'Données projet'!$B$192,EJ77+EI78-ER77)))</f>
        <v>114.13333333333324</v>
      </c>
      <c r="EK78" s="17">
        <f>EJ78*VLOOKUP('Données projet'!$B$15,Paramètres!$A$1:$I$89,3,0)*VLOOKUP('Données projet'!$B$15,Paramètres!$A$1:$I$89,5,0)</f>
        <v>122.85311999999989</v>
      </c>
      <c r="EL78" s="13">
        <f t="shared" si="99"/>
        <v>32.339529910742201</v>
      </c>
      <c r="EM78" s="20">
        <f t="shared" si="73"/>
        <v>270.29386526120908</v>
      </c>
      <c r="EN78" s="59">
        <f t="shared" si="74"/>
        <v>563.62719859454239</v>
      </c>
      <c r="EO78" s="59">
        <f ca="1">AVERAGE(OFFSET($EN$3,0,0,'Données projet'!$E$15+1,1))-AVERAGE(OFFSET($H$3,0,0,'Données projet'!$E$15+1,1))</f>
        <v>130.76477588601989</v>
      </c>
      <c r="EP78" s="59">
        <f t="shared" si="100"/>
        <v>94.034011511502172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18.088475080314719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18.088475080314719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-2.2737367544323206E-13</v>
      </c>
      <c r="FF78" s="17">
        <f>FE78*VLOOKUP('Données projet'!$B$16,Paramètres!$A$1:$I$89,3,0)*VLOOKUP('Données projet'!$B$16,Paramètres!$A$1:$I$89,5,0)</f>
        <v>-1.0345502232667058E-13</v>
      </c>
      <c r="FG78" s="13" t="e">
        <f t="shared" si="101"/>
        <v>#NUM!</v>
      </c>
      <c r="FH78" s="20" t="e">
        <f t="shared" si="76"/>
        <v>#NUM!</v>
      </c>
      <c r="FI78" s="59" t="e">
        <f t="shared" si="77"/>
        <v>#NUM!</v>
      </c>
      <c r="FJ78" s="59">
        <f ca="1">AVERAGE(OFFSET($FI$3,0,0,'Données projet'!$E$16+1,1))-AVERAGE(OFFSET($H$3,0,0,'Données projet'!$E$16+1,1))</f>
        <v>279.43442619866738</v>
      </c>
      <c r="FK78" s="59">
        <f t="shared" si="102"/>
        <v>355.95192241448217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156.50324643555632</v>
      </c>
      <c r="FR78" s="21">
        <f>EXP(-LN(2)/25)*FR77+(1-EXP(-LN(2)/25))/(LN(2)/25)*Calculateur!FM78*Calculateur!FO78*VLOOKUP('Données projet'!$B$16,Paramètres!$A$1:$I$89,3,0)*0.475*44/12</f>
        <v>34.596477352339946</v>
      </c>
      <c r="FS78" s="21">
        <f>EXP(-LN(2)/2)*FS77+(1-EXP(-LN(2)/2))/(LN(2)/2)*FM78*FP78*VLOOKUP('Données projet'!$B$16,Paramètres!$A$1:$I$89,3,0)*0.475*44/12</f>
        <v>0.25324671752999067</v>
      </c>
      <c r="FT78" s="22">
        <f t="shared" si="78"/>
        <v>191.35297050542627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-1.1368683772161603E-13</v>
      </c>
      <c r="O79" s="13">
        <f>N79*VLOOKUP('Données projet'!$B$9,Paramètres!$A$1:$I$89,3,0)*VLOOKUP('Données projet'!$B$9,Paramètres!$A$1:$I$89,5,0)</f>
        <v>-6.7984728957526396E-14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227.89848316900191</v>
      </c>
      <c r="T79" s="59">
        <f t="shared" si="88"/>
        <v>239.85955661394541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104.39012584649744</v>
      </c>
      <c r="AA79" s="21">
        <f>EXP(-LN(2)/25)*AA78+(1-EXP(-LN(2)/25))/(LN(2)/25)*Calculateur!V79*Calculateur!X79*VLOOKUP('Données projet'!$B$9,Paramètres!$A$1:$I$89,3,0)*0.475*44/12</f>
        <v>22.165164326463223</v>
      </c>
      <c r="AB79" s="21">
        <f>EXP(-LN(2)/2)*AB78+(1-EXP(-LN(2)/2))/(LN(2)/2)*V79*Y79*VLOOKUP('Données projet'!$B$9,Paramètres!$A$1:$I$89,3,0)*0.475*44/12</f>
        <v>0.28639109631183252</v>
      </c>
      <c r="AC79" s="22">
        <f t="shared" si="57"/>
        <v>126.8416812692725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7.5</v>
      </c>
      <c r="AI79" s="13">
        <f>IF('Données projet'!$A$62&gt;35,AI78+AH79-AQ78,IF(A79&lt;'Données projet'!$A$62,$AF$205^A79,IF(A79='Données projet'!$A$62,'Données projet'!$B$62,AI78+AH79-AQ78)))</f>
        <v>212.00000000000017</v>
      </c>
      <c r="AJ79" s="13">
        <f>AI79*VLOOKUP('Données projet'!$B$10,Paramètres!$A$1:$I$89,3,0)*VLOOKUP('Données projet'!$B$10,Paramètres!$A$1:$I$89,5,0)</f>
        <v>191.81760000000014</v>
      </c>
      <c r="AK79" s="13">
        <f t="shared" si="89"/>
        <v>47.941575465657138</v>
      </c>
      <c r="AL79" s="20">
        <f t="shared" si="58"/>
        <v>417.5805639360197</v>
      </c>
      <c r="AM79" s="59">
        <f t="shared" si="59"/>
        <v>710.91389726935301</v>
      </c>
      <c r="AN79" s="59">
        <f ca="1">AVERAGE(OFFSET($AM$3,0,0,'Données projet'!$E$10+1,1))-AVERAGE(OFFSET($H$3,0,0,'Données projet'!$E$10+1,1))</f>
        <v>215.7418266360167</v>
      </c>
      <c r="AO79" s="59">
        <f t="shared" si="90"/>
        <v>155.78420008229949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29.104298066566304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29.104298066566304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4.8888888888888893</v>
      </c>
      <c r="BD79" s="12">
        <f>IF('Données projet'!$A$88&gt;35,BD78+BC79-BL78,IF(A79&lt;'Données projet'!$A$88,$BA$205^A79,IF(A79='Données projet'!$A$88,'Données projet'!$B$88,BD78+BC79-BL78)))</f>
        <v>147.55555555555554</v>
      </c>
      <c r="BE79" s="13">
        <f>BD79*VLOOKUP('Données projet'!$B$11,Paramètres!$A$1:$I$89,3,0)*VLOOKUP('Données projet'!$B$11,Paramètres!$A$1:$I$89,5,0)</f>
        <v>149.62133333333333</v>
      </c>
      <c r="BF79" s="13">
        <f t="shared" si="91"/>
        <v>38.492519606977645</v>
      </c>
      <c r="BG79" s="20">
        <f t="shared" si="61"/>
        <v>327.63162720437492</v>
      </c>
      <c r="BH79" s="59">
        <f t="shared" si="62"/>
        <v>620.96496053770829</v>
      </c>
      <c r="BI79" s="59">
        <f ca="1">AVERAGE(OFFSET($BH$3,0,0,'Données projet'!$E$11+1,1))-AVERAGE(OFFSET($H$3,0,0,'Données projet'!$E$11+1,1))</f>
        <v>179.53921263314447</v>
      </c>
      <c r="BJ79" s="59">
        <f t="shared" si="92"/>
        <v>120.81513023281337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20.882158018053609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20.882158018053609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25.853044410150915</v>
      </c>
      <c r="BY79" s="12">
        <f>IF('Données projet'!$A$114&gt;35,BY78+BX79-CG78,IF(A79&lt;'Données projet'!$A$114,$BV$205^A79,IF(A79='Données projet'!$A$114,'Données projet'!$B$114,BY78+BX79-CG78)))</f>
        <v>710.50967592592622</v>
      </c>
      <c r="BZ79" s="13">
        <f>BY79*VLOOKUP('Données projet'!$B$12,Paramètres!$A$1:$I$89,3,0)*VLOOKUP('Données projet'!$B$12,Paramètres!$A$1:$I$89,5,0)</f>
        <v>332.51852833333351</v>
      </c>
      <c r="CA79" s="13">
        <f t="shared" si="93"/>
        <v>77.952231078331664</v>
      </c>
      <c r="CB79" s="20">
        <f t="shared" si="64"/>
        <v>714.90323930865009</v>
      </c>
      <c r="CC79" s="59">
        <f t="shared" si="65"/>
        <v>1008.2365726419835</v>
      </c>
      <c r="CD79" s="59">
        <f ca="1">AVERAGE(OFFSET($CC$3,0,0,'Données projet'!$E$12+1,1))-AVERAGE(OFFSET($H$3,0,0,'Données projet'!$E$12+1,1))</f>
        <v>310.06530483941287</v>
      </c>
      <c r="CE79" s="59">
        <f t="shared" si="94"/>
        <v>170.13425794309376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58.437489676866534</v>
      </c>
      <c r="CL79" s="21">
        <f>EXP(-LN(2)/25)*CL78+(1-EXP(-LN(2)/25))/(LN(2)/25)*Calculateur!CG79*Calculateur!CI79*VLOOKUP('Données projet'!$B$12,Paramètres!$A$1:$I$89,3,0)*0.475*44/12</f>
        <v>13.487732561131651</v>
      </c>
      <c r="CM79" s="21">
        <f>EXP(-LN(2)/2)*CM78+(1-EXP(-LN(2)/2))/(LN(2)/2)*CG79*CJ79*VLOOKUP('Données projet'!$B$12,Paramètres!$A$1:$I$89,3,0)*0.475*44/12</f>
        <v>0.99595252807749945</v>
      </c>
      <c r="CN79" s="22">
        <f t="shared" si="66"/>
        <v>72.92117476607568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>
        <f>CT79*VLOOKUP('Données projet'!$B$13,Paramètres!$A$1:$I$89,3,0)*VLOOKUP('Données projet'!$B$13,Paramètres!$A$1:$I$89,5,0)</f>
        <v>0</v>
      </c>
      <c r="CV79" s="13" t="e">
        <f t="shared" si="95"/>
        <v>#NUM!</v>
      </c>
      <c r="CW79" s="20" t="e">
        <f t="shared" si="67"/>
        <v>#NUM!</v>
      </c>
      <c r="CX79" s="59" t="e">
        <f t="shared" si="68"/>
        <v>#NUM!</v>
      </c>
      <c r="CY79" s="59">
        <f ca="1">AVERAGE(OFFSET($CX$3,0,0,'Données projet'!$E$13+1,1))-AVERAGE(OFFSET($H$3,0,0,'Données projet'!$E$13+1,1))</f>
        <v>168.08890945052406</v>
      </c>
      <c r="CZ79" s="59">
        <f t="shared" si="96"/>
        <v>182.52462557642343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82.601784424574944</v>
      </c>
      <c r="DG79" s="21">
        <f>EXP(-LN(2)/25)*DG78+(1-EXP(-LN(2)/25))/(LN(2)/25)*Calculateur!DB79*Calculateur!DD79*VLOOKUP('Données projet'!$B$13,Paramètres!$A$1:$I$89,3,0)*0.475*44/12</f>
        <v>18.321416668685853</v>
      </c>
      <c r="DH79" s="21">
        <f>EXP(-LN(2)/2)*DH78+(1-EXP(-LN(2)/2))/(LN(2)/2)*DB79*DE79*VLOOKUP('Données projet'!$B$13,Paramètres!$A$1:$I$89,3,0)*0.475*44/12</f>
        <v>0.22143531283417195</v>
      </c>
      <c r="DI79" s="22">
        <f t="shared" si="69"/>
        <v>101.14463640609497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-2.2737367544323206E-13</v>
      </c>
      <c r="DP79" s="17">
        <f>DO79*VLOOKUP('Données projet'!$B$14,Paramètres!$A$1:$I$89,3,0)*VLOOKUP('Données projet'!$B$14,Paramètres!$A$1:$I$89,5,0)</f>
        <v>-1.2710188457276673E-13</v>
      </c>
      <c r="DQ79" s="13" t="e">
        <f t="shared" si="97"/>
        <v>#NUM!</v>
      </c>
      <c r="DR79" s="20" t="e">
        <f t="shared" si="70"/>
        <v>#NUM!</v>
      </c>
      <c r="DS79" s="59" t="e">
        <f t="shared" si="71"/>
        <v>#NUM!</v>
      </c>
      <c r="DT79" s="59">
        <f ca="1">AVERAGE(OFFSET($DS$3,0,0,'Données projet'!$E$14+1,1))-AVERAGE(OFFSET($H$3,0,0,'Données projet'!$E$14+1,1))</f>
        <v>355.23615781077405</v>
      </c>
      <c r="DU79" s="59">
        <f t="shared" si="98"/>
        <v>448.84541017639367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188.50501339748345</v>
      </c>
      <c r="EB79" s="21">
        <f>EXP(-LN(2)/25)*EB78+(1-EXP(-LN(2)/25))/(LN(2)/25)*Calculateur!DW79*Calculateur!DY79*VLOOKUP('Données projet'!$B$14,Paramètres!$A$1:$I$89,3,0)*0.475*44/12</f>
        <v>41.341962827742634</v>
      </c>
      <c r="EC79" s="21">
        <f>EXP(-LN(2)/2)*EC78+(1-EXP(-LN(2)/2))/(LN(2)/2)*DW79*DZ79*VLOOKUP('Données projet'!$B$14,Paramètres!$A$1:$I$89,3,0)*0.475*44/12</f>
        <v>0.22000332185667693</v>
      </c>
      <c r="ED79" s="22">
        <f t="shared" si="72"/>
        <v>230.06697954708275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3.9111111111111097</v>
      </c>
      <c r="EJ79" s="12">
        <f>IF('Données projet'!$A$192&gt;35,EJ78+EI79-ER78,IF(A79&lt;'Données projet'!$A$192,$EG$205^A79,IF(A79='Données projet'!$A$192,'Données projet'!$B$192,EJ78+EI79-ER78)))</f>
        <v>118.04444444444435</v>
      </c>
      <c r="EK79" s="17">
        <f>EJ79*VLOOKUP('Données projet'!$B$15,Paramètres!$A$1:$I$89,3,0)*VLOOKUP('Données projet'!$B$15,Paramètres!$A$1:$I$89,5,0)</f>
        <v>127.06303999999989</v>
      </c>
      <c r="EL79" s="13">
        <f t="shared" si="99"/>
        <v>33.316814195059003</v>
      </c>
      <c r="EM79" s="20">
        <f t="shared" si="73"/>
        <v>279.32824605639422</v>
      </c>
      <c r="EN79" s="59">
        <f t="shared" si="74"/>
        <v>572.66157938972754</v>
      </c>
      <c r="EO79" s="59">
        <f ca="1">AVERAGE(OFFSET($EN$3,0,0,'Données projet'!$E$15+1,1))-AVERAGE(OFFSET($H$3,0,0,'Données projet'!$E$15+1,1))</f>
        <v>130.76477588601989</v>
      </c>
      <c r="EP79" s="59">
        <f t="shared" si="100"/>
        <v>94.034011511502172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17.733771116870141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17.733771116870141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-2.2737367544323206E-13</v>
      </c>
      <c r="FF79" s="17">
        <f>FE79*VLOOKUP('Données projet'!$B$16,Paramètres!$A$1:$I$89,3,0)*VLOOKUP('Données projet'!$B$16,Paramètres!$A$1:$I$89,5,0)</f>
        <v>-1.0345502232667058E-13</v>
      </c>
      <c r="FG79" s="13" t="e">
        <f t="shared" si="101"/>
        <v>#NUM!</v>
      </c>
      <c r="FH79" s="20" t="e">
        <f t="shared" si="76"/>
        <v>#NUM!</v>
      </c>
      <c r="FI79" s="59" t="e">
        <f t="shared" si="77"/>
        <v>#NUM!</v>
      </c>
      <c r="FJ79" s="59">
        <f ca="1">AVERAGE(OFFSET($FI$3,0,0,'Données projet'!$E$16+1,1))-AVERAGE(OFFSET($H$3,0,0,'Données projet'!$E$16+1,1))</f>
        <v>279.43442619866738</v>
      </c>
      <c r="FK79" s="59">
        <f t="shared" si="102"/>
        <v>355.95192241448217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153.43431323050973</v>
      </c>
      <c r="FR79" s="21">
        <f>EXP(-LN(2)/25)*FR78+(1-EXP(-LN(2)/25))/(LN(2)/25)*Calculateur!FM79*Calculateur!FO79*VLOOKUP('Données projet'!$B$16,Paramètres!$A$1:$I$89,3,0)*0.475*44/12</f>
        <v>33.650434859790536</v>
      </c>
      <c r="FS79" s="21">
        <f>EXP(-LN(2)/2)*FS78+(1-EXP(-LN(2)/2))/(LN(2)/2)*FM79*FP79*VLOOKUP('Données projet'!$B$16,Paramètres!$A$1:$I$89,3,0)*0.475*44/12</f>
        <v>0.17907247127869053</v>
      </c>
      <c r="FT79" s="22">
        <f t="shared" si="78"/>
        <v>187.26382056157894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-1.1368683772161603E-13</v>
      </c>
      <c r="O80" s="13">
        <f>N80*VLOOKUP('Données projet'!$B$9,Paramètres!$A$1:$I$89,3,0)*VLOOKUP('Données projet'!$B$9,Paramètres!$A$1:$I$89,5,0)</f>
        <v>-6.7984728957526396E-14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227.89848316900191</v>
      </c>
      <c r="T80" s="59">
        <f t="shared" si="88"/>
        <v>239.85955661394541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102.34309915033734</v>
      </c>
      <c r="AA80" s="21">
        <f>EXP(-LN(2)/25)*AA79+(1-EXP(-LN(2)/25))/(LN(2)/25)*Calculateur!V80*Calculateur!X80*VLOOKUP('Données projet'!$B$9,Paramètres!$A$1:$I$89,3,0)*0.475*44/12</f>
        <v>21.559056742340754</v>
      </c>
      <c r="AB80" s="21">
        <f>EXP(-LN(2)/2)*AB79+(1-EXP(-LN(2)/2))/(LN(2)/2)*V80*Y80*VLOOKUP('Données projet'!$B$9,Paramètres!$A$1:$I$89,3,0)*0.475*44/12</f>
        <v>0.20250908627354641</v>
      </c>
      <c r="AC80" s="22">
        <f t="shared" si="57"/>
        <v>124.10466497895165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7.5</v>
      </c>
      <c r="AI80" s="13">
        <f>IF('Données projet'!$A$62&gt;35,AI79+AH80-AQ79,IF(A80&lt;'Données projet'!$A$62,$AF$205^A80,IF(A80='Données projet'!$A$62,'Données projet'!$B$62,AI79+AH80-AQ79)))</f>
        <v>219.50000000000017</v>
      </c>
      <c r="AJ80" s="13">
        <f>AI80*VLOOKUP('Données projet'!$B$10,Paramètres!$A$1:$I$89,3,0)*VLOOKUP('Données projet'!$B$10,Paramètres!$A$1:$I$89,5,0)</f>
        <v>198.60360000000014</v>
      </c>
      <c r="AK80" s="13">
        <f t="shared" si="89"/>
        <v>49.437156240946805</v>
      </c>
      <c r="AL80" s="20">
        <f t="shared" si="58"/>
        <v>432.00431711964933</v>
      </c>
      <c r="AM80" s="59">
        <f t="shared" si="59"/>
        <v>725.33765045298264</v>
      </c>
      <c r="AN80" s="59">
        <f ca="1">AVERAGE(OFFSET($AM$3,0,0,'Données projet'!$E$10+1,1))-AVERAGE(OFFSET($H$3,0,0,'Données projet'!$E$10+1,1))</f>
        <v>215.7418266360167</v>
      </c>
      <c r="AO80" s="59">
        <f t="shared" si="90"/>
        <v>155.78420008229949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28.533580533349909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28.533580533349909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4.8888888888888893</v>
      </c>
      <c r="BD80" s="12">
        <f>IF('Données projet'!$A$88&gt;35,BD79+BC80-BL79,IF(A80&lt;'Données projet'!$A$88,$BA$205^A80,IF(A80='Données projet'!$A$88,'Données projet'!$B$88,BD79+BC80-BL79)))</f>
        <v>152.44444444444443</v>
      </c>
      <c r="BE80" s="13">
        <f>BD80*VLOOKUP('Données projet'!$B$11,Paramètres!$A$1:$I$89,3,0)*VLOOKUP('Données projet'!$B$11,Paramètres!$A$1:$I$89,5,0)</f>
        <v>154.57866666666666</v>
      </c>
      <c r="BF80" s="13">
        <f t="shared" si="91"/>
        <v>39.617276210865775</v>
      </c>
      <c r="BG80" s="20">
        <f t="shared" si="61"/>
        <v>338.22460051170231</v>
      </c>
      <c r="BH80" s="59">
        <f t="shared" si="62"/>
        <v>631.55793384503568</v>
      </c>
      <c r="BI80" s="59">
        <f ca="1">AVERAGE(OFFSET($BH$3,0,0,'Données projet'!$E$11+1,1))-AVERAGE(OFFSET($H$3,0,0,'Données projet'!$E$11+1,1))</f>
        <v>179.53921263314447</v>
      </c>
      <c r="BJ80" s="59">
        <f t="shared" si="92"/>
        <v>120.81513023281337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20.472671636178308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20.472671636178308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25.853044410150915</v>
      </c>
      <c r="BY80" s="12">
        <f>IF('Données projet'!$A$114&gt;35,BY79+BX80-CG79,IF(A80&lt;'Données projet'!$A$114,$BV$205^A80,IF(A80='Données projet'!$A$114,'Données projet'!$B$114,BY79+BX80-CG79)))</f>
        <v>736.36272033607713</v>
      </c>
      <c r="BZ80" s="13">
        <f>BY80*VLOOKUP('Données projet'!$B$12,Paramètres!$A$1:$I$89,3,0)*VLOOKUP('Données projet'!$B$12,Paramètres!$A$1:$I$89,5,0)</f>
        <v>344.61775311728411</v>
      </c>
      <c r="CA80" s="13">
        <f t="shared" si="93"/>
        <v>80.453253101769889</v>
      </c>
      <c r="CB80" s="20">
        <f t="shared" si="64"/>
        <v>740.33200249818549</v>
      </c>
      <c r="CC80" s="59">
        <f t="shared" si="65"/>
        <v>1033.6653358315189</v>
      </c>
      <c r="CD80" s="59">
        <f ca="1">AVERAGE(OFFSET($CC$3,0,0,'Données projet'!$E$12+1,1))-AVERAGE(OFFSET($H$3,0,0,'Données projet'!$E$12+1,1))</f>
        <v>310.06530483941287</v>
      </c>
      <c r="CE80" s="59">
        <f t="shared" si="94"/>
        <v>170.13425794309376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57.291566147652397</v>
      </c>
      <c r="CL80" s="21">
        <f>EXP(-LN(2)/25)*CL79+(1-EXP(-LN(2)/25))/(LN(2)/25)*Calculateur!CG80*Calculateur!CI80*VLOOKUP('Données projet'!$B$12,Paramètres!$A$1:$I$89,3,0)*0.475*44/12</f>
        <v>13.118909804958477</v>
      </c>
      <c r="CM80" s="21">
        <f>EXP(-LN(2)/2)*CM79+(1-EXP(-LN(2)/2))/(LN(2)/2)*CG80*CJ80*VLOOKUP('Données projet'!$B$12,Paramètres!$A$1:$I$89,3,0)*0.475*44/12</f>
        <v>0.70424478634348531</v>
      </c>
      <c r="CN80" s="22">
        <f t="shared" si="66"/>
        <v>71.114720738954361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>
        <f>CT80*VLOOKUP('Données projet'!$B$13,Paramètres!$A$1:$I$89,3,0)*VLOOKUP('Données projet'!$B$13,Paramètres!$A$1:$I$89,5,0)</f>
        <v>0</v>
      </c>
      <c r="CV80" s="13" t="e">
        <f t="shared" si="95"/>
        <v>#NUM!</v>
      </c>
      <c r="CW80" s="20" t="e">
        <f t="shared" si="67"/>
        <v>#NUM!</v>
      </c>
      <c r="CX80" s="59" t="e">
        <f t="shared" si="68"/>
        <v>#NUM!</v>
      </c>
      <c r="CY80" s="59">
        <f ca="1">AVERAGE(OFFSET($CX$3,0,0,'Données projet'!$E$13+1,1))-AVERAGE(OFFSET($H$3,0,0,'Données projet'!$E$13+1,1))</f>
        <v>168.08890945052406</v>
      </c>
      <c r="CZ80" s="59">
        <f t="shared" si="96"/>
        <v>182.52462557642343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80.982013814122709</v>
      </c>
      <c r="DG80" s="21">
        <f>EXP(-LN(2)/25)*DG79+(1-EXP(-LN(2)/25))/(LN(2)/25)*Calculateur!DB80*Calculateur!DD80*VLOOKUP('Données projet'!$B$13,Paramètres!$A$1:$I$89,3,0)*0.475*44/12</f>
        <v>17.82041656639921</v>
      </c>
      <c r="DH80" s="21">
        <f>EXP(-LN(2)/2)*DH79+(1-EXP(-LN(2)/2))/(LN(2)/2)*DB80*DE80*VLOOKUP('Données projet'!$B$13,Paramètres!$A$1:$I$89,3,0)*0.475*44/12</f>
        <v>0.15657841129920752</v>
      </c>
      <c r="DI80" s="22">
        <f t="shared" si="69"/>
        <v>98.95900879182112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-2.2737367544323206E-13</v>
      </c>
      <c r="DP80" s="17">
        <f>DO80*VLOOKUP('Données projet'!$B$14,Paramètres!$A$1:$I$89,3,0)*VLOOKUP('Données projet'!$B$14,Paramètres!$A$1:$I$89,5,0)</f>
        <v>-1.2710188457276673E-13</v>
      </c>
      <c r="DQ80" s="13" t="e">
        <f t="shared" si="97"/>
        <v>#NUM!</v>
      </c>
      <c r="DR80" s="20" t="e">
        <f t="shared" si="70"/>
        <v>#NUM!</v>
      </c>
      <c r="DS80" s="59" t="e">
        <f t="shared" si="71"/>
        <v>#NUM!</v>
      </c>
      <c r="DT80" s="59">
        <f ca="1">AVERAGE(OFFSET($DS$3,0,0,'Données projet'!$E$14+1,1))-AVERAGE(OFFSET($H$3,0,0,'Données projet'!$E$14+1,1))</f>
        <v>355.23615781077405</v>
      </c>
      <c r="DU80" s="59">
        <f t="shared" si="98"/>
        <v>448.84541017639367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184.80854506146397</v>
      </c>
      <c r="EB80" s="21">
        <f>EXP(-LN(2)/25)*EB79+(1-EXP(-LN(2)/25))/(LN(2)/25)*Calculateur!DW80*Calculateur!DY80*VLOOKUP('Données projet'!$B$14,Paramètres!$A$1:$I$89,3,0)*0.475*44/12</f>
        <v>40.211464680138675</v>
      </c>
      <c r="EC80" s="21">
        <f>EXP(-LN(2)/2)*EC79+(1-EXP(-LN(2)/2))/(LN(2)/2)*DW80*DZ80*VLOOKUP('Données projet'!$B$14,Paramètres!$A$1:$I$89,3,0)*0.475*44/12</f>
        <v>0.15556584076842284</v>
      </c>
      <c r="ED80" s="22">
        <f t="shared" si="72"/>
        <v>225.17557558237107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3.9111111111111097</v>
      </c>
      <c r="EJ80" s="12">
        <f>IF('Données projet'!$A$192&gt;35,EJ79+EI80-ER79,IF(A80&lt;'Données projet'!$A$192,$EG$205^A80,IF(A80='Données projet'!$A$192,'Données projet'!$B$192,EJ79+EI80-ER79)))</f>
        <v>121.95555555555546</v>
      </c>
      <c r="EK80" s="17">
        <f>EJ80*VLOOKUP('Données projet'!$B$15,Paramètres!$A$1:$I$89,3,0)*VLOOKUP('Données projet'!$B$15,Paramètres!$A$1:$I$89,5,0)</f>
        <v>131.2729599999999</v>
      </c>
      <c r="EL80" s="13">
        <f t="shared" si="99"/>
        <v>34.290335990177205</v>
      </c>
      <c r="EM80" s="20">
        <f t="shared" si="73"/>
        <v>288.35607384955841</v>
      </c>
      <c r="EN80" s="59">
        <f t="shared" si="74"/>
        <v>581.68940718289173</v>
      </c>
      <c r="EO80" s="59">
        <f ca="1">AVERAGE(OFFSET($EN$3,0,0,'Données projet'!$E$15+1,1))-AVERAGE(OFFSET($H$3,0,0,'Données projet'!$E$15+1,1))</f>
        <v>130.76477588601989</v>
      </c>
      <c r="EP80" s="59">
        <f t="shared" si="100"/>
        <v>94.034011511502172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17.386022681800654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17.386022681800654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-2.2737367544323206E-13</v>
      </c>
      <c r="FF80" s="17">
        <f>FE80*VLOOKUP('Données projet'!$B$16,Paramètres!$A$1:$I$89,3,0)*VLOOKUP('Données projet'!$B$16,Paramètres!$A$1:$I$89,5,0)</f>
        <v>-1.0345502232667058E-13</v>
      </c>
      <c r="FG80" s="13" t="e">
        <f t="shared" si="101"/>
        <v>#NUM!</v>
      </c>
      <c r="FH80" s="20" t="e">
        <f t="shared" si="76"/>
        <v>#NUM!</v>
      </c>
      <c r="FI80" s="59" t="e">
        <f t="shared" si="77"/>
        <v>#NUM!</v>
      </c>
      <c r="FJ80" s="59">
        <f ca="1">AVERAGE(OFFSET($FI$3,0,0,'Données projet'!$E$16+1,1))-AVERAGE(OFFSET($H$3,0,0,'Données projet'!$E$16+1,1))</f>
        <v>279.43442619866738</v>
      </c>
      <c r="FK80" s="59">
        <f t="shared" si="102"/>
        <v>355.95192241448217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150.4255599337497</v>
      </c>
      <c r="FR80" s="21">
        <f>EXP(-LN(2)/25)*FR79+(1-EXP(-LN(2)/25))/(LN(2)/25)*Calculateur!FM80*Calculateur!FO80*VLOOKUP('Données projet'!$B$16,Paramètres!$A$1:$I$89,3,0)*0.475*44/12</f>
        <v>32.730261948950101</v>
      </c>
      <c r="FS80" s="21">
        <f>EXP(-LN(2)/2)*FS79+(1-EXP(-LN(2)/2))/(LN(2)/2)*FM80*FP80*VLOOKUP('Données projet'!$B$16,Paramètres!$A$1:$I$89,3,0)*0.475*44/12</f>
        <v>0.12662335876499534</v>
      </c>
      <c r="FT80" s="22">
        <f t="shared" si="78"/>
        <v>183.28244524146479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-1.1368683772161603E-13</v>
      </c>
      <c r="O81" s="13">
        <f>N81*VLOOKUP('Données projet'!$B$9,Paramètres!$A$1:$I$89,3,0)*VLOOKUP('Données projet'!$B$9,Paramètres!$A$1:$I$89,5,0)</f>
        <v>-6.7984728957526396E-14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227.89848316900191</v>
      </c>
      <c r="T81" s="59">
        <f t="shared" si="88"/>
        <v>239.85955661394541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100.33621339912594</v>
      </c>
      <c r="AA81" s="21">
        <f>EXP(-LN(2)/25)*AA80+(1-EXP(-LN(2)/25))/(LN(2)/25)*Calculateur!V81*Calculateur!X81*VLOOKUP('Données projet'!$B$9,Paramètres!$A$1:$I$89,3,0)*0.475*44/12</f>
        <v>20.969523201979925</v>
      </c>
      <c r="AB81" s="21">
        <f>EXP(-LN(2)/2)*AB80+(1-EXP(-LN(2)/2))/(LN(2)/2)*V81*Y81*VLOOKUP('Données projet'!$B$9,Paramètres!$A$1:$I$89,3,0)*0.475*44/12</f>
        <v>0.14319554815591626</v>
      </c>
      <c r="AC81" s="22">
        <f t="shared" si="57"/>
        <v>121.44893214926178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>
        <f>VLOOKUP(A81,'Données projet'!$A$61:$I$81,2,0)</f>
        <v>227</v>
      </c>
      <c r="AG81" s="12">
        <f>VLOOKUP(A81,'Données projet'!$A$61:$I$81,9,0)</f>
        <v>7.5</v>
      </c>
      <c r="AH81" s="12">
        <f t="array" ref="AH81">INDEX(AG:AG,MIN(IF(ISNUMBER(AG81:AG277),ROW(AG81:AG277),"")))</f>
        <v>7.5</v>
      </c>
      <c r="AI81" s="13">
        <f>IF('Données projet'!$A$62&gt;35,AI80+AH81-AQ80,IF(A81&lt;'Données projet'!$A$62,$AF$205^A81,IF(A81='Données projet'!$A$62,'Données projet'!$B$62,AI80+AH81-AQ80)))</f>
        <v>227.00000000000017</v>
      </c>
      <c r="AJ81" s="13">
        <f>AI81*VLOOKUP('Données projet'!$B$10,Paramètres!$A$1:$I$89,3,0)*VLOOKUP('Données projet'!$B$10,Paramètres!$A$1:$I$89,5,0)</f>
        <v>205.38960000000014</v>
      </c>
      <c r="AK81" s="13">
        <f t="shared" si="89"/>
        <v>50.926799353611997</v>
      </c>
      <c r="AL81" s="20">
        <f t="shared" si="58"/>
        <v>446.4177288742078</v>
      </c>
      <c r="AM81" s="59">
        <f t="shared" si="59"/>
        <v>739.75106220754105</v>
      </c>
      <c r="AN81" s="59">
        <f ca="1">AVERAGE(OFFSET($AM$3,0,0,'Données projet'!$E$10+1,1))-AVERAGE(OFFSET($H$3,0,0,'Données projet'!$E$10+1,1))</f>
        <v>215.7418266360167</v>
      </c>
      <c r="AO81" s="59">
        <f t="shared" si="90"/>
        <v>155.78420008229949</v>
      </c>
      <c r="AP81" s="15">
        <f>IF(ISNA(VLOOKUP(A81,'Données projet'!$A$61:$I$81,3,0)),0,VLOOKUP(A81,'Données projet'!$A$61:$I$81,3,0))</f>
        <v>7</v>
      </c>
      <c r="AQ81" s="15">
        <f>IF(ISNA(VLOOKUP(A81,'Données projet'!$A$61:$I$81,4,0)),0,VLOOKUP(A81,'Données projet'!$A$61:$I$81,4,0))</f>
        <v>42</v>
      </c>
      <c r="AR81" s="16">
        <f>IF(ISNA(VLOOKUP(A81,'Données projet'!$A$61:$I$81,5,0)),0%,VLOOKUP(A81,'Données projet'!$A$61:$I$81,5,0)*VLOOKUP('Données projet'!$B$10,Paramètres!$A$1:$I$89,7,0))</f>
        <v>0.30099999999999999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40.618957018489233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40.618957018489233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4.8888888888888893</v>
      </c>
      <c r="BD81" s="12">
        <f>IF('Données projet'!$A$88&gt;35,BD80+BC81-BL80,IF(A81&lt;'Données projet'!$A$88,$BA$205^A81,IF(A81='Données projet'!$A$88,'Données projet'!$B$88,BD80+BC81-BL80)))</f>
        <v>157.33333333333331</v>
      </c>
      <c r="BE81" s="13">
        <f>BD81*VLOOKUP('Données projet'!$B$11,Paramètres!$A$1:$I$89,3,0)*VLOOKUP('Données projet'!$B$11,Paramètres!$A$1:$I$89,5,0)</f>
        <v>159.53599999999997</v>
      </c>
      <c r="BF81" s="13">
        <f t="shared" si="91"/>
        <v>40.73784122850185</v>
      </c>
      <c r="BG81" s="20">
        <f t="shared" si="61"/>
        <v>348.81027347297396</v>
      </c>
      <c r="BH81" s="59">
        <f t="shared" si="62"/>
        <v>642.14360680630728</v>
      </c>
      <c r="BI81" s="59">
        <f ca="1">AVERAGE(OFFSET($BH$3,0,0,'Données projet'!$E$11+1,1))-AVERAGE(OFFSET($H$3,0,0,'Données projet'!$E$11+1,1))</f>
        <v>179.53921263314447</v>
      </c>
      <c r="BJ81" s="59">
        <f t="shared" si="92"/>
        <v>120.81513023281337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20.071215032489551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20.071215032489551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25.853044410150915</v>
      </c>
      <c r="BY81" s="12">
        <f>IF('Données projet'!$A$114&gt;35,BY80+BX81-CG80,IF(A81&lt;'Données projet'!$A$114,$BV$205^A81,IF(A81='Données projet'!$A$114,'Données projet'!$B$114,BY80+BX81-CG80)))</f>
        <v>762.21576474622805</v>
      </c>
      <c r="BZ81" s="13">
        <f>BY81*VLOOKUP('Données projet'!$B$12,Paramètres!$A$1:$I$89,3,0)*VLOOKUP('Données projet'!$B$12,Paramètres!$A$1:$I$89,5,0)</f>
        <v>356.71697790123471</v>
      </c>
      <c r="CA81" s="13">
        <f t="shared" si="93"/>
        <v>82.944072838079137</v>
      </c>
      <c r="CB81" s="20">
        <f t="shared" si="64"/>
        <v>765.74299670430491</v>
      </c>
      <c r="CC81" s="59">
        <f t="shared" si="65"/>
        <v>1059.0763300376382</v>
      </c>
      <c r="CD81" s="59">
        <f ca="1">AVERAGE(OFFSET($CC$3,0,0,'Données projet'!$E$12+1,1))-AVERAGE(OFFSET($H$3,0,0,'Données projet'!$E$12+1,1))</f>
        <v>310.06530483941287</v>
      </c>
      <c r="CE81" s="59">
        <f t="shared" si="94"/>
        <v>170.13425794309376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56.168113479901812</v>
      </c>
      <c r="CL81" s="21">
        <f>EXP(-LN(2)/25)*CL80+(1-EXP(-LN(2)/25))/(LN(2)/25)*Calculateur!CG81*Calculateur!CI81*VLOOKUP('Données projet'!$B$12,Paramètres!$A$1:$I$89,3,0)*0.475*44/12</f>
        <v>12.760172526448404</v>
      </c>
      <c r="CM81" s="21">
        <f>EXP(-LN(2)/2)*CM80+(1-EXP(-LN(2)/2))/(LN(2)/2)*CG81*CJ81*VLOOKUP('Données projet'!$B$12,Paramètres!$A$1:$I$89,3,0)*0.475*44/12</f>
        <v>0.49797626403874984</v>
      </c>
      <c r="CN81" s="22">
        <f t="shared" si="66"/>
        <v>69.426262270388975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>
        <f>CT81*VLOOKUP('Données projet'!$B$13,Paramètres!$A$1:$I$89,3,0)*VLOOKUP('Données projet'!$B$13,Paramètres!$A$1:$I$89,5,0)</f>
        <v>0</v>
      </c>
      <c r="CV81" s="13" t="e">
        <f t="shared" si="95"/>
        <v>#NUM!</v>
      </c>
      <c r="CW81" s="20" t="e">
        <f t="shared" si="67"/>
        <v>#NUM!</v>
      </c>
      <c r="CX81" s="59" t="e">
        <f t="shared" si="68"/>
        <v>#NUM!</v>
      </c>
      <c r="CY81" s="59">
        <f ca="1">AVERAGE(OFFSET($CX$3,0,0,'Données projet'!$E$13+1,1))-AVERAGE(OFFSET($H$3,0,0,'Données projet'!$E$13+1,1))</f>
        <v>168.08890945052406</v>
      </c>
      <c r="CZ81" s="59">
        <f t="shared" si="96"/>
        <v>182.52462557642343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79.394005917378919</v>
      </c>
      <c r="DG81" s="21">
        <f>EXP(-LN(2)/25)*DG80+(1-EXP(-LN(2)/25))/(LN(2)/25)*Calculateur!DB81*Calculateur!DD81*VLOOKUP('Données projet'!$B$13,Paramètres!$A$1:$I$89,3,0)*0.475*44/12</f>
        <v>17.333116338256044</v>
      </c>
      <c r="DH81" s="21">
        <f>EXP(-LN(2)/2)*DH80+(1-EXP(-LN(2)/2))/(LN(2)/2)*DB81*DE81*VLOOKUP('Données projet'!$B$13,Paramètres!$A$1:$I$89,3,0)*0.475*44/12</f>
        <v>0.11071765641708597</v>
      </c>
      <c r="DI81" s="22">
        <f t="shared" si="69"/>
        <v>96.837839912052047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-2.2737367544323206E-13</v>
      </c>
      <c r="DP81" s="17">
        <f>DO81*VLOOKUP('Données projet'!$B$14,Paramètres!$A$1:$I$89,3,0)*VLOOKUP('Données projet'!$B$14,Paramètres!$A$1:$I$89,5,0)</f>
        <v>-1.2710188457276673E-13</v>
      </c>
      <c r="DQ81" s="13" t="e">
        <f t="shared" si="97"/>
        <v>#NUM!</v>
      </c>
      <c r="DR81" s="20" t="e">
        <f t="shared" si="70"/>
        <v>#NUM!</v>
      </c>
      <c r="DS81" s="59" t="e">
        <f t="shared" si="71"/>
        <v>#NUM!</v>
      </c>
      <c r="DT81" s="59">
        <f ca="1">AVERAGE(OFFSET($DS$3,0,0,'Données projet'!$E$14+1,1))-AVERAGE(OFFSET($H$3,0,0,'Données projet'!$E$14+1,1))</f>
        <v>355.23615781077405</v>
      </c>
      <c r="DU81" s="59">
        <f t="shared" si="98"/>
        <v>448.84541017639367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181.18456221489078</v>
      </c>
      <c r="EB81" s="21">
        <f>EXP(-LN(2)/25)*EB80+(1-EXP(-LN(2)/25))/(LN(2)/25)*Calculateur!DW81*Calculateur!DY81*VLOOKUP('Données projet'!$B$14,Paramètres!$A$1:$I$89,3,0)*0.475*44/12</f>
        <v>39.111880063831258</v>
      </c>
      <c r="EC81" s="21">
        <f>EXP(-LN(2)/2)*EC80+(1-EXP(-LN(2)/2))/(LN(2)/2)*DW81*DZ81*VLOOKUP('Données projet'!$B$14,Paramètres!$A$1:$I$89,3,0)*0.475*44/12</f>
        <v>0.11000166092833846</v>
      </c>
      <c r="ED81" s="22">
        <f t="shared" si="72"/>
        <v>220.40644393965036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3.9111111111111097</v>
      </c>
      <c r="EJ81" s="12">
        <f>IF('Données projet'!$A$192&gt;35,EJ80+EI81-ER80,IF(A81&lt;'Données projet'!$A$192,$EG$205^A81,IF(A81='Données projet'!$A$192,'Données projet'!$B$192,EJ80+EI81-ER80)))</f>
        <v>125.86666666666657</v>
      </c>
      <c r="EK81" s="17">
        <f>EJ81*VLOOKUP('Données projet'!$B$15,Paramètres!$A$1:$I$89,3,0)*VLOOKUP('Données projet'!$B$15,Paramètres!$A$1:$I$89,5,0)</f>
        <v>135.48287999999988</v>
      </c>
      <c r="EL81" s="13">
        <f t="shared" si="99"/>
        <v>35.260229799864234</v>
      </c>
      <c r="EM81" s="20">
        <f t="shared" si="73"/>
        <v>297.37758290143</v>
      </c>
      <c r="EN81" s="59">
        <f t="shared" si="74"/>
        <v>590.71091623476332</v>
      </c>
      <c r="EO81" s="59">
        <f ca="1">AVERAGE(OFFSET($EN$3,0,0,'Données projet'!$E$15+1,1))-AVERAGE(OFFSET($H$3,0,0,'Données projet'!$E$15+1,1))</f>
        <v>130.76477588601989</v>
      </c>
      <c r="EP81" s="59">
        <f t="shared" si="100"/>
        <v>94.034011511502172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17.04509338143728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17.04509338143728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-2.2737367544323206E-13</v>
      </c>
      <c r="FF81" s="17">
        <f>FE81*VLOOKUP('Données projet'!$B$16,Paramètres!$A$1:$I$89,3,0)*VLOOKUP('Données projet'!$B$16,Paramètres!$A$1:$I$89,5,0)</f>
        <v>-1.0345502232667058E-13</v>
      </c>
      <c r="FG81" s="13" t="e">
        <f t="shared" si="101"/>
        <v>#NUM!</v>
      </c>
      <c r="FH81" s="20" t="e">
        <f t="shared" si="76"/>
        <v>#NUM!</v>
      </c>
      <c r="FI81" s="59" t="e">
        <f t="shared" si="77"/>
        <v>#NUM!</v>
      </c>
      <c r="FJ81" s="59">
        <f ca="1">AVERAGE(OFFSET($FI$3,0,0,'Données projet'!$E$16+1,1))-AVERAGE(OFFSET($H$3,0,0,'Données projet'!$E$16+1,1))</f>
        <v>279.43442619866738</v>
      </c>
      <c r="FK81" s="59">
        <f t="shared" si="102"/>
        <v>355.95192241448217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147.47580645398082</v>
      </c>
      <c r="FR81" s="21">
        <f>EXP(-LN(2)/25)*FR80+(1-EXP(-LN(2)/25))/(LN(2)/25)*Calculateur!FM81*Calculateur!FO81*VLOOKUP('Données projet'!$B$16,Paramètres!$A$1:$I$89,3,0)*0.475*44/12</f>
        <v>31.835251214746389</v>
      </c>
      <c r="FS81" s="21">
        <f>EXP(-LN(2)/2)*FS80+(1-EXP(-LN(2)/2))/(LN(2)/2)*FM81*FP81*VLOOKUP('Données projet'!$B$16,Paramètres!$A$1:$I$89,3,0)*0.475*44/12</f>
        <v>8.9536235639345263E-2</v>
      </c>
      <c r="FT81" s="22">
        <f t="shared" si="78"/>
        <v>179.40059390436656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-1.1368683772161603E-13</v>
      </c>
      <c r="O82" s="13">
        <f>N82*VLOOKUP('Données projet'!$B$9,Paramètres!$A$1:$I$89,3,0)*VLOOKUP('Données projet'!$B$9,Paramètres!$A$1:$I$89,5,0)</f>
        <v>-6.7984728957526396E-14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227.89848316900191</v>
      </c>
      <c r="T82" s="59">
        <f t="shared" si="88"/>
        <v>239.85955661394541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98.368681453416343</v>
      </c>
      <c r="AA82" s="21">
        <f>EXP(-LN(2)/25)*AA81+(1-EXP(-LN(2)/25))/(LN(2)/25)*Calculateur!V82*Calculateur!X82*VLOOKUP('Données projet'!$B$9,Paramètres!$A$1:$I$89,3,0)*0.475*44/12</f>
        <v>20.396110487282485</v>
      </c>
      <c r="AB82" s="21">
        <f>EXP(-LN(2)/2)*AB81+(1-EXP(-LN(2)/2))/(LN(2)/2)*V82*Y82*VLOOKUP('Données projet'!$B$9,Paramètres!$A$1:$I$89,3,0)*0.475*44/12</f>
        <v>0.10125454313677321</v>
      </c>
      <c r="AC82" s="22">
        <f t="shared" si="57"/>
        <v>118.8660464838356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6.4444444444444446</v>
      </c>
      <c r="AI82" s="13">
        <f>IF('Données projet'!$A$62&gt;35,AI81+AH82-AQ81,IF(A82&lt;'Données projet'!$A$62,$AF$205^A82,IF(A82='Données projet'!$A$62,'Données projet'!$B$62,AI81+AH82-AQ81)))</f>
        <v>191.44444444444463</v>
      </c>
      <c r="AJ82" s="13">
        <f>AI82*VLOOKUP('Données projet'!$B$10,Paramètres!$A$1:$I$89,3,0)*VLOOKUP('Données projet'!$B$10,Paramètres!$A$1:$I$89,5,0)</f>
        <v>173.2189333333335</v>
      </c>
      <c r="AK82" s="13">
        <f t="shared" si="89"/>
        <v>43.810168637383917</v>
      </c>
      <c r="AL82" s="20">
        <f t="shared" si="58"/>
        <v>377.9923525989995</v>
      </c>
      <c r="AM82" s="59">
        <f t="shared" si="59"/>
        <v>671.32568593233282</v>
      </c>
      <c r="AN82" s="59">
        <f ca="1">AVERAGE(OFFSET($AM$3,0,0,'Données projet'!$E$10+1,1))-AVERAGE(OFFSET($H$3,0,0,'Données projet'!$E$10+1,1))</f>
        <v>215.7418266360167</v>
      </c>
      <c r="AO82" s="59">
        <f t="shared" si="90"/>
        <v>155.78420008229949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39.822444046474104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39.822444046474104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4.8888888888888893</v>
      </c>
      <c r="BD82" s="12">
        <f>IF('Données projet'!$A$88&gt;35,BD81+BC82-BL81,IF(A82&lt;'Données projet'!$A$88,$BA$205^A82,IF(A82='Données projet'!$A$88,'Données projet'!$B$88,BD81+BC82-BL81)))</f>
        <v>162.2222222222222</v>
      </c>
      <c r="BE82" s="13">
        <f>BD82*VLOOKUP('Données projet'!$B$11,Paramètres!$A$1:$I$89,3,0)*VLOOKUP('Données projet'!$B$11,Paramètres!$A$1:$I$89,5,0)</f>
        <v>164.49333333333331</v>
      </c>
      <c r="BF82" s="13">
        <f t="shared" si="91"/>
        <v>41.854359852427741</v>
      </c>
      <c r="BG82" s="20">
        <f t="shared" si="61"/>
        <v>359.3888989652005</v>
      </c>
      <c r="BH82" s="59">
        <f t="shared" si="62"/>
        <v>652.72223229853375</v>
      </c>
      <c r="BI82" s="59">
        <f ca="1">AVERAGE(OFFSET($BH$3,0,0,'Données projet'!$E$11+1,1))-AVERAGE(OFFSET($H$3,0,0,'Données projet'!$E$11+1,1))</f>
        <v>179.53921263314447</v>
      </c>
      <c r="BJ82" s="59">
        <f t="shared" si="92"/>
        <v>120.81513023281337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19.677630747934781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19.677630747934781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25.853044410150915</v>
      </c>
      <c r="BY82" s="12">
        <f>IF('Données projet'!$A$114&gt;35,BY81+BX82-CG81,IF(A82&lt;'Données projet'!$A$114,$BV$205^A82,IF(A82='Données projet'!$A$114,'Données projet'!$B$114,BY81+BX82-CG81)))</f>
        <v>788.06880915637896</v>
      </c>
      <c r="BZ82" s="13">
        <f>BY82*VLOOKUP('Données projet'!$B$12,Paramètres!$A$1:$I$89,3,0)*VLOOKUP('Données projet'!$B$12,Paramètres!$A$1:$I$89,5,0)</f>
        <v>368.81620268518537</v>
      </c>
      <c r="CA82" s="13">
        <f t="shared" si="93"/>
        <v>85.425075999411192</v>
      </c>
      <c r="CB82" s="20">
        <f t="shared" si="64"/>
        <v>791.13689370900568</v>
      </c>
      <c r="CC82" s="59">
        <f t="shared" si="65"/>
        <v>1084.470227042339</v>
      </c>
      <c r="CD82" s="59">
        <f ca="1">AVERAGE(OFFSET($CC$3,0,0,'Données projet'!$E$12+1,1))-AVERAGE(OFFSET($H$3,0,0,'Données projet'!$E$12+1,1))</f>
        <v>310.06530483941287</v>
      </c>
      <c r="CE82" s="59">
        <f t="shared" si="94"/>
        <v>170.13425794309376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55.066691033727352</v>
      </c>
      <c r="CL82" s="21">
        <f>EXP(-LN(2)/25)*CL81+(1-EXP(-LN(2)/25))/(LN(2)/25)*Calculateur!CG82*Calculateur!CI82*VLOOKUP('Données projet'!$B$12,Paramètres!$A$1:$I$89,3,0)*0.475*44/12</f>
        <v>12.411244937684362</v>
      </c>
      <c r="CM82" s="21">
        <f>EXP(-LN(2)/2)*CM81+(1-EXP(-LN(2)/2))/(LN(2)/2)*CG82*CJ82*VLOOKUP('Données projet'!$B$12,Paramètres!$A$1:$I$89,3,0)*0.475*44/12</f>
        <v>0.35212239317174271</v>
      </c>
      <c r="CN82" s="22">
        <f t="shared" si="66"/>
        <v>67.830058364583451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>
        <f>CT82*VLOOKUP('Données projet'!$B$13,Paramètres!$A$1:$I$89,3,0)*VLOOKUP('Données projet'!$B$13,Paramètres!$A$1:$I$89,5,0)</f>
        <v>0</v>
      </c>
      <c r="CV82" s="13" t="e">
        <f t="shared" si="95"/>
        <v>#NUM!</v>
      </c>
      <c r="CW82" s="20" t="e">
        <f t="shared" si="67"/>
        <v>#NUM!</v>
      </c>
      <c r="CX82" s="59" t="e">
        <f t="shared" si="68"/>
        <v>#NUM!</v>
      </c>
      <c r="CY82" s="59">
        <f ca="1">AVERAGE(OFFSET($CX$3,0,0,'Données projet'!$E$13+1,1))-AVERAGE(OFFSET($H$3,0,0,'Données projet'!$E$13+1,1))</f>
        <v>168.08890945052406</v>
      </c>
      <c r="CZ82" s="59">
        <f t="shared" si="96"/>
        <v>182.52462557642343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77.837137886901104</v>
      </c>
      <c r="DG82" s="21">
        <f>EXP(-LN(2)/25)*DG81+(1-EXP(-LN(2)/25))/(LN(2)/25)*Calculateur!DB82*Calculateur!DD82*VLOOKUP('Données projet'!$B$13,Paramètres!$A$1:$I$89,3,0)*0.475*44/12</f>
        <v>16.859141360477459</v>
      </c>
      <c r="DH82" s="21">
        <f>EXP(-LN(2)/2)*DH81+(1-EXP(-LN(2)/2))/(LN(2)/2)*DB82*DE82*VLOOKUP('Données projet'!$B$13,Paramètres!$A$1:$I$89,3,0)*0.475*44/12</f>
        <v>7.828920564960376E-2</v>
      </c>
      <c r="DI82" s="22">
        <f t="shared" si="69"/>
        <v>94.774568453028152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-2.2737367544323206E-13</v>
      </c>
      <c r="DP82" s="17">
        <f>DO82*VLOOKUP('Données projet'!$B$14,Paramètres!$A$1:$I$89,3,0)*VLOOKUP('Données projet'!$B$14,Paramètres!$A$1:$I$89,5,0)</f>
        <v>-1.2710188457276673E-13</v>
      </c>
      <c r="DQ82" s="13" t="e">
        <f t="shared" si="97"/>
        <v>#NUM!</v>
      </c>
      <c r="DR82" s="20" t="e">
        <f t="shared" si="70"/>
        <v>#NUM!</v>
      </c>
      <c r="DS82" s="59" t="e">
        <f t="shared" si="71"/>
        <v>#NUM!</v>
      </c>
      <c r="DT82" s="59">
        <f ca="1">AVERAGE(OFFSET($DS$3,0,0,'Données projet'!$E$14+1,1))-AVERAGE(OFFSET($H$3,0,0,'Données projet'!$E$14+1,1))</f>
        <v>355.23615781077405</v>
      </c>
      <c r="DU82" s="59">
        <f t="shared" si="98"/>
        <v>448.84541017639367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177.6316434615276</v>
      </c>
      <c r="EB82" s="21">
        <f>EXP(-LN(2)/25)*EB81+(1-EXP(-LN(2)/25))/(LN(2)/25)*Calculateur!DW82*Calculateur!DY82*VLOOKUP('Données projet'!$B$14,Paramètres!$A$1:$I$89,3,0)*0.475*44/12</f>
        <v>38.042363646681409</v>
      </c>
      <c r="EC82" s="21">
        <f>EXP(-LN(2)/2)*EC81+(1-EXP(-LN(2)/2))/(LN(2)/2)*DW82*DZ82*VLOOKUP('Données projet'!$B$14,Paramètres!$A$1:$I$89,3,0)*0.475*44/12</f>
        <v>7.7782920384211418E-2</v>
      </c>
      <c r="ED82" s="22">
        <f t="shared" si="72"/>
        <v>215.75179002859323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3.9111111111111097</v>
      </c>
      <c r="EJ82" s="12">
        <f>IF('Données projet'!$A$192&gt;35,EJ81+EI82-ER81,IF(A82&lt;'Données projet'!$A$192,$EG$205^A82,IF(A82='Données projet'!$A$192,'Données projet'!$B$192,EJ81+EI82-ER81)))</f>
        <v>129.77777777777769</v>
      </c>
      <c r="EK82" s="17">
        <f>EJ82*VLOOKUP('Données projet'!$B$15,Paramètres!$A$1:$I$89,3,0)*VLOOKUP('Données projet'!$B$15,Paramètres!$A$1:$I$89,5,0)</f>
        <v>139.69279999999989</v>
      </c>
      <c r="EL82" s="13">
        <f t="shared" si="99"/>
        <v>36.226621294068146</v>
      </c>
      <c r="EM82" s="20">
        <f t="shared" si="73"/>
        <v>306.39299208716847</v>
      </c>
      <c r="EN82" s="59">
        <f t="shared" si="74"/>
        <v>599.72632542050178</v>
      </c>
      <c r="EO82" s="59">
        <f ca="1">AVERAGE(OFFSET($EN$3,0,0,'Données projet'!$E$15+1,1))-AVERAGE(OFFSET($H$3,0,0,'Données projet'!$E$15+1,1))</f>
        <v>130.76477588601989</v>
      </c>
      <c r="EP82" s="59">
        <f t="shared" si="100"/>
        <v>94.034011511502172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16.710849496707691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16.710849496707691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-2.2737367544323206E-13</v>
      </c>
      <c r="FF82" s="17">
        <f>FE82*VLOOKUP('Données projet'!$B$16,Paramètres!$A$1:$I$89,3,0)*VLOOKUP('Données projet'!$B$16,Paramètres!$A$1:$I$89,5,0)</f>
        <v>-1.0345502232667058E-13</v>
      </c>
      <c r="FG82" s="13" t="e">
        <f t="shared" si="101"/>
        <v>#NUM!</v>
      </c>
      <c r="FH82" s="20" t="e">
        <f t="shared" si="76"/>
        <v>#NUM!</v>
      </c>
      <c r="FI82" s="59" t="e">
        <f t="shared" si="77"/>
        <v>#NUM!</v>
      </c>
      <c r="FJ82" s="59">
        <f ca="1">AVERAGE(OFFSET($FI$3,0,0,'Données projet'!$E$16+1,1))-AVERAGE(OFFSET($H$3,0,0,'Données projet'!$E$16+1,1))</f>
        <v>279.43442619866738</v>
      </c>
      <c r="FK82" s="59">
        <f t="shared" si="102"/>
        <v>355.95192241448217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144.58389584077824</v>
      </c>
      <c r="FR82" s="21">
        <f>EXP(-LN(2)/25)*FR81+(1-EXP(-LN(2)/25))/(LN(2)/25)*Calculateur!FM82*Calculateur!FO82*VLOOKUP('Données projet'!$B$16,Paramètres!$A$1:$I$89,3,0)*0.475*44/12</f>
        <v>30.964714596136048</v>
      </c>
      <c r="FS82" s="21">
        <f>EXP(-LN(2)/2)*FS81+(1-EXP(-LN(2)/2))/(LN(2)/2)*FM82*FP82*VLOOKUP('Données projet'!$B$16,Paramètres!$A$1:$I$89,3,0)*0.475*44/12</f>
        <v>6.3311679382497668E-2</v>
      </c>
      <c r="FT82" s="22">
        <f t="shared" si="78"/>
        <v>175.6119221162968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-1.1368683772161603E-13</v>
      </c>
      <c r="O83" s="13">
        <f>N83*VLOOKUP('Données projet'!$B$9,Paramètres!$A$1:$I$89,3,0)*VLOOKUP('Données projet'!$B$9,Paramètres!$A$1:$I$89,5,0)</f>
        <v>-6.7984728957526396E-14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227.89848316900191</v>
      </c>
      <c r="T83" s="59">
        <f t="shared" si="88"/>
        <v>239.85955661394541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96.439731609086124</v>
      </c>
      <c r="AA83" s="21">
        <f>EXP(-LN(2)/25)*AA82+(1-EXP(-LN(2)/25))/(LN(2)/25)*Calculateur!V83*Calculateur!X83*VLOOKUP('Données projet'!$B$9,Paramètres!$A$1:$I$89,3,0)*0.475*44/12</f>
        <v>19.838377773422909</v>
      </c>
      <c r="AB83" s="21">
        <f>EXP(-LN(2)/2)*AB82+(1-EXP(-LN(2)/2))/(LN(2)/2)*V83*Y83*VLOOKUP('Données projet'!$B$9,Paramètres!$A$1:$I$89,3,0)*0.475*44/12</f>
        <v>7.1597774077958129E-2</v>
      </c>
      <c r="AC83" s="22">
        <f t="shared" si="57"/>
        <v>116.34970715658699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6.4444444444444446</v>
      </c>
      <c r="AI83" s="13">
        <f>IF('Données projet'!$A$62&gt;35,AI82+AH83-AQ82,IF(A83&lt;'Données projet'!$A$62,$AF$205^A83,IF(A83='Données projet'!$A$62,'Données projet'!$B$62,AI82+AH83-AQ82)))</f>
        <v>197.88888888888908</v>
      </c>
      <c r="AJ83" s="13">
        <f>AI83*VLOOKUP('Données projet'!$B$10,Paramètres!$A$1:$I$89,3,0)*VLOOKUP('Données projet'!$B$10,Paramètres!$A$1:$I$89,5,0)</f>
        <v>179.04986666666682</v>
      </c>
      <c r="AK83" s="13">
        <f t="shared" si="89"/>
        <v>45.110733936942161</v>
      </c>
      <c r="AL83" s="20">
        <f t="shared" si="58"/>
        <v>390.41304605128562</v>
      </c>
      <c r="AM83" s="59">
        <f t="shared" si="59"/>
        <v>683.74637938461888</v>
      </c>
      <c r="AN83" s="59">
        <f ca="1">AVERAGE(OFFSET($AM$3,0,0,'Données projet'!$E$10+1,1))-AVERAGE(OFFSET($H$3,0,0,'Données projet'!$E$10+1,1))</f>
        <v>215.7418266360167</v>
      </c>
      <c r="AO83" s="59">
        <f t="shared" si="90"/>
        <v>155.78420008229949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39.041550208015245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39.041550208015245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4.8888888888888893</v>
      </c>
      <c r="BD83" s="12">
        <f>IF('Données projet'!$A$88&gt;35,BD82+BC83-BL82,IF(A83&lt;'Données projet'!$A$88,$BA$205^A83,IF(A83='Données projet'!$A$88,'Données projet'!$B$88,BD82+BC83-BL82)))</f>
        <v>167.11111111111109</v>
      </c>
      <c r="BE83" s="13">
        <f>BD83*VLOOKUP('Données projet'!$B$11,Paramètres!$A$1:$I$89,3,0)*VLOOKUP('Données projet'!$B$11,Paramètres!$A$1:$I$89,5,0)</f>
        <v>169.45066666666665</v>
      </c>
      <c r="BF83" s="13">
        <f t="shared" si="91"/>
        <v>42.966968026507445</v>
      </c>
      <c r="BG83" s="20">
        <f t="shared" si="61"/>
        <v>369.96071375727814</v>
      </c>
      <c r="BH83" s="59">
        <f t="shared" si="62"/>
        <v>663.29404709061146</v>
      </c>
      <c r="BI83" s="59">
        <f ca="1">AVERAGE(OFFSET($BH$3,0,0,'Données projet'!$E$11+1,1))-AVERAGE(OFFSET($H$3,0,0,'Données projet'!$E$11+1,1))</f>
        <v>179.53921263314447</v>
      </c>
      <c r="BJ83" s="59">
        <f t="shared" si="92"/>
        <v>120.81513023281337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19.291764411137422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19.291764411137422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813.92185356652965</v>
      </c>
      <c r="BW83" s="12">
        <f>VLOOKUP(A83,'Données projet'!$A$113:$I$133,9,0)</f>
        <v>25.853044410150915</v>
      </c>
      <c r="BX83" s="12">
        <f t="array" ref="BX83">INDEX(BW:BW,MIN(IF(ISNUMBER(BW83:BW279),ROW(BW83:BW279),"")))</f>
        <v>25.853044410150915</v>
      </c>
      <c r="BY83" s="12">
        <f>IF('Données projet'!$A$114&gt;35,BY82+BX83-CG82,IF(A83&lt;'Données projet'!$A$114,$BV$205^A83,IF(A83='Données projet'!$A$114,'Données projet'!$B$114,BY82+BX83-CG82)))</f>
        <v>813.92185356652988</v>
      </c>
      <c r="BZ83" s="13">
        <f>BY83*VLOOKUP('Données projet'!$B$12,Paramètres!$A$1:$I$89,3,0)*VLOOKUP('Données projet'!$B$12,Paramètres!$A$1:$I$89,5,0)</f>
        <v>380.91542746913598</v>
      </c>
      <c r="CA83" s="13">
        <f t="shared" si="93"/>
        <v>87.896621554524828</v>
      </c>
      <c r="CB83" s="20">
        <f t="shared" si="64"/>
        <v>816.51431871620923</v>
      </c>
      <c r="CC83" s="59">
        <f t="shared" si="65"/>
        <v>1109.8476520495426</v>
      </c>
      <c r="CD83" s="59">
        <f ca="1">AVERAGE(OFFSET($CC$3,0,0,'Données projet'!$E$12+1,1))-AVERAGE(OFFSET($H$3,0,0,'Données projet'!$E$12+1,1))</f>
        <v>310.06530483941287</v>
      </c>
      <c r="CE83" s="59">
        <f t="shared" si="94"/>
        <v>170.13425794309376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135.65375514403294</v>
      </c>
      <c r="CH83" s="16">
        <f>IF(ISNA(VLOOKUP(A83,'Données projet'!$A$113:$I$133,5,0)),0%,VLOOKUP(A83,'Données projet'!$A$113:$I$133,5,0)*VLOOKUP('Données projet'!$B$12,Paramètres!$A$1:$I$89,7,0))</f>
        <v>0.38500000000000001</v>
      </c>
      <c r="CI83" s="16">
        <f>IF(ISNA(VLOOKUP(A83,'Données projet'!$A$113:$I$133,6,0)),0%,VLOOKUP(A83,'Données projet'!$A$113:$I$133,6,0)*VLOOKUP('Données projet'!$B$12,Paramètres!$A$1:$I$89,7,0))</f>
        <v>9.240000000000001E-2</v>
      </c>
      <c r="CJ83" s="16">
        <f>IF(ISNA(VLOOKUP(A83,'Données projet'!$A$113:$I$133,7,0)),0%,VLOOKUP(A83,'Données projet'!$A$113:$I$133,7,0))</f>
        <v>0.13200000000000001</v>
      </c>
      <c r="CK83" s="21">
        <f>EXP(-LN(2)/35)*CK82+(1-EXP(-LN(2)/35))/(LN(2)/35)*CG83*CH83*VLOOKUP('Données projet'!$B$12,Paramètres!$A$1:$I$89,3,0)*0.475*44/12</f>
        <v>86.410879398663894</v>
      </c>
      <c r="CL83" s="21">
        <f>EXP(-LN(2)/25)*CL82+(1-EXP(-LN(2)/25))/(LN(2)/25)*Calculateur!CG83*Calculateur!CI83*VLOOKUP('Données projet'!$B$12,Paramètres!$A$1:$I$89,3,0)*0.475*44/12</f>
        <v>19.822982047383647</v>
      </c>
      <c r="CM83" s="21">
        <f>EXP(-LN(2)/2)*CM82+(1-EXP(-LN(2)/2))/(LN(2)/2)*CG83*CJ83*VLOOKUP('Données projet'!$B$12,Paramètres!$A$1:$I$89,3,0)*0.475*44/12</f>
        <v>9.7372605189388004</v>
      </c>
      <c r="CN83" s="22">
        <f t="shared" si="66"/>
        <v>115.97112196498634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>
        <f>CT83*VLOOKUP('Données projet'!$B$13,Paramètres!$A$1:$I$89,3,0)*VLOOKUP('Données projet'!$B$13,Paramètres!$A$1:$I$89,5,0)</f>
        <v>0</v>
      </c>
      <c r="CV83" s="13" t="e">
        <f t="shared" si="95"/>
        <v>#NUM!</v>
      </c>
      <c r="CW83" s="20" t="e">
        <f t="shared" si="67"/>
        <v>#NUM!</v>
      </c>
      <c r="CX83" s="59" t="e">
        <f t="shared" si="68"/>
        <v>#NUM!</v>
      </c>
      <c r="CY83" s="59">
        <f ca="1">AVERAGE(OFFSET($CX$3,0,0,'Données projet'!$E$13+1,1))-AVERAGE(OFFSET($H$3,0,0,'Données projet'!$E$13+1,1))</f>
        <v>168.08890945052406</v>
      </c>
      <c r="CZ83" s="59">
        <f t="shared" si="96"/>
        <v>182.52462557642343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76.310799088905227</v>
      </c>
      <c r="DG83" s="21">
        <f>EXP(-LN(2)/25)*DG82+(1-EXP(-LN(2)/25))/(LN(2)/25)*Calculateur!DB83*Calculateur!DD83*VLOOKUP('Données projet'!$B$13,Paramètres!$A$1:$I$89,3,0)*0.475*44/12</f>
        <v>16.39812725339149</v>
      </c>
      <c r="DH83" s="21">
        <f>EXP(-LN(2)/2)*DH82+(1-EXP(-LN(2)/2))/(LN(2)/2)*DB83*DE83*VLOOKUP('Données projet'!$B$13,Paramètres!$A$1:$I$89,3,0)*0.475*44/12</f>
        <v>5.5358828208542987E-2</v>
      </c>
      <c r="DI83" s="22">
        <f t="shared" si="69"/>
        <v>92.764285170505261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-2.2737367544323206E-13</v>
      </c>
      <c r="DP83" s="17">
        <f>DO83*VLOOKUP('Données projet'!$B$14,Paramètres!$A$1:$I$89,3,0)*VLOOKUP('Données projet'!$B$14,Paramètres!$A$1:$I$89,5,0)</f>
        <v>-1.2710188457276673E-13</v>
      </c>
      <c r="DQ83" s="13" t="e">
        <f t="shared" si="97"/>
        <v>#NUM!</v>
      </c>
      <c r="DR83" s="20" t="e">
        <f t="shared" si="70"/>
        <v>#NUM!</v>
      </c>
      <c r="DS83" s="59" t="e">
        <f t="shared" si="71"/>
        <v>#NUM!</v>
      </c>
      <c r="DT83" s="59">
        <f ca="1">AVERAGE(OFFSET($DS$3,0,0,'Données projet'!$E$14+1,1))-AVERAGE(OFFSET($H$3,0,0,'Données projet'!$E$14+1,1))</f>
        <v>355.23615781077405</v>
      </c>
      <c r="DU83" s="59">
        <f t="shared" si="98"/>
        <v>448.84541017639367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174.14839527785142</v>
      </c>
      <c r="EB83" s="21">
        <f>EXP(-LN(2)/25)*EB82+(1-EXP(-LN(2)/25))/(LN(2)/25)*Calculateur!DW83*Calculateur!DY83*VLOOKUP('Données projet'!$B$14,Paramètres!$A$1:$I$89,3,0)*0.475*44/12</f>
        <v>37.002093212201949</v>
      </c>
      <c r="EC83" s="21">
        <f>EXP(-LN(2)/2)*EC82+(1-EXP(-LN(2)/2))/(LN(2)/2)*DW83*DZ83*VLOOKUP('Données projet'!$B$14,Paramètres!$A$1:$I$89,3,0)*0.475*44/12</f>
        <v>5.5000830464169231E-2</v>
      </c>
      <c r="ED83" s="22">
        <f t="shared" si="72"/>
        <v>211.20548932051753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3.9111111111111097</v>
      </c>
      <c r="EJ83" s="12">
        <f>IF('Données projet'!$A$192&gt;35,EJ82+EI83-ER82,IF(A83&lt;'Données projet'!$A$192,$EG$205^A83,IF(A83='Données projet'!$A$192,'Données projet'!$B$192,EJ82+EI83-ER82)))</f>
        <v>133.68888888888878</v>
      </c>
      <c r="EK83" s="17">
        <f>EJ83*VLOOKUP('Données projet'!$B$15,Paramètres!$A$1:$I$89,3,0)*VLOOKUP('Données projet'!$B$15,Paramètres!$A$1:$I$89,5,0)</f>
        <v>143.90271999999987</v>
      </c>
      <c r="EL83" s="13">
        <f t="shared" si="99"/>
        <v>37.189628137636731</v>
      </c>
      <c r="EM83" s="20">
        <f t="shared" si="73"/>
        <v>315.40250633971704</v>
      </c>
      <c r="EN83" s="59">
        <f t="shared" si="74"/>
        <v>608.73583967305035</v>
      </c>
      <c r="EO83" s="59">
        <f ca="1">AVERAGE(OFFSET($EN$3,0,0,'Données projet'!$E$15+1,1))-AVERAGE(OFFSET($H$3,0,0,'Données projet'!$E$15+1,1))</f>
        <v>130.76477588601989</v>
      </c>
      <c r="EP83" s="59">
        <f t="shared" si="100"/>
        <v>94.034011511502172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16.383159930689011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16.383159930689011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-2.2737367544323206E-13</v>
      </c>
      <c r="FF83" s="17">
        <f>FE83*VLOOKUP('Données projet'!$B$16,Paramètres!$A$1:$I$89,3,0)*VLOOKUP('Données projet'!$B$16,Paramètres!$A$1:$I$89,5,0)</f>
        <v>-1.0345502232667058E-13</v>
      </c>
      <c r="FG83" s="13" t="e">
        <f t="shared" si="101"/>
        <v>#NUM!</v>
      </c>
      <c r="FH83" s="20" t="e">
        <f t="shared" si="76"/>
        <v>#NUM!</v>
      </c>
      <c r="FI83" s="59" t="e">
        <f t="shared" si="77"/>
        <v>#NUM!</v>
      </c>
      <c r="FJ83" s="59">
        <f ca="1">AVERAGE(OFFSET($FI$3,0,0,'Données projet'!$E$16+1,1))-AVERAGE(OFFSET($H$3,0,0,'Données projet'!$E$16+1,1))</f>
        <v>279.43442619866738</v>
      </c>
      <c r="FK83" s="59">
        <f t="shared" si="102"/>
        <v>355.95192241448217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141.74869383080926</v>
      </c>
      <c r="FR83" s="21">
        <f>EXP(-LN(2)/25)*FR82+(1-EXP(-LN(2)/25))/(LN(2)/25)*Calculateur!FM83*Calculateur!FO83*VLOOKUP('Données projet'!$B$16,Paramètres!$A$1:$I$89,3,0)*0.475*44/12</f>
        <v>30.117982847141139</v>
      </c>
      <c r="FS83" s="21">
        <f>EXP(-LN(2)/2)*FS82+(1-EXP(-LN(2)/2))/(LN(2)/2)*FM83*FP83*VLOOKUP('Données projet'!$B$16,Paramètres!$A$1:$I$89,3,0)*0.475*44/12</f>
        <v>4.4768117819672631E-2</v>
      </c>
      <c r="FT83" s="22">
        <f t="shared" si="78"/>
        <v>171.91144479577008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-1.1368683772161603E-13</v>
      </c>
      <c r="O84" s="13">
        <f>N84*VLOOKUP('Données projet'!$B$9,Paramètres!$A$1:$I$89,3,0)*VLOOKUP('Données projet'!$B$9,Paramètres!$A$1:$I$89,5,0)</f>
        <v>-6.7984728957526396E-14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227.89848316900191</v>
      </c>
      <c r="T84" s="59">
        <f t="shared" si="88"/>
        <v>239.85955661394541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94.548607294659988</v>
      </c>
      <c r="AA84" s="21">
        <f>EXP(-LN(2)/25)*AA83+(1-EXP(-LN(2)/25))/(LN(2)/25)*Calculateur!V84*Calculateur!X84*VLOOKUP('Données projet'!$B$9,Paramètres!$A$1:$I$89,3,0)*0.475*44/12</f>
        <v>19.295896289953713</v>
      </c>
      <c r="AB84" s="21">
        <f>EXP(-LN(2)/2)*AB83+(1-EXP(-LN(2)/2))/(LN(2)/2)*V84*Y84*VLOOKUP('Données projet'!$B$9,Paramètres!$A$1:$I$89,3,0)*0.475*44/12</f>
        <v>5.0627271568386603E-2</v>
      </c>
      <c r="AC84" s="22">
        <f t="shared" si="57"/>
        <v>113.89513085618209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6.4444444444444446</v>
      </c>
      <c r="AI84" s="13">
        <f>IF('Données projet'!$A$62&gt;35,AI83+AH84-AQ83,IF(A84&lt;'Données projet'!$A$62,$AF$205^A84,IF(A84='Données projet'!$A$62,'Données projet'!$B$62,AI83+AH84-AQ83)))</f>
        <v>204.33333333333354</v>
      </c>
      <c r="AJ84" s="13">
        <f>AI84*VLOOKUP('Données projet'!$B$10,Paramètres!$A$1:$I$89,3,0)*VLOOKUP('Données projet'!$B$10,Paramètres!$A$1:$I$89,5,0)</f>
        <v>184.88080000000019</v>
      </c>
      <c r="AK84" s="13">
        <f t="shared" si="89"/>
        <v>46.40637762364517</v>
      </c>
      <c r="AL84" s="20">
        <f t="shared" si="58"/>
        <v>402.82516769451564</v>
      </c>
      <c r="AM84" s="59">
        <f t="shared" si="59"/>
        <v>696.15850102784896</v>
      </c>
      <c r="AN84" s="59">
        <f ca="1">AVERAGE(OFFSET($AM$3,0,0,'Données projet'!$E$10+1,1))-AVERAGE(OFFSET($H$3,0,0,'Données projet'!$E$10+1,1))</f>
        <v>215.7418266360167</v>
      </c>
      <c r="AO84" s="59">
        <f t="shared" si="90"/>
        <v>155.78420008229949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38.275969221430358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38.275969221430358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>
        <f>VLOOKUP(A84,'Données projet'!$A$87:$I$107,2,0)</f>
        <v>172</v>
      </c>
      <c r="BB84" s="12">
        <f>VLOOKUP(A84,'Données projet'!$A$87:$I$107,9,0)</f>
        <v>4.8888888888888893</v>
      </c>
      <c r="BC84" s="12">
        <f t="array" ref="BC84">INDEX(BB:BB,MIN(IF(ISNUMBER(BB84:BB280),ROW(BB84:BB280),"")))</f>
        <v>4.8888888888888893</v>
      </c>
      <c r="BD84" s="12">
        <f>IF('Données projet'!$A$88&gt;35,BD83+BC84-BL83,IF(A84&lt;'Données projet'!$A$88,$BA$205^A84,IF(A84='Données projet'!$A$88,'Données projet'!$B$88,BD83+BC84-BL83)))</f>
        <v>171.99999999999997</v>
      </c>
      <c r="BE84" s="13">
        <f>BD84*VLOOKUP('Données projet'!$B$11,Paramètres!$A$1:$I$89,3,0)*VLOOKUP('Données projet'!$B$11,Paramètres!$A$1:$I$89,5,0)</f>
        <v>174.40799999999999</v>
      </c>
      <c r="BF84" s="13">
        <f t="shared" si="91"/>
        <v>44.075793288194824</v>
      </c>
      <c r="BG84" s="20">
        <f t="shared" si="61"/>
        <v>380.5259399769393</v>
      </c>
      <c r="BH84" s="59">
        <f t="shared" si="62"/>
        <v>673.85927331027256</v>
      </c>
      <c r="BI84" s="59">
        <f ca="1">AVERAGE(OFFSET($BH$3,0,0,'Données projet'!$E$11+1,1))-AVERAGE(OFFSET($H$3,0,0,'Données projet'!$E$11+1,1))</f>
        <v>179.53921263314447</v>
      </c>
      <c r="BJ84" s="59">
        <f t="shared" si="92"/>
        <v>120.81513023281337</v>
      </c>
      <c r="BK84" s="15">
        <f>IF(ISNA(VLOOKUP(A84,'Données projet'!$A$87:$I$107,3,0)),0,VLOOKUP(A84,'Données projet'!$A$87:$I$107,3,0))</f>
        <v>6</v>
      </c>
      <c r="BL84" s="15">
        <f>IF(ISNA(VLOOKUP(A84,'Données projet'!$A$87:$I$107,4,0)),0,VLOOKUP(A84,'Données projet'!$A$87:$I$107,4,0))</f>
        <v>31</v>
      </c>
      <c r="BM84" s="16">
        <f>IF(ISNA(VLOOKUP(A84,'Données projet'!$A$87:$I$107,5,0)),0%,VLOOKUP(A84,'Données projet'!$A$87:$I$107,5,0)*VLOOKUP('Données projet'!$B$11,Paramètres!$A$1:$I$89,7,0))</f>
        <v>0.30099999999999999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29.373020806831299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29.373020806831299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28.607825931641504</v>
      </c>
      <c r="BY84" s="12">
        <f>IF('Données projet'!$A$114&gt;35,BY83+BX84-CG83,IF(A84&lt;'Données projet'!$A$114,$BV$205^A84,IF(A84='Données projet'!$A$114,'Données projet'!$B$114,BY83+BX84-CG83)))</f>
        <v>706.87592435413842</v>
      </c>
      <c r="BZ84" s="13">
        <f>BY84*VLOOKUP('Données projet'!$B$12,Paramètres!$A$1:$I$89,3,0)*VLOOKUP('Données projet'!$B$12,Paramètres!$A$1:$I$89,5,0)</f>
        <v>330.81793259773679</v>
      </c>
      <c r="CA84" s="13">
        <f t="shared" si="93"/>
        <v>77.599861027821433</v>
      </c>
      <c r="CB84" s="20">
        <f t="shared" si="64"/>
        <v>711.32765723118052</v>
      </c>
      <c r="CC84" s="59">
        <f t="shared" si="65"/>
        <v>1004.6609905645139</v>
      </c>
      <c r="CD84" s="59">
        <f ca="1">AVERAGE(OFFSET($CC$3,0,0,'Données projet'!$E$12+1,1))-AVERAGE(OFFSET($H$3,0,0,'Données projet'!$E$12+1,1))</f>
        <v>310.06530483941287</v>
      </c>
      <c r="CE84" s="59">
        <f t="shared" si="94"/>
        <v>170.13425794309376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84.716414759088295</v>
      </c>
      <c r="CL84" s="21">
        <f>EXP(-LN(2)/25)*CL83+(1-EXP(-LN(2)/25))/(LN(2)/25)*Calculateur!CG84*Calculateur!CI84*VLOOKUP('Données projet'!$B$12,Paramètres!$A$1:$I$89,3,0)*0.475*44/12</f>
        <v>19.280921560852622</v>
      </c>
      <c r="CM84" s="21">
        <f>EXP(-LN(2)/2)*CM83+(1-EXP(-LN(2)/2))/(LN(2)/2)*CG84*CJ84*VLOOKUP('Données projet'!$B$12,Paramètres!$A$1:$I$89,3,0)*0.475*44/12</f>
        <v>6.8852829431216671</v>
      </c>
      <c r="CN84" s="22">
        <f t="shared" si="66"/>
        <v>110.88261926306258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>
        <f>CT84*VLOOKUP('Données projet'!$B$13,Paramètres!$A$1:$I$89,3,0)*VLOOKUP('Données projet'!$B$13,Paramètres!$A$1:$I$89,5,0)</f>
        <v>0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168.08890945052406</v>
      </c>
      <c r="CZ84" s="59">
        <f t="shared" si="96"/>
        <v>182.52462557642343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74.814390863763307</v>
      </c>
      <c r="DG84" s="21">
        <f>EXP(-LN(2)/25)*DG83+(1-EXP(-LN(2)/25))/(LN(2)/25)*Calculateur!DB84*Calculateur!DD84*VLOOKUP('Données projet'!$B$13,Paramètres!$A$1:$I$89,3,0)*0.475*44/12</f>
        <v>15.949719601307466</v>
      </c>
      <c r="DH84" s="21">
        <f>EXP(-LN(2)/2)*DH83+(1-EXP(-LN(2)/2))/(LN(2)/2)*DB84*DE84*VLOOKUP('Données projet'!$B$13,Paramètres!$A$1:$I$89,3,0)*0.475*44/12</f>
        <v>3.914460282480188E-2</v>
      </c>
      <c r="DI84" s="22">
        <f t="shared" si="69"/>
        <v>90.803255067895577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-2.2737367544323206E-13</v>
      </c>
      <c r="DP84" s="17">
        <f>DO84*VLOOKUP('Données projet'!$B$14,Paramètres!$A$1:$I$89,3,0)*VLOOKUP('Données projet'!$B$14,Paramètres!$A$1:$I$89,5,0)</f>
        <v>-1.2710188457276673E-13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355.23615781077405</v>
      </c>
      <c r="DU84" s="59">
        <f t="shared" si="98"/>
        <v>448.84541017639367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170.73345146648552</v>
      </c>
      <c r="EB84" s="21">
        <f>EXP(-LN(2)/25)*EB83+(1-EXP(-LN(2)/25))/(LN(2)/25)*Calculateur!DW84*Calculateur!DY84*VLOOKUP('Données projet'!$B$14,Paramètres!$A$1:$I$89,3,0)*0.475*44/12</f>
        <v>35.990269027458773</v>
      </c>
      <c r="EC84" s="21">
        <f>EXP(-LN(2)/2)*EC83+(1-EXP(-LN(2)/2))/(LN(2)/2)*DW84*DZ84*VLOOKUP('Données projet'!$B$14,Paramètres!$A$1:$I$89,3,0)*0.475*44/12</f>
        <v>3.8891460192105709E-2</v>
      </c>
      <c r="ED84" s="22">
        <f t="shared" si="72"/>
        <v>206.76261195413639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>
        <f>VLOOKUP(A84,'Données projet'!$A$191:$I$211,2,0)</f>
        <v>137.6</v>
      </c>
      <c r="EH84" s="12">
        <f>VLOOKUP(A84,'Données projet'!$A$191:$I$211,9,0)</f>
        <v>3.9111111111111097</v>
      </c>
      <c r="EI84" s="12">
        <f t="array" ref="EI84">INDEX(EH:EH,MIN(IF(ISNUMBER(EH84:EH280),ROW(EH84:EH280),"")))</f>
        <v>3.9111111111111097</v>
      </c>
      <c r="EJ84" s="12">
        <f>IF('Données projet'!$A$192&gt;35,EJ83+EI84-ER83,IF(A84&lt;'Données projet'!$A$192,$EG$205^A84,IF(A84='Données projet'!$A$192,'Données projet'!$B$192,EJ83+EI84-ER83)))</f>
        <v>137.59999999999988</v>
      </c>
      <c r="EK84" s="17">
        <f>EJ84*VLOOKUP('Données projet'!$B$15,Paramètres!$A$1:$I$89,3,0)*VLOOKUP('Données projet'!$B$15,Paramètres!$A$1:$I$89,5,0)</f>
        <v>148.11263999999989</v>
      </c>
      <c r="EL84" s="13">
        <f t="shared" si="99"/>
        <v>38.149360719333707</v>
      </c>
      <c r="EM84" s="20">
        <f t="shared" si="73"/>
        <v>324.40631791950597</v>
      </c>
      <c r="EN84" s="59">
        <f t="shared" si="74"/>
        <v>617.73965125283928</v>
      </c>
      <c r="EO84" s="59">
        <f ca="1">AVERAGE(OFFSET($EN$3,0,0,'Données projet'!$E$15+1,1))-AVERAGE(OFFSET($H$3,0,0,'Données projet'!$E$15+1,1))</f>
        <v>130.76477588601989</v>
      </c>
      <c r="EP84" s="59">
        <f t="shared" si="100"/>
        <v>94.034011511502172</v>
      </c>
      <c r="EQ84" s="15">
        <f>IF(ISNA(VLOOKUP(A84,'Données projet'!$A$191:$I$211,3,0)),0,VLOOKUP(A84,'Données projet'!$A$191:$I$211,3,0))</f>
        <v>6</v>
      </c>
      <c r="ER84" s="15">
        <f>IF(ISNA(VLOOKUP(A84,'Données projet'!$A$191:$I$211,4,0)),0,VLOOKUP(A84,'Données projet'!$A$191:$I$211,4,0))</f>
        <v>24.8</v>
      </c>
      <c r="ES84" s="16">
        <f>IF(ISNA(VLOOKUP(A84,'Données projet'!$A$191:$I$211,5,0)),0%,VLOOKUP(A84,'Données projet'!$A$191:$I$211,5,0)*VLOOKUP('Données projet'!$B$15,Paramètres!$A$1:$I$89,7,0))</f>
        <v>0.30099999999999999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24.944473054416733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24.944473054416733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-2.2737367544323206E-13</v>
      </c>
      <c r="FF84" s="17">
        <f>FE84*VLOOKUP('Données projet'!$B$16,Paramètres!$A$1:$I$89,3,0)*VLOOKUP('Données projet'!$B$16,Paramètres!$A$1:$I$89,5,0)</f>
        <v>-1.0345502232667058E-13</v>
      </c>
      <c r="FG84" s="13" t="e">
        <f t="shared" si="101"/>
        <v>#NUM!</v>
      </c>
      <c r="FH84" s="20" t="e">
        <f t="shared" si="76"/>
        <v>#NUM!</v>
      </c>
      <c r="FI84" s="59" t="e">
        <f t="shared" si="77"/>
        <v>#NUM!</v>
      </c>
      <c r="FJ84" s="59">
        <f ca="1">AVERAGE(OFFSET($FI$3,0,0,'Données projet'!$E$16+1,1))-AVERAGE(OFFSET($H$3,0,0,'Données projet'!$E$16+1,1))</f>
        <v>279.43442619866738</v>
      </c>
      <c r="FK84" s="59">
        <f t="shared" si="102"/>
        <v>355.95192241448217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138.9690884029533</v>
      </c>
      <c r="FR84" s="21">
        <f>EXP(-LN(2)/25)*FR83+(1-EXP(-LN(2)/25))/(LN(2)/25)*Calculateur!FM84*Calculateur!FO84*VLOOKUP('Données projet'!$B$16,Paramètres!$A$1:$I$89,3,0)*0.475*44/12</f>
        <v>29.294405022350183</v>
      </c>
      <c r="FS84" s="21">
        <f>EXP(-LN(2)/2)*FS83+(1-EXP(-LN(2)/2))/(LN(2)/2)*FM84*FP84*VLOOKUP('Données projet'!$B$16,Paramètres!$A$1:$I$89,3,0)*0.475*44/12</f>
        <v>3.1655839691248834E-2</v>
      </c>
      <c r="FT84" s="22">
        <f t="shared" si="78"/>
        <v>168.29514926499473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-1.1368683772161603E-13</v>
      </c>
      <c r="O85" s="13">
        <f>N85*VLOOKUP('Données projet'!$B$9,Paramètres!$A$1:$I$89,3,0)*VLOOKUP('Données projet'!$B$9,Paramètres!$A$1:$I$89,5,0)</f>
        <v>-6.7984728957526396E-14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227.89848316900191</v>
      </c>
      <c r="T85" s="59">
        <f t="shared" si="88"/>
        <v>239.85955661394541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92.694566774567818</v>
      </c>
      <c r="AA85" s="21">
        <f>EXP(-LN(2)/25)*AA84+(1-EXP(-LN(2)/25))/(LN(2)/25)*Calculateur!V85*Calculateur!X85*VLOOKUP('Données projet'!$B$9,Paramètres!$A$1:$I$89,3,0)*0.475*44/12</f>
        <v>18.768248991177845</v>
      </c>
      <c r="AB85" s="21">
        <f>EXP(-LN(2)/2)*AB84+(1-EXP(-LN(2)/2))/(LN(2)/2)*V85*Y85*VLOOKUP('Données projet'!$B$9,Paramètres!$A$1:$I$89,3,0)*0.475*44/12</f>
        <v>3.5798887038979064E-2</v>
      </c>
      <c r="AC85" s="22">
        <f t="shared" si="57"/>
        <v>111.49861465278464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6.4444444444444446</v>
      </c>
      <c r="AI85" s="13">
        <f>IF('Données projet'!$A$62&gt;35,AI84+AH85-AQ84,IF(A85&lt;'Données projet'!$A$62,$AF$205^A85,IF(A85='Données projet'!$A$62,'Données projet'!$B$62,AI84+AH85-AQ84)))</f>
        <v>210.777777777778</v>
      </c>
      <c r="AJ85" s="13">
        <f>AI85*VLOOKUP('Données projet'!$B$10,Paramètres!$A$1:$I$89,3,0)*VLOOKUP('Données projet'!$B$10,Paramètres!$A$1:$I$89,5,0)</f>
        <v>190.71173333333351</v>
      </c>
      <c r="AK85" s="13">
        <f t="shared" si="89"/>
        <v>47.697272728026775</v>
      </c>
      <c r="AL85" s="20">
        <f t="shared" si="58"/>
        <v>415.2290188902025</v>
      </c>
      <c r="AM85" s="59">
        <f t="shared" si="59"/>
        <v>708.56235222353575</v>
      </c>
      <c r="AN85" s="59">
        <f ca="1">AVERAGE(OFFSET($AM$3,0,0,'Données projet'!$E$10+1,1))-AVERAGE(OFFSET($H$3,0,0,'Données projet'!$E$10+1,1))</f>
        <v>215.7418266360167</v>
      </c>
      <c r="AO85" s="59">
        <f t="shared" si="90"/>
        <v>155.78420008229949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37.525400811034103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37.525400811034103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4.7777777777777777</v>
      </c>
      <c r="BD85" s="12">
        <f>IF('Données projet'!$A$88&gt;35,BD84+BC85-BL84,IF(A85&lt;'Données projet'!$A$88,$BA$205^A85,IF(A85='Données projet'!$A$88,'Données projet'!$B$88,BD84+BC85-BL84)))</f>
        <v>145.77777777777774</v>
      </c>
      <c r="BE85" s="13">
        <f>BD85*VLOOKUP('Données projet'!$B$11,Paramètres!$A$1:$I$89,3,0)*VLOOKUP('Données projet'!$B$11,Paramètres!$A$1:$I$89,5,0)</f>
        <v>147.81866666666664</v>
      </c>
      <c r="BF85" s="13">
        <f t="shared" si="91"/>
        <v>38.082447952609819</v>
      </c>
      <c r="BG85" s="20">
        <f t="shared" si="61"/>
        <v>323.77777462857313</v>
      </c>
      <c r="BH85" s="59">
        <f t="shared" si="62"/>
        <v>617.11110796190644</v>
      </c>
      <c r="BI85" s="59">
        <f ca="1">AVERAGE(OFFSET($BH$3,0,0,'Données projet'!$E$11+1,1))-AVERAGE(OFFSET($H$3,0,0,'Données projet'!$E$11+1,1))</f>
        <v>179.53921263314447</v>
      </c>
      <c r="BJ85" s="59">
        <f t="shared" si="92"/>
        <v>120.81513023281337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28.797033784582993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28.797033784582993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28.607825931641504</v>
      </c>
      <c r="BY85" s="12">
        <f>IF('Données projet'!$A$114&gt;35,BY84+BX85-CG84,IF(A85&lt;'Données projet'!$A$114,$BV$205^A85,IF(A85='Données projet'!$A$114,'Données projet'!$B$114,BY84+BX85-CG84)))</f>
        <v>735.48375028577993</v>
      </c>
      <c r="BZ85" s="13">
        <f>BY85*VLOOKUP('Données projet'!$B$12,Paramètres!$A$1:$I$89,3,0)*VLOOKUP('Données projet'!$B$12,Paramètres!$A$1:$I$89,5,0)</f>
        <v>344.20639513374499</v>
      </c>
      <c r="CA85" s="13">
        <f t="shared" si="93"/>
        <v>80.368391390786144</v>
      </c>
      <c r="CB85" s="20">
        <f t="shared" si="64"/>
        <v>739.46775319689175</v>
      </c>
      <c r="CC85" s="59">
        <f t="shared" si="65"/>
        <v>1032.8010865302251</v>
      </c>
      <c r="CD85" s="59">
        <f ca="1">AVERAGE(OFFSET($CC$3,0,0,'Données projet'!$E$12+1,1))-AVERAGE(OFFSET($H$3,0,0,'Données projet'!$E$12+1,1))</f>
        <v>310.06530483941287</v>
      </c>
      <c r="CE85" s="59">
        <f t="shared" si="94"/>
        <v>170.13425794309376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83.0551775375734</v>
      </c>
      <c r="CL85" s="21">
        <f>EXP(-LN(2)/25)*CL84+(1-EXP(-LN(2)/25))/(LN(2)/25)*Calculateur!CG85*Calculateur!CI85*VLOOKUP('Données projet'!$B$12,Paramètres!$A$1:$I$89,3,0)*0.475*44/12</f>
        <v>18.753683746831509</v>
      </c>
      <c r="CM85" s="21">
        <f>EXP(-LN(2)/2)*CM84+(1-EXP(-LN(2)/2))/(LN(2)/2)*CG85*CJ85*VLOOKUP('Données projet'!$B$12,Paramètres!$A$1:$I$89,3,0)*0.475*44/12</f>
        <v>4.8686302594694011</v>
      </c>
      <c r="CN85" s="22">
        <f t="shared" si="66"/>
        <v>106.67749154387431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>
        <f>CT85*VLOOKUP('Données projet'!$B$13,Paramètres!$A$1:$I$89,3,0)*VLOOKUP('Données projet'!$B$13,Paramètres!$A$1:$I$89,5,0)</f>
        <v>0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168.08890945052406</v>
      </c>
      <c r="CZ85" s="59">
        <f t="shared" si="96"/>
        <v>182.52462557642343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73.347326291197518</v>
      </c>
      <c r="DG85" s="21">
        <f>EXP(-LN(2)/25)*DG84+(1-EXP(-LN(2)/25))/(LN(2)/25)*Calculateur!DB85*Calculateur!DD85*VLOOKUP('Données projet'!$B$13,Paramètres!$A$1:$I$89,3,0)*0.475*44/12</f>
        <v>15.513573680050413</v>
      </c>
      <c r="DH85" s="21">
        <f>EXP(-LN(2)/2)*DH84+(1-EXP(-LN(2)/2))/(LN(2)/2)*DB85*DE85*VLOOKUP('Données projet'!$B$13,Paramètres!$A$1:$I$89,3,0)*0.475*44/12</f>
        <v>2.7679414104271494E-2</v>
      </c>
      <c r="DI85" s="22">
        <f t="shared" si="69"/>
        <v>88.888579385352202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-2.2737367544323206E-13</v>
      </c>
      <c r="DP85" s="17">
        <f>DO85*VLOOKUP('Données projet'!$B$14,Paramètres!$A$1:$I$89,3,0)*VLOOKUP('Données projet'!$B$14,Paramètres!$A$1:$I$89,5,0)</f>
        <v>-1.2710188457276673E-13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355.23615781077405</v>
      </c>
      <c r="DU85" s="59">
        <f t="shared" si="98"/>
        <v>448.84541017639367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167.38547262035044</v>
      </c>
      <c r="EB85" s="21">
        <f>EXP(-LN(2)/25)*EB84+(1-EXP(-LN(2)/25))/(LN(2)/25)*Calculateur!DW85*Calculateur!DY85*VLOOKUP('Données projet'!$B$14,Paramètres!$A$1:$I$89,3,0)*0.475*44/12</f>
        <v>35.006113228256922</v>
      </c>
      <c r="EC85" s="21">
        <f>EXP(-LN(2)/2)*EC84+(1-EXP(-LN(2)/2))/(LN(2)/2)*DW85*DZ85*VLOOKUP('Données projet'!$B$14,Paramètres!$A$1:$I$89,3,0)*0.475*44/12</f>
        <v>2.7500415232084616E-2</v>
      </c>
      <c r="ED85" s="22">
        <f t="shared" si="72"/>
        <v>202.41908626383943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3.8222222222222246</v>
      </c>
      <c r="EJ85" s="12">
        <f>IF('Données projet'!$A$192&gt;35,EJ84+EI85-ER84,IF(A85&lt;'Données projet'!$A$192,$EG$205^A85,IF(A85='Données projet'!$A$192,'Données projet'!$B$192,EJ84+EI85-ER84)))</f>
        <v>116.62222222222211</v>
      </c>
      <c r="EK85" s="17">
        <f>EJ85*VLOOKUP('Données projet'!$B$15,Paramètres!$A$1:$I$89,3,0)*VLOOKUP('Données projet'!$B$15,Paramètres!$A$1:$I$89,5,0)</f>
        <v>125.53215999999988</v>
      </c>
      <c r="EL85" s="13">
        <f t="shared" si="99"/>
        <v>32.961880788393756</v>
      </c>
      <c r="EM85" s="20">
        <f t="shared" si="73"/>
        <v>276.04378770645229</v>
      </c>
      <c r="EN85" s="59">
        <f t="shared" si="74"/>
        <v>569.37712103978561</v>
      </c>
      <c r="EO85" s="59">
        <f ca="1">AVERAGE(OFFSET($EN$3,0,0,'Données projet'!$E$15+1,1))-AVERAGE(OFFSET($H$3,0,0,'Données projet'!$E$15+1,1))</f>
        <v>130.76477588601989</v>
      </c>
      <c r="EP85" s="59">
        <f t="shared" si="100"/>
        <v>94.034011511502172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24.455327152445864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24.455327152445864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-2.2737367544323206E-13</v>
      </c>
      <c r="FF85" s="17">
        <f>FE85*VLOOKUP('Données projet'!$B$16,Paramètres!$A$1:$I$89,3,0)*VLOOKUP('Données projet'!$B$16,Paramètres!$A$1:$I$89,5,0)</f>
        <v>-1.0345502232667058E-13</v>
      </c>
      <c r="FG85" s="13" t="e">
        <f t="shared" si="101"/>
        <v>#NUM!</v>
      </c>
      <c r="FH85" s="20" t="e">
        <f t="shared" si="76"/>
        <v>#NUM!</v>
      </c>
      <c r="FI85" s="59" t="e">
        <f t="shared" si="77"/>
        <v>#NUM!</v>
      </c>
      <c r="FJ85" s="59">
        <f ca="1">AVERAGE(OFFSET($FI$3,0,0,'Données projet'!$E$16+1,1))-AVERAGE(OFFSET($H$3,0,0,'Données projet'!$E$16+1,1))</f>
        <v>279.43442619866738</v>
      </c>
      <c r="FK85" s="59">
        <f t="shared" si="102"/>
        <v>355.95192241448217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136.24398934214568</v>
      </c>
      <c r="FR85" s="21">
        <f>EXP(-LN(2)/25)*FR84+(1-EXP(-LN(2)/25))/(LN(2)/25)*Calculateur!FM85*Calculateur!FO85*VLOOKUP('Données projet'!$B$16,Paramètres!$A$1:$I$89,3,0)*0.475*44/12</f>
        <v>28.493347976488209</v>
      </c>
      <c r="FS85" s="21">
        <f>EXP(-LN(2)/2)*FS84+(1-EXP(-LN(2)/2))/(LN(2)/2)*FM85*FP85*VLOOKUP('Données projet'!$B$16,Paramètres!$A$1:$I$89,3,0)*0.475*44/12</f>
        <v>2.2384058909836316E-2</v>
      </c>
      <c r="FT85" s="22">
        <f t="shared" si="78"/>
        <v>164.75972137754371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-6.7984728957526396E-14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227.89848316900191</v>
      </c>
      <c r="T86" s="59">
        <f t="shared" si="88"/>
        <v>239.85955661394541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90.876882858221606</v>
      </c>
      <c r="AA86" s="21">
        <f>EXP(-LN(2)/25)*AA85+(1-EXP(-LN(2)/25))/(LN(2)/25)*Calculateur!V86*Calculateur!X86*VLOOKUP('Données projet'!$B$9,Paramètres!$A$1:$I$89,3,0)*0.475*44/12</f>
        <v>18.255030235534768</v>
      </c>
      <c r="AB86" s="21">
        <f>EXP(-LN(2)/2)*AB85+(1-EXP(-LN(2)/2))/(LN(2)/2)*V86*Y86*VLOOKUP('Données projet'!$B$9,Paramètres!$A$1:$I$89,3,0)*0.475*44/12</f>
        <v>2.5313635784193302E-2</v>
      </c>
      <c r="AC86" s="22">
        <f t="shared" si="57"/>
        <v>109.15722672954055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6.4444444444444446</v>
      </c>
      <c r="AI86" s="13">
        <f>IF('Données projet'!$A$62&gt;35,AI85+AH86-AQ85,IF(A86&lt;'Données projet'!$A$62,$AF$205^A86,IF(A86='Données projet'!$A$62,'Données projet'!$B$62,AI85+AH86-AQ85)))</f>
        <v>217.22222222222246</v>
      </c>
      <c r="AJ86" s="13">
        <f>AI86*VLOOKUP('Données projet'!$B$10,Paramètres!$A$1:$I$89,3,0)*VLOOKUP('Données projet'!$B$10,Paramètres!$A$1:$I$89,5,0)</f>
        <v>196.54266666666689</v>
      </c>
      <c r="AK86" s="13">
        <f t="shared" si="89"/>
        <v>48.983581098767104</v>
      </c>
      <c r="AL86" s="20">
        <f t="shared" si="58"/>
        <v>427.6248815247975</v>
      </c>
      <c r="AM86" s="59">
        <f t="shared" si="59"/>
        <v>720.95821485813076</v>
      </c>
      <c r="AN86" s="59">
        <f ca="1">AVERAGE(OFFSET($AM$3,0,0,'Données projet'!$E$10+1,1))-AVERAGE(OFFSET($H$3,0,0,'Données projet'!$E$10+1,1))</f>
        <v>215.7418266360167</v>
      </c>
      <c r="AO86" s="59">
        <f t="shared" si="90"/>
        <v>155.78420008229949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36.789550589364197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36.789550589364197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4.7777777777777777</v>
      </c>
      <c r="BD86" s="12">
        <f>IF('Données projet'!$A$88&gt;35,BD85+BC86-BL85,IF(A86&lt;'Données projet'!$A$88,$BA$205^A86,IF(A86='Données projet'!$A$88,'Données projet'!$B$88,BD85+BC86-BL85)))</f>
        <v>150.55555555555551</v>
      </c>
      <c r="BE86" s="13">
        <f>BD86*VLOOKUP('Données projet'!$B$11,Paramètres!$A$1:$I$89,3,0)*VLOOKUP('Données projet'!$B$11,Paramètres!$A$1:$I$89,5,0)</f>
        <v>152.6633333333333</v>
      </c>
      <c r="BF86" s="13">
        <f t="shared" si="91"/>
        <v>39.18321632075633</v>
      </c>
      <c r="BG86" s="20">
        <f t="shared" si="61"/>
        <v>334.13274064753944</v>
      </c>
      <c r="BH86" s="59">
        <f t="shared" si="62"/>
        <v>627.46607398087281</v>
      </c>
      <c r="BI86" s="59">
        <f ca="1">AVERAGE(OFFSET($BH$3,0,0,'Données projet'!$E$11+1,1))-AVERAGE(OFFSET($H$3,0,0,'Données projet'!$E$11+1,1))</f>
        <v>179.53921263314447</v>
      </c>
      <c r="BJ86" s="59">
        <f t="shared" si="92"/>
        <v>120.81513023281337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28.232341516523583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28.232341516523583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28.607825931641504</v>
      </c>
      <c r="BY86" s="12">
        <f>IF('Données projet'!$A$114&gt;35,BY85+BX86-CG85,IF(A86&lt;'Données projet'!$A$114,$BV$205^A86,IF(A86='Données projet'!$A$114,'Données projet'!$B$114,BY85+BX86-CG85)))</f>
        <v>764.09157621742145</v>
      </c>
      <c r="BZ86" s="13">
        <f>BY86*VLOOKUP('Données projet'!$B$12,Paramètres!$A$1:$I$89,3,0)*VLOOKUP('Données projet'!$B$12,Paramètres!$A$1:$I$89,5,0)</f>
        <v>357.5948576697532</v>
      </c>
      <c r="CA86" s="13">
        <f t="shared" si="93"/>
        <v>83.124412052266635</v>
      </c>
      <c r="CB86" s="20">
        <f t="shared" si="64"/>
        <v>767.58606143251779</v>
      </c>
      <c r="CC86" s="59">
        <f t="shared" si="65"/>
        <v>1060.9193947658512</v>
      </c>
      <c r="CD86" s="59">
        <f ca="1">AVERAGE(OFFSET($CC$3,0,0,'Données projet'!$E$12+1,1))-AVERAGE(OFFSET($H$3,0,0,'Données projet'!$E$12+1,1))</f>
        <v>310.06530483941287</v>
      </c>
      <c r="CE86" s="59">
        <f t="shared" si="94"/>
        <v>170.13425794309376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81.426516164717754</v>
      </c>
      <c r="CL86" s="21">
        <f>EXP(-LN(2)/25)*CL85+(1-EXP(-LN(2)/25))/(LN(2)/25)*Calculateur!CG86*Calculateur!CI86*VLOOKUP('Données projet'!$B$12,Paramètres!$A$1:$I$89,3,0)*0.475*44/12</f>
        <v>18.240863278561037</v>
      </c>
      <c r="CM86" s="21">
        <f>EXP(-LN(2)/2)*CM85+(1-EXP(-LN(2)/2))/(LN(2)/2)*CG86*CJ86*VLOOKUP('Données projet'!$B$12,Paramètres!$A$1:$I$89,3,0)*0.475*44/12</f>
        <v>3.442641471560834</v>
      </c>
      <c r="CN86" s="22">
        <f t="shared" si="66"/>
        <v>103.11002091483962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>
        <f>CT86*VLOOKUP('Données projet'!$B$13,Paramètres!$A$1:$I$89,3,0)*VLOOKUP('Données projet'!$B$13,Paramètres!$A$1:$I$89,5,0)</f>
        <v>0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168.08890945052406</v>
      </c>
      <c r="CZ86" s="59">
        <f t="shared" si="96"/>
        <v>182.52462557642343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71.909029960078712</v>
      </c>
      <c r="DG86" s="21">
        <f>EXP(-LN(2)/25)*DG85+(1-EXP(-LN(2)/25))/(LN(2)/25)*Calculateur!DB86*Calculateur!DD86*VLOOKUP('Données projet'!$B$13,Paramètres!$A$1:$I$89,3,0)*0.475*44/12</f>
        <v>15.089354191946052</v>
      </c>
      <c r="DH86" s="21">
        <f>EXP(-LN(2)/2)*DH85+(1-EXP(-LN(2)/2))/(LN(2)/2)*DB86*DE86*VLOOKUP('Données projet'!$B$13,Paramètres!$A$1:$I$89,3,0)*0.475*44/12</f>
        <v>1.957230141240094E-2</v>
      </c>
      <c r="DI86" s="22">
        <f t="shared" si="69"/>
        <v>87.017956453437165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-2.2737367544323206E-13</v>
      </c>
      <c r="DP86" s="17">
        <f>DO86*VLOOKUP('Données projet'!$B$14,Paramètres!$A$1:$I$89,3,0)*VLOOKUP('Données projet'!$B$14,Paramètres!$A$1:$I$89,5,0)</f>
        <v>-1.2710188457276673E-13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355.23615781077405</v>
      </c>
      <c r="DU86" s="59">
        <f t="shared" si="98"/>
        <v>448.84541017639367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164.10314559732262</v>
      </c>
      <c r="EB86" s="21">
        <f>EXP(-LN(2)/25)*EB85+(1-EXP(-LN(2)/25))/(LN(2)/25)*Calculateur!DW86*Calculateur!DY86*VLOOKUP('Données projet'!$B$14,Paramètres!$A$1:$I$89,3,0)*0.475*44/12</f>
        <v>34.048869221138752</v>
      </c>
      <c r="EC86" s="21">
        <f>EXP(-LN(2)/2)*EC85+(1-EXP(-LN(2)/2))/(LN(2)/2)*DW86*DZ86*VLOOKUP('Données projet'!$B$14,Paramètres!$A$1:$I$89,3,0)*0.475*44/12</f>
        <v>1.9445730096052855E-2</v>
      </c>
      <c r="ED86" s="22">
        <f t="shared" si="72"/>
        <v>198.17146054855743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3.8222222222222246</v>
      </c>
      <c r="EJ86" s="12">
        <f>IF('Données projet'!$A$192&gt;35,EJ85+EI86-ER85,IF(A86&lt;'Données projet'!$A$192,$EG$205^A86,IF(A86='Données projet'!$A$192,'Données projet'!$B$192,EJ85+EI86-ER85)))</f>
        <v>120.44444444444433</v>
      </c>
      <c r="EK86" s="17">
        <f>EJ86*VLOOKUP('Données projet'!$B$15,Paramètres!$A$1:$I$89,3,0)*VLOOKUP('Données projet'!$B$15,Paramètres!$A$1:$I$89,5,0)</f>
        <v>129.64639999999989</v>
      </c>
      <c r="EL86" s="13">
        <f t="shared" si="99"/>
        <v>33.914639806711918</v>
      </c>
      <c r="EM86" s="20">
        <f t="shared" si="73"/>
        <v>284.86881099668966</v>
      </c>
      <c r="EN86" s="59">
        <f t="shared" si="74"/>
        <v>578.20214433002297</v>
      </c>
      <c r="EO86" s="59">
        <f ca="1">AVERAGE(OFFSET($EN$3,0,0,'Données projet'!$E$15+1,1))-AVERAGE(OFFSET($H$3,0,0,'Données projet'!$E$15+1,1))</f>
        <v>130.76477588601989</v>
      </c>
      <c r="EP86" s="59">
        <f t="shared" si="100"/>
        <v>94.034011511502172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23.975773103263105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23.975773103263105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-2.2737367544323206E-13</v>
      </c>
      <c r="FF86" s="17">
        <f>FE86*VLOOKUP('Données projet'!$B$16,Paramètres!$A$1:$I$89,3,0)*VLOOKUP('Données projet'!$B$16,Paramètres!$A$1:$I$89,5,0)</f>
        <v>-1.0345502232667058E-13</v>
      </c>
      <c r="FG86" s="13" t="e">
        <f t="shared" si="101"/>
        <v>#NUM!</v>
      </c>
      <c r="FH86" s="20" t="e">
        <f t="shared" si="76"/>
        <v>#NUM!</v>
      </c>
      <c r="FI86" s="59" t="e">
        <f t="shared" si="77"/>
        <v>#NUM!</v>
      </c>
      <c r="FJ86" s="59">
        <f ca="1">AVERAGE(OFFSET($FI$3,0,0,'Données projet'!$E$16+1,1))-AVERAGE(OFFSET($H$3,0,0,'Données projet'!$E$16+1,1))</f>
        <v>279.43442619866738</v>
      </c>
      <c r="FK86" s="59">
        <f t="shared" si="102"/>
        <v>355.95192241448217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133.57232781177419</v>
      </c>
      <c r="FR86" s="21">
        <f>EXP(-LN(2)/25)*FR85+(1-EXP(-LN(2)/25))/(LN(2)/25)*Calculateur!FM86*Calculateur!FO86*VLOOKUP('Données projet'!$B$16,Paramètres!$A$1:$I$89,3,0)*0.475*44/12</f>
        <v>27.714195877671091</v>
      </c>
      <c r="FS86" s="21">
        <f>EXP(-LN(2)/2)*FS85+(1-EXP(-LN(2)/2))/(LN(2)/2)*FM86*FP86*VLOOKUP('Données projet'!$B$16,Paramètres!$A$1:$I$89,3,0)*0.475*44/12</f>
        <v>1.5827919845624417E-2</v>
      </c>
      <c r="FT86" s="22">
        <f t="shared" si="78"/>
        <v>161.30235160929092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-6.7984728957526396E-14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227.89848316900191</v>
      </c>
      <c r="T87" s="59">
        <f t="shared" si="88"/>
        <v>239.85955661394541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89.094842614797216</v>
      </c>
      <c r="AA87" s="21">
        <f>EXP(-LN(2)/25)*AA86+(1-EXP(-LN(2)/25))/(LN(2)/25)*Calculateur!V87*Calculateur!X87*VLOOKUP('Données projet'!$B$9,Paramètres!$A$1:$I$89,3,0)*0.475*44/12</f>
        <v>17.755845473753752</v>
      </c>
      <c r="AB87" s="21">
        <f>EXP(-LN(2)/2)*AB86+(1-EXP(-LN(2)/2))/(LN(2)/2)*V87*Y87*VLOOKUP('Données projet'!$B$9,Paramètres!$A$1:$I$89,3,0)*0.475*44/12</f>
        <v>1.7899443519489532E-2</v>
      </c>
      <c r="AC87" s="22">
        <f t="shared" si="57"/>
        <v>106.86858753207046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6.4444444444444446</v>
      </c>
      <c r="AI87" s="13">
        <f>IF('Données projet'!$A$62&gt;35,AI86+AH87-AQ86,IF(A87&lt;'Données projet'!$A$62,$AF$205^A87,IF(A87='Données projet'!$A$62,'Données projet'!$B$62,AI86+AH87-AQ86)))</f>
        <v>223.66666666666691</v>
      </c>
      <c r="AJ87" s="13">
        <f>AI87*VLOOKUP('Données projet'!$B$10,Paramètres!$A$1:$I$89,3,0)*VLOOKUP('Données projet'!$B$10,Paramètres!$A$1:$I$89,5,0)</f>
        <v>202.37360000000021</v>
      </c>
      <c r="AK87" s="13">
        <f t="shared" si="89"/>
        <v>50.265454435353256</v>
      </c>
      <c r="AL87" s="20">
        <f t="shared" si="58"/>
        <v>440.01301980824064</v>
      </c>
      <c r="AM87" s="59">
        <f t="shared" si="59"/>
        <v>733.3463531415739</v>
      </c>
      <c r="AN87" s="59">
        <f ca="1">AVERAGE(OFFSET($AM$3,0,0,'Données projet'!$E$10+1,1))-AVERAGE(OFFSET($H$3,0,0,'Données projet'!$E$10+1,1))</f>
        <v>215.7418266360167</v>
      </c>
      <c r="AO87" s="59">
        <f t="shared" si="90"/>
        <v>155.78420008229949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36.068129941716919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36.068129941716919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4.7777777777777777</v>
      </c>
      <c r="BD87" s="12">
        <f>IF('Données projet'!$A$88&gt;35,BD86+BC87-BL86,IF(A87&lt;'Données projet'!$A$88,$BA$205^A87,IF(A87='Données projet'!$A$88,'Données projet'!$B$88,BD86+BC87-BL86)))</f>
        <v>155.33333333333329</v>
      </c>
      <c r="BE87" s="13">
        <f>BD87*VLOOKUP('Données projet'!$B$11,Paramètres!$A$1:$I$89,3,0)*VLOOKUP('Données projet'!$B$11,Paramètres!$A$1:$I$89,5,0)</f>
        <v>157.50799999999995</v>
      </c>
      <c r="BF87" s="13">
        <f t="shared" si="91"/>
        <v>40.279925369415594</v>
      </c>
      <c r="BG87" s="20">
        <f t="shared" si="61"/>
        <v>344.48063668506535</v>
      </c>
      <c r="BH87" s="59">
        <f t="shared" si="62"/>
        <v>637.81397001839866</v>
      </c>
      <c r="BI87" s="59">
        <f ca="1">AVERAGE(OFFSET($BH$3,0,0,'Données projet'!$E$11+1,1))-AVERAGE(OFFSET($H$3,0,0,'Données projet'!$E$11+1,1))</f>
        <v>179.53921263314447</v>
      </c>
      <c r="BJ87" s="59">
        <f t="shared" si="92"/>
        <v>120.81513023281337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27.678722519412545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27.678722519412545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28.607825931641504</v>
      </c>
      <c r="BY87" s="12">
        <f>IF('Données projet'!$A$114&gt;35,BY86+BX87-CG86,IF(A87&lt;'Données projet'!$A$114,$BV$205^A87,IF(A87='Données projet'!$A$114,'Données projet'!$B$114,BY86+BX87-CG86)))</f>
        <v>792.69940214906296</v>
      </c>
      <c r="BZ87" s="13">
        <f>BY87*VLOOKUP('Données projet'!$B$12,Paramètres!$A$1:$I$89,3,0)*VLOOKUP('Données projet'!$B$12,Paramètres!$A$1:$I$89,5,0)</f>
        <v>370.98332020576152</v>
      </c>
      <c r="CA87" s="13">
        <f t="shared" si="93"/>
        <v>85.868445007784217</v>
      </c>
      <c r="CB87" s="20">
        <f t="shared" si="64"/>
        <v>795.6834910802587</v>
      </c>
      <c r="CC87" s="59">
        <f t="shared" si="65"/>
        <v>1089.0168244135921</v>
      </c>
      <c r="CD87" s="59">
        <f ca="1">AVERAGE(OFFSET($CC$3,0,0,'Données projet'!$E$12+1,1))-AVERAGE(OFFSET($H$3,0,0,'Données projet'!$E$12+1,1))</f>
        <v>310.06530483941287</v>
      </c>
      <c r="CE87" s="59">
        <f t="shared" si="94"/>
        <v>170.13425794309376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79.829791847998465</v>
      </c>
      <c r="CL87" s="21">
        <f>EXP(-LN(2)/25)*CL86+(1-EXP(-LN(2)/25))/(LN(2)/25)*Calculateur!CG87*Calculateur!CI87*VLOOKUP('Données projet'!$B$12,Paramètres!$A$1:$I$89,3,0)*0.475*44/12</f>
        <v>17.742065912963476</v>
      </c>
      <c r="CM87" s="21">
        <f>EXP(-LN(2)/2)*CM86+(1-EXP(-LN(2)/2))/(LN(2)/2)*CG87*CJ87*VLOOKUP('Données projet'!$B$12,Paramètres!$A$1:$I$89,3,0)*0.475*44/12</f>
        <v>2.434315129734701</v>
      </c>
      <c r="CN87" s="22">
        <f t="shared" si="66"/>
        <v>100.00617289069663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>
        <f>CT87*VLOOKUP('Données projet'!$B$13,Paramètres!$A$1:$I$89,3,0)*VLOOKUP('Données projet'!$B$13,Paramètres!$A$1:$I$89,5,0)</f>
        <v>0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168.08890945052406</v>
      </c>
      <c r="CZ87" s="59">
        <f t="shared" si="96"/>
        <v>182.52462557642343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70.498937742739017</v>
      </c>
      <c r="DG87" s="21">
        <f>EXP(-LN(2)/25)*DG86+(1-EXP(-LN(2)/25))/(LN(2)/25)*Calculateur!DB87*Calculateur!DD87*VLOOKUP('Données projet'!$B$13,Paramètres!$A$1:$I$89,3,0)*0.475*44/12</f>
        <v>14.676735008052638</v>
      </c>
      <c r="DH87" s="21">
        <f>EXP(-LN(2)/2)*DH86+(1-EXP(-LN(2)/2))/(LN(2)/2)*DB87*DE87*VLOOKUP('Données projet'!$B$13,Paramètres!$A$1:$I$89,3,0)*0.475*44/12</f>
        <v>1.3839707052135747E-2</v>
      </c>
      <c r="DI87" s="22">
        <f t="shared" si="69"/>
        <v>85.18951245784379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-2.2737367544323206E-13</v>
      </c>
      <c r="DP87" s="17">
        <f>DO87*VLOOKUP('Données projet'!$B$14,Paramètres!$A$1:$I$89,3,0)*VLOOKUP('Données projet'!$B$14,Paramètres!$A$1:$I$89,5,0)</f>
        <v>-1.2710188457276673E-13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355.23615781077405</v>
      </c>
      <c r="DU87" s="59">
        <f t="shared" si="98"/>
        <v>448.84541017639367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160.88518300519456</v>
      </c>
      <c r="EB87" s="21">
        <f>EXP(-LN(2)/25)*EB86+(1-EXP(-LN(2)/25))/(LN(2)/25)*Calculateur!DW87*Calculateur!DY87*VLOOKUP('Données projet'!$B$14,Paramètres!$A$1:$I$89,3,0)*0.475*44/12</f>
        <v>33.1178011017345</v>
      </c>
      <c r="EC87" s="21">
        <f>EXP(-LN(2)/2)*EC86+(1-EXP(-LN(2)/2))/(LN(2)/2)*DW87*DZ87*VLOOKUP('Données projet'!$B$14,Paramètres!$A$1:$I$89,3,0)*0.475*44/12</f>
        <v>1.3750207616042308E-2</v>
      </c>
      <c r="ED87" s="22">
        <f t="shared" si="72"/>
        <v>194.01673431454512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3.8222222222222246</v>
      </c>
      <c r="EJ87" s="12">
        <f>IF('Données projet'!$A$192&gt;35,EJ86+EI87-ER86,IF(A87&lt;'Données projet'!$A$192,$EG$205^A87,IF(A87='Données projet'!$A$192,'Données projet'!$B$192,EJ86+EI87-ER86)))</f>
        <v>124.26666666666655</v>
      </c>
      <c r="EK87" s="17">
        <f>EJ87*VLOOKUP('Données projet'!$B$15,Paramètres!$A$1:$I$89,3,0)*VLOOKUP('Données projet'!$B$15,Paramètres!$A$1:$I$89,5,0)</f>
        <v>133.76063999999988</v>
      </c>
      <c r="EL87" s="13">
        <f t="shared" si="99"/>
        <v>34.863885321770283</v>
      </c>
      <c r="EM87" s="20">
        <f t="shared" si="73"/>
        <v>293.68771493541635</v>
      </c>
      <c r="EN87" s="59">
        <f t="shared" si="74"/>
        <v>587.02104826874961</v>
      </c>
      <c r="EO87" s="59">
        <f ca="1">AVERAGE(OFFSET($EN$3,0,0,'Données projet'!$E$15+1,1))-AVERAGE(OFFSET($H$3,0,0,'Données projet'!$E$15+1,1))</f>
        <v>130.76477588601989</v>
      </c>
      <c r="EP87" s="59">
        <f t="shared" si="100"/>
        <v>94.034011511502172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23.505622816485729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23.505622816485729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-2.2737367544323206E-13</v>
      </c>
      <c r="FF87" s="17">
        <f>FE87*VLOOKUP('Données projet'!$B$16,Paramètres!$A$1:$I$89,3,0)*VLOOKUP('Données projet'!$B$16,Paramètres!$A$1:$I$89,5,0)</f>
        <v>-1.0345502232667058E-13</v>
      </c>
      <c r="FG87" s="13" t="e">
        <f t="shared" si="101"/>
        <v>#NUM!</v>
      </c>
      <c r="FH87" s="20" t="e">
        <f t="shared" si="76"/>
        <v>#NUM!</v>
      </c>
      <c r="FI87" s="59" t="e">
        <f t="shared" si="77"/>
        <v>#NUM!</v>
      </c>
      <c r="FJ87" s="59">
        <f ca="1">AVERAGE(OFFSET($FI$3,0,0,'Données projet'!$E$16+1,1))-AVERAGE(OFFSET($H$3,0,0,'Données projet'!$E$16+1,1))</f>
        <v>279.43442619866738</v>
      </c>
      <c r="FK87" s="59">
        <f t="shared" si="102"/>
        <v>355.95192241448217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130.95305593446065</v>
      </c>
      <c r="FR87" s="21">
        <f>EXP(-LN(2)/25)*FR86+(1-EXP(-LN(2)/25))/(LN(2)/25)*Calculateur!FM87*Calculateur!FO87*VLOOKUP('Données projet'!$B$16,Paramètres!$A$1:$I$89,3,0)*0.475*44/12</f>
        <v>26.956349733969954</v>
      </c>
      <c r="FS87" s="21">
        <f>EXP(-LN(2)/2)*FS86+(1-EXP(-LN(2)/2))/(LN(2)/2)*FM87*FP87*VLOOKUP('Données projet'!$B$16,Paramètres!$A$1:$I$89,3,0)*0.475*44/12</f>
        <v>1.1192029454918158E-2</v>
      </c>
      <c r="FT87" s="22">
        <f t="shared" si="78"/>
        <v>157.92059769788551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-6.7984728957526396E-14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227.89848316900191</v>
      </c>
      <c r="T88" s="59">
        <f t="shared" si="88"/>
        <v>239.85955661394541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87.347747093609158</v>
      </c>
      <c r="AA88" s="21">
        <f>EXP(-LN(2)/25)*AA87+(1-EXP(-LN(2)/25))/(LN(2)/25)*Calculateur!V88*Calculateur!X88*VLOOKUP('Données projet'!$B$9,Paramètres!$A$1:$I$89,3,0)*0.475*44/12</f>
        <v>17.270310945534625</v>
      </c>
      <c r="AB88" s="21">
        <f>EXP(-LN(2)/2)*AB87+(1-EXP(-LN(2)/2))/(LN(2)/2)*V88*Y88*VLOOKUP('Données projet'!$B$9,Paramètres!$A$1:$I$89,3,0)*0.475*44/12</f>
        <v>1.2656817892096651E-2</v>
      </c>
      <c r="AC88" s="22">
        <f t="shared" si="57"/>
        <v>104.63071485703588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6.4444444444444446</v>
      </c>
      <c r="AI88" s="13">
        <f>IF('Données projet'!$A$62&gt;35,AI87+AH88-AQ87,IF(A88&lt;'Données projet'!$A$62,$AF$205^A88,IF(A88='Données projet'!$A$62,'Données projet'!$B$62,AI87+AH88-AQ87)))</f>
        <v>230.11111111111137</v>
      </c>
      <c r="AJ88" s="13">
        <f>AI88*VLOOKUP('Données projet'!$B$10,Paramètres!$A$1:$I$89,3,0)*VLOOKUP('Données projet'!$B$10,Paramètres!$A$1:$I$89,5,0)</f>
        <v>208.20453333333356</v>
      </c>
      <c r="AK88" s="13">
        <f t="shared" si="89"/>
        <v>51.543035198379769</v>
      </c>
      <c r="AL88" s="20">
        <f t="shared" si="58"/>
        <v>452.39368185940071</v>
      </c>
      <c r="AM88" s="59">
        <f t="shared" si="59"/>
        <v>745.72701519273403</v>
      </c>
      <c r="AN88" s="59">
        <f ca="1">AVERAGE(OFFSET($AM$3,0,0,'Données projet'!$E$10+1,1))-AVERAGE(OFFSET($H$3,0,0,'Données projet'!$E$10+1,1))</f>
        <v>215.7418266360167</v>
      </c>
      <c r="AO88" s="59">
        <f t="shared" si="90"/>
        <v>155.78420008229949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35.360855912946853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35.360855912946853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4.7777777777777777</v>
      </c>
      <c r="BD88" s="12">
        <f>IF('Données projet'!$A$88&gt;35,BD87+BC88-BL87,IF(A88&lt;'Données projet'!$A$88,$BA$205^A88,IF(A88='Données projet'!$A$88,'Données projet'!$B$88,BD87+BC88-BL87)))</f>
        <v>160.11111111111106</v>
      </c>
      <c r="BE88" s="13">
        <f>BD88*VLOOKUP('Données projet'!$B$11,Paramètres!$A$1:$I$89,3,0)*VLOOKUP('Données projet'!$B$11,Paramètres!$A$1:$I$89,5,0)</f>
        <v>162.35266666666664</v>
      </c>
      <c r="BF88" s="13">
        <f t="shared" si="91"/>
        <v>41.372714284754075</v>
      </c>
      <c r="BG88" s="20">
        <f t="shared" si="61"/>
        <v>354.82170515705769</v>
      </c>
      <c r="BH88" s="59">
        <f t="shared" si="62"/>
        <v>648.15503849039101</v>
      </c>
      <c r="BI88" s="59">
        <f ca="1">AVERAGE(OFFSET($BH$3,0,0,'Données projet'!$E$11+1,1))-AVERAGE(OFFSET($H$3,0,0,'Données projet'!$E$11+1,1))</f>
        <v>179.53921263314447</v>
      </c>
      <c r="BJ88" s="59">
        <f t="shared" si="92"/>
        <v>120.81513023281337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27.135959653160608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27.135959653160608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28.607825931641504</v>
      </c>
      <c r="BY88" s="12">
        <f>IF('Données projet'!$A$114&gt;35,BY87+BX88-CG87,IF(A88&lt;'Données projet'!$A$114,$BV$205^A88,IF(A88='Données projet'!$A$114,'Données projet'!$B$114,BY87+BX88-CG87)))</f>
        <v>821.30722808070448</v>
      </c>
      <c r="BZ88" s="13">
        <f>BY88*VLOOKUP('Données projet'!$B$12,Paramètres!$A$1:$I$89,3,0)*VLOOKUP('Données projet'!$B$12,Paramètres!$A$1:$I$89,5,0)</f>
        <v>384.37178274176972</v>
      </c>
      <c r="CA88" s="13">
        <f t="shared" si="93"/>
        <v>88.600972440622627</v>
      </c>
      <c r="CB88" s="20">
        <f t="shared" si="64"/>
        <v>823.76088194266651</v>
      </c>
      <c r="CC88" s="59">
        <f t="shared" si="65"/>
        <v>1117.0942152759999</v>
      </c>
      <c r="CD88" s="59">
        <f ca="1">AVERAGE(OFFSET($CC$3,0,0,'Données projet'!$E$12+1,1))-AVERAGE(OFFSET($H$3,0,0,'Données projet'!$E$12+1,1))</f>
        <v>310.06530483941287</v>
      </c>
      <c r="CE88" s="59">
        <f t="shared" si="94"/>
        <v>170.13425794309376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78.26437832122437</v>
      </c>
      <c r="CL88" s="21">
        <f>EXP(-LN(2)/25)*CL87+(1-EXP(-LN(2)/25))/(LN(2)/25)*Calculateur!CG88*Calculateur!CI88*VLOOKUP('Données projet'!$B$12,Paramètres!$A$1:$I$89,3,0)*0.475*44/12</f>
        <v>17.256908187558793</v>
      </c>
      <c r="CM88" s="21">
        <f>EXP(-LN(2)/2)*CM87+(1-EXP(-LN(2)/2))/(LN(2)/2)*CG88*CJ88*VLOOKUP('Données projet'!$B$12,Paramètres!$A$1:$I$89,3,0)*0.475*44/12</f>
        <v>1.7213207357804174</v>
      </c>
      <c r="CN88" s="22">
        <f t="shared" si="66"/>
        <v>97.242607244563587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>
        <f>CT88*VLOOKUP('Données projet'!$B$13,Paramètres!$A$1:$I$89,3,0)*VLOOKUP('Données projet'!$B$13,Paramètres!$A$1:$I$89,5,0)</f>
        <v>0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168.08890945052406</v>
      </c>
      <c r="CZ88" s="59">
        <f t="shared" si="96"/>
        <v>182.52462557642343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69.116496573710023</v>
      </c>
      <c r="DG88" s="21">
        <f>EXP(-LN(2)/25)*DG87+(1-EXP(-LN(2)/25))/(LN(2)/25)*Calculateur!DB88*Calculateur!DD88*VLOOKUP('Données projet'!$B$13,Paramètres!$A$1:$I$89,3,0)*0.475*44/12</f>
        <v>14.275398917441489</v>
      </c>
      <c r="DH88" s="21">
        <f>EXP(-LN(2)/2)*DH87+(1-EXP(-LN(2)/2))/(LN(2)/2)*DB88*DE88*VLOOKUP('Données projet'!$B$13,Paramètres!$A$1:$I$89,3,0)*0.475*44/12</f>
        <v>9.78615070620047E-3</v>
      </c>
      <c r="DI88" s="22">
        <f t="shared" si="69"/>
        <v>83.401681641857721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-2.2737367544323206E-13</v>
      </c>
      <c r="DP88" s="17">
        <f>DO88*VLOOKUP('Données projet'!$B$14,Paramètres!$A$1:$I$89,3,0)*VLOOKUP('Données projet'!$B$14,Paramètres!$A$1:$I$89,5,0)</f>
        <v>-1.2710188457276673E-13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355.23615781077405</v>
      </c>
      <c r="DU88" s="59">
        <f t="shared" si="98"/>
        <v>448.84541017639367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157.73032269673476</v>
      </c>
      <c r="EB88" s="21">
        <f>EXP(-LN(2)/25)*EB87+(1-EXP(-LN(2)/25))/(LN(2)/25)*Calculateur!DW88*Calculateur!DY88*VLOOKUP('Données projet'!$B$14,Paramètres!$A$1:$I$89,3,0)*0.475*44/12</f>
        <v>32.212193089018101</v>
      </c>
      <c r="EC88" s="21">
        <f>EXP(-LN(2)/2)*EC87+(1-EXP(-LN(2)/2))/(LN(2)/2)*DW88*DZ88*VLOOKUP('Données projet'!$B$14,Paramètres!$A$1:$I$89,3,0)*0.475*44/12</f>
        <v>9.7228650480264273E-3</v>
      </c>
      <c r="ED88" s="22">
        <f t="shared" si="72"/>
        <v>189.95223865080087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3.8222222222222246</v>
      </c>
      <c r="EJ88" s="12">
        <f>IF('Données projet'!$A$192&gt;35,EJ87+EI88-ER87,IF(A88&lt;'Données projet'!$A$192,$EG$205^A88,IF(A88='Données projet'!$A$192,'Données projet'!$B$192,EJ87+EI88-ER87)))</f>
        <v>128.08888888888879</v>
      </c>
      <c r="EK88" s="17">
        <f>EJ88*VLOOKUP('Données projet'!$B$15,Paramètres!$A$1:$I$89,3,0)*VLOOKUP('Données projet'!$B$15,Paramètres!$A$1:$I$89,5,0)</f>
        <v>137.87487999999988</v>
      </c>
      <c r="EL88" s="13">
        <f t="shared" si="99"/>
        <v>35.809737804759045</v>
      </c>
      <c r="EM88" s="20">
        <f t="shared" si="73"/>
        <v>302.50070934328841</v>
      </c>
      <c r="EN88" s="59">
        <f t="shared" si="74"/>
        <v>595.83404267662172</v>
      </c>
      <c r="EO88" s="59">
        <f ca="1">AVERAGE(OFFSET($EN$3,0,0,'Données projet'!$E$15+1,1))-AVERAGE(OFFSET($H$3,0,0,'Données projet'!$E$15+1,1))</f>
        <v>130.76477588601989</v>
      </c>
      <c r="EP88" s="59">
        <f t="shared" si="100"/>
        <v>94.034011511502172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23.044691890068698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23.044691890068698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-2.2737367544323206E-13</v>
      </c>
      <c r="FF88" s="17">
        <f>FE88*VLOOKUP('Données projet'!$B$16,Paramètres!$A$1:$I$89,3,0)*VLOOKUP('Données projet'!$B$16,Paramètres!$A$1:$I$89,5,0)</f>
        <v>-1.0345502232667058E-13</v>
      </c>
      <c r="FG88" s="13" t="e">
        <f t="shared" si="101"/>
        <v>#NUM!</v>
      </c>
      <c r="FH88" s="20" t="e">
        <f t="shared" si="76"/>
        <v>#NUM!</v>
      </c>
      <c r="FI88" s="59" t="e">
        <f t="shared" si="77"/>
        <v>#NUM!</v>
      </c>
      <c r="FJ88" s="59">
        <f ca="1">AVERAGE(OFFSET($FI$3,0,0,'Données projet'!$E$16+1,1))-AVERAGE(OFFSET($H$3,0,0,'Données projet'!$E$16+1,1))</f>
        <v>279.43442619866738</v>
      </c>
      <c r="FK88" s="59">
        <f t="shared" si="102"/>
        <v>355.95192241448217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128.38514638106315</v>
      </c>
      <c r="FR88" s="21">
        <f>EXP(-LN(2)/25)*FR87+(1-EXP(-LN(2)/25))/(LN(2)/25)*Calculateur!FM88*Calculateur!FO88*VLOOKUP('Données projet'!$B$16,Paramètres!$A$1:$I$89,3,0)*0.475*44/12</f>
        <v>26.219226932921725</v>
      </c>
      <c r="FS88" s="21">
        <f>EXP(-LN(2)/2)*FS87+(1-EXP(-LN(2)/2))/(LN(2)/2)*FM88*FP88*VLOOKUP('Données projet'!$B$16,Paramètres!$A$1:$I$89,3,0)*0.475*44/12</f>
        <v>7.9139599228122085E-3</v>
      </c>
      <c r="FT88" s="22">
        <f t="shared" si="78"/>
        <v>154.61228727390767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-6.7984728957526396E-14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227.89848316900191</v>
      </c>
      <c r="T89" s="59">
        <f t="shared" si="88"/>
        <v>239.85955661394541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85.634911049968551</v>
      </c>
      <c r="AA89" s="21">
        <f>EXP(-LN(2)/25)*AA88+(1-EXP(-LN(2)/25))/(LN(2)/25)*Calculateur!V89*Calculateur!X89*VLOOKUP('Données projet'!$B$9,Paramètres!$A$1:$I$89,3,0)*0.475*44/12</f>
        <v>16.798053384522799</v>
      </c>
      <c r="AB89" s="21">
        <f>EXP(-LN(2)/2)*AB88+(1-EXP(-LN(2)/2))/(LN(2)/2)*V89*Y89*VLOOKUP('Données projet'!$B$9,Paramètres!$A$1:$I$89,3,0)*0.475*44/12</f>
        <v>8.9497217597447661E-3</v>
      </c>
      <c r="AC89" s="22">
        <f t="shared" si="57"/>
        <v>102.4419141562511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6.4444444444444446</v>
      </c>
      <c r="AI89" s="13">
        <f>IF('Données projet'!$A$62&gt;35,AI88+AH89-AQ88,IF(A89&lt;'Données projet'!$A$62,$AF$205^A89,IF(A89='Données projet'!$A$62,'Données projet'!$B$62,AI88+AH89-AQ88)))</f>
        <v>236.55555555555583</v>
      </c>
      <c r="AJ89" s="13">
        <f>AI89*VLOOKUP('Données projet'!$B$10,Paramètres!$A$1:$I$89,3,0)*VLOOKUP('Données projet'!$B$10,Paramètres!$A$1:$I$89,5,0)</f>
        <v>214.03546666666688</v>
      </c>
      <c r="AK89" s="13">
        <f t="shared" si="89"/>
        <v>52.816457415007392</v>
      </c>
      <c r="AL89" s="20">
        <f t="shared" si="58"/>
        <v>464.76710110891599</v>
      </c>
      <c r="AM89" s="59">
        <f t="shared" si="59"/>
        <v>758.10043444224925</v>
      </c>
      <c r="AN89" s="59">
        <f ca="1">AVERAGE(OFFSET($AM$3,0,0,'Données projet'!$E$10+1,1))-AVERAGE(OFFSET($H$3,0,0,'Données projet'!$E$10+1,1))</f>
        <v>215.7418266360167</v>
      </c>
      <c r="AO89" s="59">
        <f t="shared" si="90"/>
        <v>155.78420008229949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34.66745109648641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34.66745109648641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4.7777777777777777</v>
      </c>
      <c r="BD89" s="12">
        <f>IF('Données projet'!$A$88&gt;35,BD88+BC89-BL88,IF(A89&lt;'Données projet'!$A$88,$BA$205^A89,IF(A89='Données projet'!$A$88,'Données projet'!$B$88,BD88+BC89-BL88)))</f>
        <v>164.88888888888883</v>
      </c>
      <c r="BE89" s="13">
        <f>BD89*VLOOKUP('Données projet'!$B$11,Paramètres!$A$1:$I$89,3,0)*VLOOKUP('Données projet'!$B$11,Paramètres!$A$1:$I$89,5,0)</f>
        <v>167.19733333333329</v>
      </c>
      <c r="BF89" s="13">
        <f t="shared" si="91"/>
        <v>42.461713474048771</v>
      </c>
      <c r="BG89" s="20">
        <f t="shared" si="61"/>
        <v>365.15617318952371</v>
      </c>
      <c r="BH89" s="59">
        <f t="shared" si="62"/>
        <v>658.48950652285703</v>
      </c>
      <c r="BI89" s="59">
        <f ca="1">AVERAGE(OFFSET($BH$3,0,0,'Données projet'!$E$11+1,1))-AVERAGE(OFFSET($H$3,0,0,'Données projet'!$E$11+1,1))</f>
        <v>179.53921263314447</v>
      </c>
      <c r="BJ89" s="59">
        <f t="shared" si="92"/>
        <v>120.81513023281337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26.603840035663211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26.603840035663211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28.607825931641504</v>
      </c>
      <c r="BY89" s="12">
        <f>IF('Données projet'!$A$114&gt;35,BY88+BX89-CG88,IF(A89&lt;'Données projet'!$A$114,$BV$205^A89,IF(A89='Données projet'!$A$114,'Données projet'!$B$114,BY88+BX89-CG88)))</f>
        <v>849.91505401234599</v>
      </c>
      <c r="BZ89" s="13">
        <f>BY89*VLOOKUP('Données projet'!$B$12,Paramètres!$A$1:$I$89,3,0)*VLOOKUP('Données projet'!$B$12,Paramètres!$A$1:$I$89,5,0)</f>
        <v>397.76024527777793</v>
      </c>
      <c r="CA89" s="13">
        <f t="shared" si="93"/>
        <v>91.322441038300838</v>
      </c>
      <c r="CB89" s="20">
        <f t="shared" si="64"/>
        <v>851.81901200050379</v>
      </c>
      <c r="CC89" s="59">
        <f t="shared" si="65"/>
        <v>1145.152345333837</v>
      </c>
      <c r="CD89" s="59">
        <f ca="1">AVERAGE(OFFSET($CC$3,0,0,'Données projet'!$E$12+1,1))-AVERAGE(OFFSET($H$3,0,0,'Données projet'!$E$12+1,1))</f>
        <v>310.06530483941287</v>
      </c>
      <c r="CE89" s="59">
        <f t="shared" si="94"/>
        <v>170.13425794309376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76.729661598902339</v>
      </c>
      <c r="CL89" s="21">
        <f>EXP(-LN(2)/25)*CL88+(1-EXP(-LN(2)/25))/(LN(2)/25)*Calculateur!CG89*Calculateur!CI89*VLOOKUP('Données projet'!$B$12,Paramètres!$A$1:$I$89,3,0)*0.475*44/12</f>
        <v>16.785017125668638</v>
      </c>
      <c r="CM89" s="21">
        <f>EXP(-LN(2)/2)*CM88+(1-EXP(-LN(2)/2))/(LN(2)/2)*CG89*CJ89*VLOOKUP('Données projet'!$B$12,Paramètres!$A$1:$I$89,3,0)*0.475*44/12</f>
        <v>1.2171575648673507</v>
      </c>
      <c r="CN89" s="22">
        <f t="shared" si="66"/>
        <v>94.731836289438334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>
        <f>CT89*VLOOKUP('Données projet'!$B$13,Paramètres!$A$1:$I$89,3,0)*VLOOKUP('Données projet'!$B$13,Paramètres!$A$1:$I$89,5,0)</f>
        <v>0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168.08890945052406</v>
      </c>
      <c r="CZ89" s="59">
        <f t="shared" si="96"/>
        <v>182.52462557642343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67.761164232799828</v>
      </c>
      <c r="DG89" s="21">
        <f>EXP(-LN(2)/25)*DG88+(1-EXP(-LN(2)/25))/(LN(2)/25)*Calculateur!DB89*Calculateur!DD89*VLOOKUP('Données projet'!$B$13,Paramètres!$A$1:$I$89,3,0)*0.475*44/12</f>
        <v>13.885037383333449</v>
      </c>
      <c r="DH89" s="21">
        <f>EXP(-LN(2)/2)*DH88+(1-EXP(-LN(2)/2))/(LN(2)/2)*DB89*DE89*VLOOKUP('Données projet'!$B$13,Paramètres!$A$1:$I$89,3,0)*0.475*44/12</f>
        <v>6.9198535260678734E-3</v>
      </c>
      <c r="DI89" s="22">
        <f t="shared" si="69"/>
        <v>81.653121469659354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-2.2737367544323206E-13</v>
      </c>
      <c r="DP89" s="17">
        <f>DO89*VLOOKUP('Données projet'!$B$14,Paramètres!$A$1:$I$89,3,0)*VLOOKUP('Données projet'!$B$14,Paramètres!$A$1:$I$89,5,0)</f>
        <v>-1.2710188457276673E-13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355.23615781077405</v>
      </c>
      <c r="DU89" s="59">
        <f t="shared" si="98"/>
        <v>448.84541017639367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154.6373272746491</v>
      </c>
      <c r="EB89" s="21">
        <f>EXP(-LN(2)/25)*EB88+(1-EXP(-LN(2)/25))/(LN(2)/25)*Calculateur!DW89*Calculateur!DY89*VLOOKUP('Données projet'!$B$14,Paramètres!$A$1:$I$89,3,0)*0.475*44/12</f>
        <v>31.331348975033286</v>
      </c>
      <c r="EC89" s="21">
        <f>EXP(-LN(2)/2)*EC88+(1-EXP(-LN(2)/2))/(LN(2)/2)*DW89*DZ89*VLOOKUP('Données projet'!$B$14,Paramètres!$A$1:$I$89,3,0)*0.475*44/12</f>
        <v>6.8751038080211539E-3</v>
      </c>
      <c r="ED89" s="22">
        <f t="shared" si="72"/>
        <v>185.9755513534904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3.8222222222222246</v>
      </c>
      <c r="EJ89" s="12">
        <f>IF('Données projet'!$A$192&gt;35,EJ88+EI89-ER88,IF(A89&lt;'Données projet'!$A$192,$EG$205^A89,IF(A89='Données projet'!$A$192,'Données projet'!$B$192,EJ88+EI89-ER88)))</f>
        <v>131.91111111111101</v>
      </c>
      <c r="EK89" s="17">
        <f>EJ89*VLOOKUP('Données projet'!$B$15,Paramètres!$A$1:$I$89,3,0)*VLOOKUP('Données projet'!$B$15,Paramètres!$A$1:$I$89,5,0)</f>
        <v>141.98911999999987</v>
      </c>
      <c r="EL89" s="13">
        <f t="shared" si="99"/>
        <v>36.752310128388466</v>
      </c>
      <c r="EM89" s="20">
        <f t="shared" si="73"/>
        <v>311.30799080694305</v>
      </c>
      <c r="EN89" s="59">
        <f t="shared" si="74"/>
        <v>604.64132414027631</v>
      </c>
      <c r="EO89" s="59">
        <f ca="1">AVERAGE(OFFSET($EN$3,0,0,'Données projet'!$E$15+1,1))-AVERAGE(OFFSET($H$3,0,0,'Données projet'!$E$15+1,1))</f>
        <v>130.76477588601989</v>
      </c>
      <c r="EP89" s="59">
        <f t="shared" si="100"/>
        <v>94.034011511502172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22.592799537978603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22.592799537978603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-2.2737367544323206E-13</v>
      </c>
      <c r="FF89" s="17">
        <f>FE89*VLOOKUP('Données projet'!$B$16,Paramètres!$A$1:$I$89,3,0)*VLOOKUP('Données projet'!$B$16,Paramètres!$A$1:$I$89,5,0)</f>
        <v>-1.0345502232667058E-13</v>
      </c>
      <c r="FG89" s="13" t="e">
        <f t="shared" si="101"/>
        <v>#NUM!</v>
      </c>
      <c r="FH89" s="20" t="e">
        <f t="shared" si="76"/>
        <v>#NUM!</v>
      </c>
      <c r="FI89" s="59" t="e">
        <f t="shared" si="77"/>
        <v>#NUM!</v>
      </c>
      <c r="FJ89" s="59">
        <f ca="1">AVERAGE(OFFSET($FI$3,0,0,'Données projet'!$E$16+1,1))-AVERAGE(OFFSET($H$3,0,0,'Données projet'!$E$16+1,1))</f>
        <v>279.43442619866738</v>
      </c>
      <c r="FK89" s="59">
        <f t="shared" si="102"/>
        <v>355.95192241448217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125.8675919677376</v>
      </c>
      <c r="FR89" s="21">
        <f>EXP(-LN(2)/25)*FR88+(1-EXP(-LN(2)/25))/(LN(2)/25)*Calculateur!FM89*Calculateur!FO89*VLOOKUP('Données projet'!$B$16,Paramètres!$A$1:$I$89,3,0)*0.475*44/12</f>
        <v>25.502260793631759</v>
      </c>
      <c r="FS89" s="21">
        <f>EXP(-LN(2)/2)*FS88+(1-EXP(-LN(2)/2))/(LN(2)/2)*FM89*FP89*VLOOKUP('Données projet'!$B$16,Paramètres!$A$1:$I$89,3,0)*0.475*44/12</f>
        <v>5.5960147274590789E-3</v>
      </c>
      <c r="FT89" s="22">
        <f t="shared" si="78"/>
        <v>151.37544877609682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-6.7984728957526396E-14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227.89848316900191</v>
      </c>
      <c r="T90" s="59">
        <f t="shared" si="88"/>
        <v>239.85955661394541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83.955662676416907</v>
      </c>
      <c r="AA90" s="21">
        <f>EXP(-LN(2)/25)*AA89+(1-EXP(-LN(2)/25))/(LN(2)/25)*Calculateur!V90*Calculateur!X90*VLOOKUP('Données projet'!$B$9,Paramètres!$A$1:$I$89,3,0)*0.475*44/12</f>
        <v>16.338709731351788</v>
      </c>
      <c r="AB90" s="21">
        <f>EXP(-LN(2)/2)*AB89+(1-EXP(-LN(2)/2))/(LN(2)/2)*V90*Y90*VLOOKUP('Données projet'!$B$9,Paramètres!$A$1:$I$89,3,0)*0.475*44/12</f>
        <v>6.3284089460483254E-3</v>
      </c>
      <c r="AC90" s="22">
        <f t="shared" si="57"/>
        <v>100.30070081671474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>
        <f>VLOOKUP(A90,'Données projet'!$A$61:$I$81,2,0)</f>
        <v>243</v>
      </c>
      <c r="AG90" s="12">
        <f>VLOOKUP(A90,'Données projet'!$A$61:$I$81,9,0)</f>
        <v>6.4444444444444446</v>
      </c>
      <c r="AH90" s="12">
        <f t="array" ref="AH90">INDEX(AG:AG,MIN(IF(ISNUMBER(AG90:AG286),ROW(AG90:AG286),"")))</f>
        <v>6.4444444444444446</v>
      </c>
      <c r="AI90" s="13">
        <f>IF('Données projet'!$A$62&gt;35,AI89+AH90-AQ89,IF(A90&lt;'Données projet'!$A$62,$AF$205^A90,IF(A90='Données projet'!$A$62,'Données projet'!$B$62,AI89+AH90-AQ89)))</f>
        <v>243.00000000000028</v>
      </c>
      <c r="AJ90" s="13">
        <f>AI90*VLOOKUP('Données projet'!$B$10,Paramètres!$A$1:$I$89,3,0)*VLOOKUP('Données projet'!$B$10,Paramètres!$A$1:$I$89,5,0)</f>
        <v>219.86640000000028</v>
      </c>
      <c r="AK90" s="13">
        <f t="shared" si="89"/>
        <v>54.085847394182515</v>
      </c>
      <c r="AL90" s="20">
        <f t="shared" si="58"/>
        <v>477.13349754486836</v>
      </c>
      <c r="AM90" s="59">
        <f t="shared" si="59"/>
        <v>770.46683087820168</v>
      </c>
      <c r="AN90" s="59">
        <f ca="1">AVERAGE(OFFSET($AM$3,0,0,'Données projet'!$E$10+1,1))-AVERAGE(OFFSET($H$3,0,0,'Données projet'!$E$10+1,1))</f>
        <v>215.7418266360167</v>
      </c>
      <c r="AO90" s="59">
        <f t="shared" si="90"/>
        <v>155.78420008229949</v>
      </c>
      <c r="AP90" s="15">
        <f>IF(ISNA(VLOOKUP(A90,'Données projet'!$A$61:$I$81,3,0)),0,VLOOKUP(A90,'Données projet'!$A$61:$I$81,3,0))</f>
        <v>8</v>
      </c>
      <c r="AQ90" s="15">
        <f>IF(ISNA(VLOOKUP(A90,'Données projet'!$A$61:$I$81,4,0)),0,VLOOKUP(A90,'Données projet'!$A$61:$I$81,4,0))</f>
        <v>39</v>
      </c>
      <c r="AR90" s="16">
        <f>IF(ISNA(VLOOKUP(A90,'Données projet'!$A$61:$I$81,5,0)),0%,VLOOKUP(A90,'Données projet'!$A$61:$I$81,5,0)*VLOOKUP('Données projet'!$B$10,Paramètres!$A$1:$I$89,7,0))</f>
        <v>0.38700000000000001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49.084108869307109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49.084108869307109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4.7777777777777777</v>
      </c>
      <c r="BD90" s="12">
        <f>IF('Données projet'!$A$88&gt;35,BD89+BC90-BL89,IF(A90&lt;'Données projet'!$A$88,$BA$205^A90,IF(A90='Données projet'!$A$88,'Données projet'!$B$88,BD89+BC90-BL89)))</f>
        <v>169.6666666666666</v>
      </c>
      <c r="BE90" s="13">
        <f>BD90*VLOOKUP('Données projet'!$B$11,Paramètres!$A$1:$I$89,3,0)*VLOOKUP('Données projet'!$B$11,Paramètres!$A$1:$I$89,5,0)</f>
        <v>172.04199999999994</v>
      </c>
      <c r="BF90" s="13">
        <f t="shared" si="91"/>
        <v>43.547045357534792</v>
      </c>
      <c r="BG90" s="20">
        <f t="shared" si="61"/>
        <v>375.48425399770628</v>
      </c>
      <c r="BH90" s="59">
        <f t="shared" si="62"/>
        <v>668.81758733103959</v>
      </c>
      <c r="BI90" s="59">
        <f ca="1">AVERAGE(OFFSET($BH$3,0,0,'Données projet'!$E$11+1,1))-AVERAGE(OFFSET($H$3,0,0,'Données projet'!$E$11+1,1))</f>
        <v>179.53921263314447</v>
      </c>
      <c r="BJ90" s="59">
        <f t="shared" si="92"/>
        <v>120.81513023281337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26.08215495930402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26.08215495930402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28.607825931641504</v>
      </c>
      <c r="BY90" s="12">
        <f>IF('Données projet'!$A$114&gt;35,BY89+BX90-CG89,IF(A90&lt;'Données projet'!$A$114,$BV$205^A90,IF(A90='Données projet'!$A$114,'Données projet'!$B$114,BY89+BX90-CG89)))</f>
        <v>878.5228799439875</v>
      </c>
      <c r="BZ90" s="13">
        <f>BY90*VLOOKUP('Données projet'!$B$12,Paramètres!$A$1:$I$89,3,0)*VLOOKUP('Données projet'!$B$12,Paramètres!$A$1:$I$89,5,0)</f>
        <v>411.14870781378613</v>
      </c>
      <c r="CA90" s="13">
        <f t="shared" si="93"/>
        <v>94.033265711554762</v>
      </c>
      <c r="CB90" s="20">
        <f t="shared" si="64"/>
        <v>879.85860388996878</v>
      </c>
      <c r="CC90" s="59">
        <f t="shared" si="65"/>
        <v>1173.1919372233021</v>
      </c>
      <c r="CD90" s="59">
        <f ca="1">AVERAGE(OFFSET($CC$3,0,0,'Données projet'!$E$12+1,1))-AVERAGE(OFFSET($H$3,0,0,'Données projet'!$E$12+1,1))</f>
        <v>310.06530483941287</v>
      </c>
      <c r="CE90" s="59">
        <f t="shared" si="94"/>
        <v>170.13425794309376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75.225039735420282</v>
      </c>
      <c r="CL90" s="21">
        <f>EXP(-LN(2)/25)*CL89+(1-EXP(-LN(2)/25))/(LN(2)/25)*Calculateur!CG90*Calculateur!CI90*VLOOKUP('Données projet'!$B$12,Paramètres!$A$1:$I$89,3,0)*0.475*44/12</f>
        <v>16.326029949681541</v>
      </c>
      <c r="CM90" s="21">
        <f>EXP(-LN(2)/2)*CM89+(1-EXP(-LN(2)/2))/(LN(2)/2)*CG90*CJ90*VLOOKUP('Données projet'!$B$12,Paramètres!$A$1:$I$89,3,0)*0.475*44/12</f>
        <v>0.86066036789020883</v>
      </c>
      <c r="CN90" s="22">
        <f t="shared" si="66"/>
        <v>92.411730052992027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>
        <f>CT90*VLOOKUP('Données projet'!$B$13,Paramètres!$A$1:$I$89,3,0)*VLOOKUP('Données projet'!$B$13,Paramètres!$A$1:$I$89,5,0)</f>
        <v>0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168.08890945052406</v>
      </c>
      <c r="CZ90" s="59">
        <f t="shared" si="96"/>
        <v>182.52462557642343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66.432409132423786</v>
      </c>
      <c r="DG90" s="21">
        <f>EXP(-LN(2)/25)*DG89+(1-EXP(-LN(2)/25))/(LN(2)/25)*Calculateur!DB90*Calculateur!DD90*VLOOKUP('Données projet'!$B$13,Paramètres!$A$1:$I$89,3,0)*0.475*44/12</f>
        <v>13.505350305903814</v>
      </c>
      <c r="DH90" s="21">
        <f>EXP(-LN(2)/2)*DH89+(1-EXP(-LN(2)/2))/(LN(2)/2)*DB90*DE90*VLOOKUP('Données projet'!$B$13,Paramètres!$A$1:$I$89,3,0)*0.475*44/12</f>
        <v>4.893075353100235E-3</v>
      </c>
      <c r="DI90" s="22">
        <f t="shared" si="69"/>
        <v>79.942652513680699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-2.2737367544323206E-13</v>
      </c>
      <c r="DP90" s="17">
        <f>DO90*VLOOKUP('Données projet'!$B$14,Paramètres!$A$1:$I$89,3,0)*VLOOKUP('Données projet'!$B$14,Paramètres!$A$1:$I$89,5,0)</f>
        <v>-1.2710188457276673E-13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355.23615781077405</v>
      </c>
      <c r="DU90" s="59">
        <f t="shared" si="98"/>
        <v>448.84541017639367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151.60498360624959</v>
      </c>
      <c r="EB90" s="21">
        <f>EXP(-LN(2)/25)*EB89+(1-EXP(-LN(2)/25))/(LN(2)/25)*Calculateur!DW90*Calculateur!DY90*VLOOKUP('Données projet'!$B$14,Paramètres!$A$1:$I$89,3,0)*0.475*44/12</f>
        <v>30.474591589666968</v>
      </c>
      <c r="EC90" s="21">
        <f>EXP(-LN(2)/2)*EC89+(1-EXP(-LN(2)/2))/(LN(2)/2)*DW90*DZ90*VLOOKUP('Données projet'!$B$14,Paramètres!$A$1:$I$89,3,0)*0.475*44/12</f>
        <v>4.8614325240132136E-3</v>
      </c>
      <c r="ED90" s="22">
        <f t="shared" si="72"/>
        <v>182.08443662844059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3.8222222222222246</v>
      </c>
      <c r="EJ90" s="12">
        <f>IF('Données projet'!$A$192&gt;35,EJ89+EI90-ER89,IF(A90&lt;'Données projet'!$A$192,$EG$205^A90,IF(A90='Données projet'!$A$192,'Données projet'!$B$192,EJ89+EI90-ER89)))</f>
        <v>135.73333333333323</v>
      </c>
      <c r="EK90" s="17">
        <f>EJ90*VLOOKUP('Données projet'!$B$15,Paramètres!$A$1:$I$89,3,0)*VLOOKUP('Données projet'!$B$15,Paramètres!$A$1:$I$89,5,0)</f>
        <v>146.10335999999987</v>
      </c>
      <c r="EL90" s="13">
        <f t="shared" si="99"/>
        <v>37.691708252265045</v>
      </c>
      <c r="EM90" s="20">
        <f t="shared" si="73"/>
        <v>320.10974387269471</v>
      </c>
      <c r="EN90" s="59">
        <f t="shared" si="74"/>
        <v>613.44307720602797</v>
      </c>
      <c r="EO90" s="59">
        <f ca="1">AVERAGE(OFFSET($EN$3,0,0,'Données projet'!$E$15+1,1))-AVERAGE(OFFSET($H$3,0,0,'Données projet'!$E$15+1,1))</f>
        <v>130.76477588601989</v>
      </c>
      <c r="EP90" s="59">
        <f t="shared" si="100"/>
        <v>94.034011511502172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22.149768519285875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22.149768519285875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-2.2737367544323206E-13</v>
      </c>
      <c r="FF90" s="17">
        <f>FE90*VLOOKUP('Données projet'!$B$16,Paramètres!$A$1:$I$89,3,0)*VLOOKUP('Données projet'!$B$16,Paramètres!$A$1:$I$89,5,0)</f>
        <v>-1.0345502232667058E-13</v>
      </c>
      <c r="FG90" s="13" t="e">
        <f t="shared" si="101"/>
        <v>#NUM!</v>
      </c>
      <c r="FH90" s="20" t="e">
        <f t="shared" si="76"/>
        <v>#NUM!</v>
      </c>
      <c r="FI90" s="59" t="e">
        <f t="shared" si="77"/>
        <v>#NUM!</v>
      </c>
      <c r="FJ90" s="59">
        <f ca="1">AVERAGE(OFFSET($FI$3,0,0,'Données projet'!$E$16+1,1))-AVERAGE(OFFSET($H$3,0,0,'Données projet'!$E$16+1,1))</f>
        <v>279.43442619866738</v>
      </c>
      <c r="FK90" s="59">
        <f t="shared" si="102"/>
        <v>355.95192241448217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123.39940526090079</v>
      </c>
      <c r="FR90" s="21">
        <f>EXP(-LN(2)/25)*FR89+(1-EXP(-LN(2)/25))/(LN(2)/25)*Calculateur!FM90*Calculateur!FO90*VLOOKUP('Données projet'!$B$16,Paramètres!$A$1:$I$89,3,0)*0.475*44/12</f>
        <v>24.804900131124288</v>
      </c>
      <c r="FS90" s="21">
        <f>EXP(-LN(2)/2)*FS89+(1-EXP(-LN(2)/2))/(LN(2)/2)*FM90*FP90*VLOOKUP('Données projet'!$B$16,Paramètres!$A$1:$I$89,3,0)*0.475*44/12</f>
        <v>3.9569799614061043E-3</v>
      </c>
      <c r="FT90" s="22">
        <f t="shared" si="78"/>
        <v>148.20826237198648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-6.7984728957526396E-14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227.89848316900191</v>
      </c>
      <c r="T91" s="59">
        <f t="shared" si="88"/>
        <v>239.85955661394541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82.309343339230239</v>
      </c>
      <c r="AA91" s="21">
        <f>EXP(-LN(2)/25)*AA90+(1-EXP(-LN(2)/25))/(LN(2)/25)*Calculateur!V91*Calculateur!X91*VLOOKUP('Données projet'!$B$9,Paramètres!$A$1:$I$89,3,0)*0.475*44/12</f>
        <v>15.891926854532571</v>
      </c>
      <c r="AB91" s="21">
        <f>EXP(-LN(2)/2)*AB90+(1-EXP(-LN(2)/2))/(LN(2)/2)*V91*Y91*VLOOKUP('Données projet'!$B$9,Paramètres!$A$1:$I$89,3,0)*0.475*44/12</f>
        <v>4.4748608798723831E-3</v>
      </c>
      <c r="AC91" s="22">
        <f t="shared" si="57"/>
        <v>98.205745054642676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6.1</v>
      </c>
      <c r="AI91" s="13">
        <f>IF('Données projet'!$A$62&gt;35,AI90+AH91-AQ90,IF(A91&lt;'Données projet'!$A$62,$AF$205^A91,IF(A91='Données projet'!$A$62,'Données projet'!$B$62,AI90+AH91-AQ90)))</f>
        <v>210.10000000000028</v>
      </c>
      <c r="AJ91" s="13">
        <f>AI91*VLOOKUP('Données projet'!$B$10,Paramètres!$A$1:$I$89,3,0)*VLOOKUP('Données projet'!$B$10,Paramètres!$A$1:$I$89,5,0)</f>
        <v>190.09848000000022</v>
      </c>
      <c r="AK91" s="13">
        <f t="shared" si="89"/>
        <v>47.561724724324982</v>
      </c>
      <c r="AL91" s="20">
        <f t="shared" si="58"/>
        <v>413.92485656153303</v>
      </c>
      <c r="AM91" s="59">
        <f t="shared" si="59"/>
        <v>707.25818989486629</v>
      </c>
      <c r="AN91" s="59">
        <f ca="1">AVERAGE(OFFSET($AM$3,0,0,'Données projet'!$E$10+1,1))-AVERAGE(OFFSET($H$3,0,0,'Données projet'!$E$10+1,1))</f>
        <v>215.7418266360167</v>
      </c>
      <c r="AO91" s="59">
        <f t="shared" si="90"/>
        <v>155.78420008229949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48.121599432730243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48.121599432730243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4.7777777777777777</v>
      </c>
      <c r="BD91" s="12">
        <f>IF('Données projet'!$A$88&gt;35,BD90+BC91-BL90,IF(A91&lt;'Données projet'!$A$88,$BA$205^A91,IF(A91='Données projet'!$A$88,'Données projet'!$B$88,BD90+BC91-BL90)))</f>
        <v>174.44444444444437</v>
      </c>
      <c r="BE91" s="13">
        <f>BD91*VLOOKUP('Données projet'!$B$11,Paramètres!$A$1:$I$89,3,0)*VLOOKUP('Données projet'!$B$11,Paramètres!$A$1:$I$89,5,0)</f>
        <v>176.8866666666666</v>
      </c>
      <c r="BF91" s="13">
        <f t="shared" si="91"/>
        <v>44.628825068553596</v>
      </c>
      <c r="BG91" s="20">
        <f t="shared" si="61"/>
        <v>385.8061481055085</v>
      </c>
      <c r="BH91" s="59">
        <f t="shared" si="62"/>
        <v>679.13948143884181</v>
      </c>
      <c r="BI91" s="59">
        <f ca="1">AVERAGE(OFFSET($BH$3,0,0,'Données projet'!$E$11+1,1))-AVERAGE(OFFSET($H$3,0,0,'Données projet'!$E$11+1,1))</f>
        <v>179.53921263314447</v>
      </c>
      <c r="BJ91" s="59">
        <f t="shared" si="92"/>
        <v>120.81513023281337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25.570699809095757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25.570699809095757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28.607825931641504</v>
      </c>
      <c r="BY91" s="12">
        <f>IF('Données projet'!$A$114&gt;35,BY90+BX91-CG90,IF(A91&lt;'Données projet'!$A$114,$BV$205^A91,IF(A91='Données projet'!$A$114,'Données projet'!$B$114,BY90+BX91-CG90)))</f>
        <v>907.13070587562902</v>
      </c>
      <c r="BZ91" s="13">
        <f>BY91*VLOOKUP('Données projet'!$B$12,Paramètres!$A$1:$I$89,3,0)*VLOOKUP('Données projet'!$B$12,Paramètres!$A$1:$I$89,5,0)</f>
        <v>424.53717034979439</v>
      </c>
      <c r="CA91" s="13">
        <f t="shared" si="93"/>
        <v>96.733832815299067</v>
      </c>
      <c r="CB91" s="20">
        <f t="shared" si="64"/>
        <v>907.88033051253763</v>
      </c>
      <c r="CC91" s="59">
        <f t="shared" si="65"/>
        <v>1201.213663845871</v>
      </c>
      <c r="CD91" s="59">
        <f ca="1">AVERAGE(OFFSET($CC$3,0,0,'Données projet'!$E$12+1,1))-AVERAGE(OFFSET($H$3,0,0,'Données projet'!$E$12+1,1))</f>
        <v>310.06530483941287</v>
      </c>
      <c r="CE91" s="59">
        <f t="shared" si="94"/>
        <v>170.13425794309376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73.749922588952387</v>
      </c>
      <c r="CL91" s="21">
        <f>EXP(-LN(2)/25)*CL90+(1-EXP(-LN(2)/25))/(LN(2)/25)*Calculateur!CG91*Calculateur!CI91*VLOOKUP('Données projet'!$B$12,Paramètres!$A$1:$I$89,3,0)*0.475*44/12</f>
        <v>15.879593802158897</v>
      </c>
      <c r="CM91" s="21">
        <f>EXP(-LN(2)/2)*CM90+(1-EXP(-LN(2)/2))/(LN(2)/2)*CG91*CJ91*VLOOKUP('Données projet'!$B$12,Paramètres!$A$1:$I$89,3,0)*0.475*44/12</f>
        <v>0.60857878243367547</v>
      </c>
      <c r="CN91" s="22">
        <f t="shared" si="66"/>
        <v>90.238095173544963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>
        <f>CT91*VLOOKUP('Données projet'!$B$13,Paramètres!$A$1:$I$89,3,0)*VLOOKUP('Données projet'!$B$13,Paramètres!$A$1:$I$89,5,0)</f>
        <v>0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168.08890945052406</v>
      </c>
      <c r="CZ91" s="59">
        <f t="shared" si="96"/>
        <v>182.52462557642343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65.129710109105531</v>
      </c>
      <c r="DG91" s="21">
        <f>EXP(-LN(2)/25)*DG90+(1-EXP(-LN(2)/25))/(LN(2)/25)*Calculateur!DB91*Calculateur!DD91*VLOOKUP('Données projet'!$B$13,Paramètres!$A$1:$I$89,3,0)*0.475*44/12</f>
        <v>13.136045791573368</v>
      </c>
      <c r="DH91" s="21">
        <f>EXP(-LN(2)/2)*DH90+(1-EXP(-LN(2)/2))/(LN(2)/2)*DB91*DE91*VLOOKUP('Données projet'!$B$13,Paramètres!$A$1:$I$89,3,0)*0.475*44/12</f>
        <v>3.4599267630339367E-3</v>
      </c>
      <c r="DI91" s="22">
        <f t="shared" si="69"/>
        <v>78.269215827441926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-2.2737367544323206E-13</v>
      </c>
      <c r="DP91" s="17">
        <f>DO91*VLOOKUP('Données projet'!$B$14,Paramètres!$A$1:$I$89,3,0)*VLOOKUP('Données projet'!$B$14,Paramètres!$A$1:$I$89,5,0)</f>
        <v>-1.2710188457276673E-13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355.23615781077405</v>
      </c>
      <c r="DU91" s="59">
        <f t="shared" si="98"/>
        <v>448.84541017639367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148.6321023476404</v>
      </c>
      <c r="EB91" s="21">
        <f>EXP(-LN(2)/25)*EB90+(1-EXP(-LN(2)/25))/(LN(2)/25)*Calculateur!DW91*Calculateur!DY91*VLOOKUP('Données projet'!$B$14,Paramètres!$A$1:$I$89,3,0)*0.475*44/12</f>
        <v>29.641262280058402</v>
      </c>
      <c r="EC91" s="21">
        <f>EXP(-LN(2)/2)*EC90+(1-EXP(-LN(2)/2))/(LN(2)/2)*DW91*DZ91*VLOOKUP('Données projet'!$B$14,Paramètres!$A$1:$I$89,3,0)*0.475*44/12</f>
        <v>3.437551904010577E-3</v>
      </c>
      <c r="ED91" s="22">
        <f t="shared" si="72"/>
        <v>178.27680217960281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3.8222222222222246</v>
      </c>
      <c r="EJ91" s="12">
        <f>IF('Données projet'!$A$192&gt;35,EJ90+EI91-ER90,IF(A91&lt;'Données projet'!$A$192,$EG$205^A91,IF(A91='Données projet'!$A$192,'Données projet'!$B$192,EJ90+EI91-ER90)))</f>
        <v>139.55555555555546</v>
      </c>
      <c r="EK91" s="17">
        <f>EJ91*VLOOKUP('Données projet'!$B$15,Paramètres!$A$1:$I$89,3,0)*VLOOKUP('Données projet'!$B$15,Paramètres!$A$1:$I$89,5,0)</f>
        <v>150.21759999999989</v>
      </c>
      <c r="EL91" s="13">
        <f t="shared" si="99"/>
        <v>38.628031828897477</v>
      </c>
      <c r="EM91" s="20">
        <f t="shared" si="73"/>
        <v>328.90614210199624</v>
      </c>
      <c r="EN91" s="59">
        <f t="shared" si="74"/>
        <v>622.2394754353295</v>
      </c>
      <c r="EO91" s="59">
        <f ca="1">AVERAGE(OFFSET($EN$3,0,0,'Données projet'!$E$15+1,1))-AVERAGE(OFFSET($H$3,0,0,'Données projet'!$E$15+1,1))</f>
        <v>130.76477588601989</v>
      </c>
      <c r="EP91" s="59">
        <f t="shared" si="100"/>
        <v>94.034011511502172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21.71542506864747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21.71542506864747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-2.2737367544323206E-13</v>
      </c>
      <c r="FF91" s="17">
        <f>FE91*VLOOKUP('Données projet'!$B$16,Paramètres!$A$1:$I$89,3,0)*VLOOKUP('Données projet'!$B$16,Paramètres!$A$1:$I$89,5,0)</f>
        <v>-1.0345502232667058E-13</v>
      </c>
      <c r="FG91" s="13" t="e">
        <f t="shared" si="101"/>
        <v>#NUM!</v>
      </c>
      <c r="FH91" s="20" t="e">
        <f t="shared" si="76"/>
        <v>#NUM!</v>
      </c>
      <c r="FI91" s="59" t="e">
        <f t="shared" si="77"/>
        <v>#NUM!</v>
      </c>
      <c r="FJ91" s="59">
        <f ca="1">AVERAGE(OFFSET($FI$3,0,0,'Données projet'!$E$16+1,1))-AVERAGE(OFFSET($H$3,0,0,'Données projet'!$E$16+1,1))</f>
        <v>279.43442619866738</v>
      </c>
      <c r="FK91" s="59">
        <f t="shared" si="102"/>
        <v>355.95192241448217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120.97961818993981</v>
      </c>
      <c r="FR91" s="21">
        <f>EXP(-LN(2)/25)*FR90+(1-EXP(-LN(2)/25))/(LN(2)/25)*Calculateur!FM91*Calculateur!FO91*VLOOKUP('Données projet'!$B$16,Paramètres!$A$1:$I$89,3,0)*0.475*44/12</f>
        <v>24.12660883260569</v>
      </c>
      <c r="FS91" s="21">
        <f>EXP(-LN(2)/2)*FS90+(1-EXP(-LN(2)/2))/(LN(2)/2)*FM91*FP91*VLOOKUP('Données projet'!$B$16,Paramètres!$A$1:$I$89,3,0)*0.475*44/12</f>
        <v>2.7980073637295395E-3</v>
      </c>
      <c r="FT91" s="22">
        <f t="shared" si="78"/>
        <v>145.10902502990925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-6.7984728957526396E-14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227.89848316900191</v>
      </c>
      <c r="T92" s="59">
        <f t="shared" si="88"/>
        <v>239.85955661394541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80.695307320090166</v>
      </c>
      <c r="AA92" s="21">
        <f>EXP(-LN(2)/25)*AA91+(1-EXP(-LN(2)/25))/(LN(2)/25)*Calculateur!V92*Calculateur!X92*VLOOKUP('Données projet'!$B$9,Paramètres!$A$1:$I$89,3,0)*0.475*44/12</f>
        <v>15.457361278975267</v>
      </c>
      <c r="AB92" s="21">
        <f>EXP(-LN(2)/2)*AB91+(1-EXP(-LN(2)/2))/(LN(2)/2)*V92*Y92*VLOOKUP('Données projet'!$B$9,Paramètres!$A$1:$I$89,3,0)*0.475*44/12</f>
        <v>3.1642044730241627E-3</v>
      </c>
      <c r="AC92" s="22">
        <f t="shared" si="57"/>
        <v>96.155832803538459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6.1</v>
      </c>
      <c r="AI92" s="13">
        <f>IF('Données projet'!$A$62&gt;35,AI91+AH92-AQ91,IF(A92&lt;'Données projet'!$A$62,$AF$205^A92,IF(A92='Données projet'!$A$62,'Données projet'!$B$62,AI91+AH92-AQ91)))</f>
        <v>216.20000000000027</v>
      </c>
      <c r="AJ92" s="13">
        <f>AI92*VLOOKUP('Données projet'!$B$10,Paramètres!$A$1:$I$89,3,0)*VLOOKUP('Données projet'!$B$10,Paramètres!$A$1:$I$89,5,0)</f>
        <v>195.61776000000023</v>
      </c>
      <c r="AK92" s="13">
        <f t="shared" si="89"/>
        <v>48.779845723631247</v>
      </c>
      <c r="AL92" s="20">
        <f t="shared" si="58"/>
        <v>425.65916330199144</v>
      </c>
      <c r="AM92" s="59">
        <f t="shared" si="59"/>
        <v>718.99249663532476</v>
      </c>
      <c r="AN92" s="59">
        <f ca="1">AVERAGE(OFFSET($AM$3,0,0,'Données projet'!$E$10+1,1))-AVERAGE(OFFSET($H$3,0,0,'Données projet'!$E$10+1,1))</f>
        <v>215.7418266360167</v>
      </c>
      <c r="AO92" s="59">
        <f t="shared" si="90"/>
        <v>155.78420008229949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47.177964219131859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47.177964219131859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4.7777777777777777</v>
      </c>
      <c r="BD92" s="12">
        <f>IF('Données projet'!$A$88&gt;35,BD91+BC92-BL91,IF(A92&lt;'Données projet'!$A$88,$BA$205^A92,IF(A92='Données projet'!$A$88,'Données projet'!$B$88,BD91+BC92-BL91)))</f>
        <v>179.22222222222214</v>
      </c>
      <c r="BE92" s="13">
        <f>BD92*VLOOKUP('Données projet'!$B$11,Paramètres!$A$1:$I$89,3,0)*VLOOKUP('Données projet'!$B$11,Paramètres!$A$1:$I$89,5,0)</f>
        <v>181.73133333333325</v>
      </c>
      <c r="BF92" s="13">
        <f t="shared" si="91"/>
        <v>45.707161074839675</v>
      </c>
      <c r="BG92" s="20">
        <f t="shared" si="61"/>
        <v>396.1220444275678</v>
      </c>
      <c r="BH92" s="59">
        <f t="shared" si="62"/>
        <v>689.45537776090111</v>
      </c>
      <c r="BI92" s="59">
        <f ca="1">AVERAGE(OFFSET($BH$3,0,0,'Données projet'!$E$11+1,1))-AVERAGE(OFFSET($H$3,0,0,'Données projet'!$E$11+1,1))</f>
        <v>179.53921263314447</v>
      </c>
      <c r="BJ92" s="59">
        <f t="shared" si="92"/>
        <v>120.81513023281337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25.069273982426239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25.069273982426239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28.607825931641504</v>
      </c>
      <c r="BY92" s="12">
        <f>IF('Données projet'!$A$114&gt;35,BY91+BX92-CG91,IF(A92&lt;'Données projet'!$A$114,$BV$205^A92,IF(A92='Données projet'!$A$114,'Données projet'!$B$114,BY91+BX92-CG91)))</f>
        <v>935.73853180727053</v>
      </c>
      <c r="BZ92" s="13">
        <f>BY92*VLOOKUP('Données projet'!$B$12,Paramètres!$A$1:$I$89,3,0)*VLOOKUP('Données projet'!$B$12,Paramètres!$A$1:$I$89,5,0)</f>
        <v>437.9256328858026</v>
      </c>
      <c r="CA92" s="13">
        <f t="shared" si="93"/>
        <v>99.424502951862038</v>
      </c>
      <c r="CB92" s="20">
        <f t="shared" si="64"/>
        <v>935.88481991726587</v>
      </c>
      <c r="CC92" s="59">
        <f t="shared" si="65"/>
        <v>1229.2181532505992</v>
      </c>
      <c r="CD92" s="59">
        <f ca="1">AVERAGE(OFFSET($CC$3,0,0,'Données projet'!$E$12+1,1))-AVERAGE(OFFSET($H$3,0,0,'Données projet'!$E$12+1,1))</f>
        <v>310.06530483941287</v>
      </c>
      <c r="CE92" s="59">
        <f t="shared" si="94"/>
        <v>170.13425794309376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72.303731589994101</v>
      </c>
      <c r="CL92" s="21">
        <f>EXP(-LN(2)/25)*CL91+(1-EXP(-LN(2)/25))/(LN(2)/25)*Calculateur!CG92*Calculateur!CI92*VLOOKUP('Données projet'!$B$12,Paramètres!$A$1:$I$89,3,0)*0.475*44/12</f>
        <v>15.445365474567318</v>
      </c>
      <c r="CM92" s="21">
        <f>EXP(-LN(2)/2)*CM91+(1-EXP(-LN(2)/2))/(LN(2)/2)*CG92*CJ92*VLOOKUP('Données projet'!$B$12,Paramètres!$A$1:$I$89,3,0)*0.475*44/12</f>
        <v>0.43033018394510453</v>
      </c>
      <c r="CN92" s="22">
        <f t="shared" si="66"/>
        <v>88.179427248506528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>
        <f>CT92*VLOOKUP('Données projet'!$B$13,Paramètres!$A$1:$I$89,3,0)*VLOOKUP('Données projet'!$B$13,Paramètres!$A$1:$I$89,5,0)</f>
        <v>0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168.08890945052406</v>
      </c>
      <c r="CZ92" s="59">
        <f t="shared" si="96"/>
        <v>182.52462557642343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63.852556219066599</v>
      </c>
      <c r="DG92" s="21">
        <f>EXP(-LN(2)/25)*DG91+(1-EXP(-LN(2)/25))/(LN(2)/25)*Calculateur!DB92*Calculateur!DD92*VLOOKUP('Données projet'!$B$13,Paramètres!$A$1:$I$89,3,0)*0.475*44/12</f>
        <v>12.776839928608169</v>
      </c>
      <c r="DH92" s="21">
        <f>EXP(-LN(2)/2)*DH91+(1-EXP(-LN(2)/2))/(LN(2)/2)*DB92*DE92*VLOOKUP('Données projet'!$B$13,Paramètres!$A$1:$I$89,3,0)*0.475*44/12</f>
        <v>2.4465376765501175E-3</v>
      </c>
      <c r="DI92" s="22">
        <f t="shared" si="69"/>
        <v>76.631842685351316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-2.2737367544323206E-13</v>
      </c>
      <c r="DP92" s="17">
        <f>DO92*VLOOKUP('Données projet'!$B$14,Paramètres!$A$1:$I$89,3,0)*VLOOKUP('Données projet'!$B$14,Paramètres!$A$1:$I$89,5,0)</f>
        <v>-1.2710188457276673E-13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355.23615781077405</v>
      </c>
      <c r="DU92" s="59">
        <f t="shared" si="98"/>
        <v>448.84541017639367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145.717517477234</v>
      </c>
      <c r="EB92" s="21">
        <f>EXP(-LN(2)/25)*EB91+(1-EXP(-LN(2)/25))/(LN(2)/25)*Calculateur!DW92*Calculateur!DY92*VLOOKUP('Données projet'!$B$14,Paramètres!$A$1:$I$89,3,0)*0.475*44/12</f>
        <v>28.830720404243969</v>
      </c>
      <c r="EC92" s="21">
        <f>EXP(-LN(2)/2)*EC91+(1-EXP(-LN(2)/2))/(LN(2)/2)*DW92*DZ92*VLOOKUP('Données projet'!$B$14,Paramètres!$A$1:$I$89,3,0)*0.475*44/12</f>
        <v>2.4307162620066068E-3</v>
      </c>
      <c r="ED92" s="22">
        <f t="shared" si="72"/>
        <v>174.55066859773999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3.8222222222222246</v>
      </c>
      <c r="EJ92" s="12">
        <f>IF('Données projet'!$A$192&gt;35,EJ91+EI92-ER91,IF(A92&lt;'Données projet'!$A$192,$EG$205^A92,IF(A92='Données projet'!$A$192,'Données projet'!$B$192,EJ91+EI92-ER91)))</f>
        <v>143.37777777777768</v>
      </c>
      <c r="EK92" s="17">
        <f>EJ92*VLOOKUP('Données projet'!$B$15,Paramètres!$A$1:$I$89,3,0)*VLOOKUP('Données projet'!$B$15,Paramètres!$A$1:$I$89,5,0)</f>
        <v>154.33183999999989</v>
      </c>
      <c r="EL92" s="13">
        <f t="shared" si="99"/>
        <v>39.561374741445157</v>
      </c>
      <c r="EM92" s="20">
        <f t="shared" si="73"/>
        <v>337.69734900801672</v>
      </c>
      <c r="EN92" s="59">
        <f t="shared" si="74"/>
        <v>631.03068234135003</v>
      </c>
      <c r="EO92" s="59">
        <f ca="1">AVERAGE(OFFSET($EN$3,0,0,'Données projet'!$E$15+1,1))-AVERAGE(OFFSET($H$3,0,0,'Données projet'!$E$15+1,1))</f>
        <v>130.76477588601989</v>
      </c>
      <c r="EP92" s="59">
        <f t="shared" si="100"/>
        <v>94.034011511502172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21.289598828152741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21.289598828152741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-2.2737367544323206E-13</v>
      </c>
      <c r="FF92" s="17">
        <f>FE92*VLOOKUP('Données projet'!$B$16,Paramètres!$A$1:$I$89,3,0)*VLOOKUP('Données projet'!$B$16,Paramètres!$A$1:$I$89,5,0)</f>
        <v>-1.0345502232667058E-13</v>
      </c>
      <c r="FG92" s="13" t="e">
        <f t="shared" si="101"/>
        <v>#NUM!</v>
      </c>
      <c r="FH92" s="20" t="e">
        <f t="shared" si="76"/>
        <v>#NUM!</v>
      </c>
      <c r="FI92" s="59" t="e">
        <f t="shared" si="77"/>
        <v>#NUM!</v>
      </c>
      <c r="FJ92" s="59">
        <f ca="1">AVERAGE(OFFSET($FI$3,0,0,'Données projet'!$E$16+1,1))-AVERAGE(OFFSET($H$3,0,0,'Données projet'!$E$16+1,1))</f>
        <v>279.43442619866738</v>
      </c>
      <c r="FK92" s="59">
        <f t="shared" si="102"/>
        <v>355.95192241448217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118.60728166751601</v>
      </c>
      <c r="FR92" s="21">
        <f>EXP(-LN(2)/25)*FR91+(1-EXP(-LN(2)/25))/(LN(2)/25)*Calculateur!FM92*Calculateur!FO92*VLOOKUP('Données projet'!$B$16,Paramètres!$A$1:$I$89,3,0)*0.475*44/12</f>
        <v>23.46686544531487</v>
      </c>
      <c r="FS92" s="21">
        <f>EXP(-LN(2)/2)*FS91+(1-EXP(-LN(2)/2))/(LN(2)/2)*FM92*FP92*VLOOKUP('Données projet'!$B$16,Paramètres!$A$1:$I$89,3,0)*0.475*44/12</f>
        <v>1.9784899807030521E-3</v>
      </c>
      <c r="FT92" s="22">
        <f t="shared" si="78"/>
        <v>142.07612560281157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-6.7984728957526396E-14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227.89848316900191</v>
      </c>
      <c r="T93" s="59">
        <f t="shared" si="88"/>
        <v>239.85955661394541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79.112921562820659</v>
      </c>
      <c r="AA93" s="21">
        <f>EXP(-LN(2)/25)*AA92+(1-EXP(-LN(2)/25))/(LN(2)/25)*Calculateur!V93*Calculateur!X93*VLOOKUP('Données projet'!$B$9,Paramètres!$A$1:$I$89,3,0)*0.475*44/12</f>
        <v>15.034678921934386</v>
      </c>
      <c r="AB93" s="21">
        <f>EXP(-LN(2)/2)*AB92+(1-EXP(-LN(2)/2))/(LN(2)/2)*V93*Y93*VLOOKUP('Données projet'!$B$9,Paramètres!$A$1:$I$89,3,0)*0.475*44/12</f>
        <v>2.2374304399361915E-3</v>
      </c>
      <c r="AC93" s="22">
        <f t="shared" si="57"/>
        <v>94.149837915194979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6.1</v>
      </c>
      <c r="AI93" s="13">
        <f>IF('Données projet'!$A$62&gt;35,AI92+AH93-AQ92,IF(A93&lt;'Données projet'!$A$62,$AF$205^A93,IF(A93='Données projet'!$A$62,'Données projet'!$B$62,AI92+AH93-AQ92)))</f>
        <v>222.30000000000027</v>
      </c>
      <c r="AJ93" s="13">
        <f>AI93*VLOOKUP('Données projet'!$B$10,Paramètres!$A$1:$I$89,3,0)*VLOOKUP('Données projet'!$B$10,Paramètres!$A$1:$I$89,5,0)</f>
        <v>201.13704000000021</v>
      </c>
      <c r="AK93" s="13">
        <f t="shared" si="89"/>
        <v>49.993972194745183</v>
      </c>
      <c r="AL93" s="20">
        <f t="shared" si="58"/>
        <v>437.38651290584818</v>
      </c>
      <c r="AM93" s="59">
        <f t="shared" si="59"/>
        <v>730.71984623918149</v>
      </c>
      <c r="AN93" s="59">
        <f ca="1">AVERAGE(OFFSET($AM$3,0,0,'Données projet'!$E$10+1,1))-AVERAGE(OFFSET($H$3,0,0,'Données projet'!$E$10+1,1))</f>
        <v>215.7418266360167</v>
      </c>
      <c r="AO93" s="59">
        <f t="shared" si="90"/>
        <v>155.78420008229949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46.252833116511489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46.252833116511489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184</v>
      </c>
      <c r="BB93" s="12">
        <f>VLOOKUP(A93,'Données projet'!$A$87:$I$107,9,0)</f>
        <v>4.7777777777777777</v>
      </c>
      <c r="BC93" s="12">
        <f t="array" ref="BC93">INDEX(BB:BB,MIN(IF(ISNUMBER(BB93:BB289),ROW(BB93:BB289),"")))</f>
        <v>4.7777777777777777</v>
      </c>
      <c r="BD93" s="12">
        <f>IF('Données projet'!$A$88&gt;35,BD92+BC93-BL92,IF(A93&lt;'Données projet'!$A$88,$BA$205^A93,IF(A93='Données projet'!$A$88,'Données projet'!$B$88,BD92+BC93-BL92)))</f>
        <v>183.99999999999991</v>
      </c>
      <c r="BE93" s="13">
        <f>BD93*VLOOKUP('Données projet'!$B$11,Paramètres!$A$1:$I$89,3,0)*VLOOKUP('Données projet'!$B$11,Paramètres!$A$1:$I$89,5,0)</f>
        <v>186.57599999999994</v>
      </c>
      <c r="BF93" s="13">
        <f t="shared" si="91"/>
        <v>46.782155731694274</v>
      </c>
      <c r="BG93" s="20">
        <f t="shared" si="61"/>
        <v>406.43212123270069</v>
      </c>
      <c r="BH93" s="59">
        <f t="shared" si="62"/>
        <v>699.76545456603401</v>
      </c>
      <c r="BI93" s="59">
        <f ca="1">AVERAGE(OFFSET($BH$3,0,0,'Données projet'!$E$11+1,1))-AVERAGE(OFFSET($H$3,0,0,'Données projet'!$E$11+1,1))</f>
        <v>179.53921263314447</v>
      </c>
      <c r="BJ93" s="59">
        <f t="shared" si="92"/>
        <v>120.81513023281337</v>
      </c>
      <c r="BK93" s="15">
        <f>IF(ISNA(VLOOKUP(A93,'Données projet'!$A$87:$I$107,3,0)),0,VLOOKUP(A93,'Données projet'!$A$87:$I$107,3,0))</f>
        <v>7</v>
      </c>
      <c r="BL93" s="15">
        <f>IF(ISNA(VLOOKUP(A93,'Données projet'!$A$87:$I$107,4,0)),0,VLOOKUP(A93,'Données projet'!$A$87:$I$107,4,0))</f>
        <v>30</v>
      </c>
      <c r="BM93" s="16">
        <f>IF(ISNA(VLOOKUP(A93,'Données projet'!$A$87:$I$107,5,0)),0%,VLOOKUP(A93,'Données projet'!$A$87:$I$107,5,0)*VLOOKUP('Données projet'!$B$11,Paramètres!$A$1:$I$89,7,0))</f>
        <v>0.30099999999999999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34.699831902941249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34.699831902941249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964.34635773891171</v>
      </c>
      <c r="BW93" s="12">
        <f>VLOOKUP(A93,'Données projet'!$A$113:$I$133,9,0)</f>
        <v>28.607825931641504</v>
      </c>
      <c r="BX93" s="12">
        <f t="array" ref="BX93">INDEX(BW:BW,MIN(IF(ISNUMBER(BW93:BW289),ROW(BW93:BW289),"")))</f>
        <v>28.607825931641504</v>
      </c>
      <c r="BY93" s="12">
        <f>IF('Données projet'!$A$114&gt;35,BY92+BX93-CG92,IF(A93&lt;'Données projet'!$A$114,$BV$205^A93,IF(A93='Données projet'!$A$114,'Données projet'!$B$114,BY92+BX93-CG92)))</f>
        <v>964.34635773891205</v>
      </c>
      <c r="BZ93" s="13">
        <f>BY93*VLOOKUP('Données projet'!$B$12,Paramètres!$A$1:$I$89,3,0)*VLOOKUP('Données projet'!$B$12,Paramètres!$A$1:$I$89,5,0)</f>
        <v>451.3140954218108</v>
      </c>
      <c r="CA93" s="13">
        <f t="shared" si="93"/>
        <v>102.10561342178204</v>
      </c>
      <c r="CB93" s="20">
        <f t="shared" si="64"/>
        <v>963.87265956925739</v>
      </c>
      <c r="CC93" s="59">
        <f t="shared" si="65"/>
        <v>1257.2059929025907</v>
      </c>
      <c r="CD93" s="59">
        <f ca="1">AVERAGE(OFFSET($CC$3,0,0,'Données projet'!$E$12+1,1))-AVERAGE(OFFSET($H$3,0,0,'Données projet'!$E$12+1,1))</f>
        <v>310.06530483941287</v>
      </c>
      <c r="CE93" s="59">
        <f t="shared" si="94"/>
        <v>170.13425794309376</v>
      </c>
      <c r="CF93" s="15">
        <f>IF(ISNA(VLOOKUP(A93,'Données projet'!$A$113:$I$133,3,0)),0,VLOOKUP(A93,'Données projet'!$A$113:$I$133,3,0))</f>
        <v>8</v>
      </c>
      <c r="CG93" s="15">
        <f>IF(ISNA(VLOOKUP(A93,'Données projet'!$A$113:$I$133,4,0)),0,VLOOKUP(A93,'Données projet'!$A$113:$I$133,4,0))</f>
        <v>160.72437414266119</v>
      </c>
      <c r="CH93" s="16">
        <f>IF(ISNA(VLOOKUP(A93,'Données projet'!$A$113:$I$133,5,0)),0%,VLOOKUP(A93,'Données projet'!$A$113:$I$133,5,0)*VLOOKUP('Données projet'!$B$12,Paramètres!$A$1:$I$89,7,0))</f>
        <v>0.38500000000000001</v>
      </c>
      <c r="CI93" s="16">
        <f>IF(ISNA(VLOOKUP(A93,'Données projet'!$A$113:$I$133,6,0)),0%,VLOOKUP(A93,'Données projet'!$A$113:$I$133,6,0)*VLOOKUP('Données projet'!$B$12,Paramètres!$A$1:$I$89,7,0))</f>
        <v>9.240000000000001E-2</v>
      </c>
      <c r="CJ93" s="16">
        <f>IF(ISNA(VLOOKUP(A93,'Données projet'!$A$113:$I$133,7,0)),0%,VLOOKUP(A93,'Données projet'!$A$113:$I$133,7,0))</f>
        <v>0.13200000000000001</v>
      </c>
      <c r="CK93" s="21">
        <f>EXP(-LN(2)/35)*CK92+(1-EXP(-LN(2)/35))/(LN(2)/35)*CG93*CH93*VLOOKUP('Données projet'!$B$12,Paramètres!$A$1:$I$89,3,0)*0.475*44/12</f>
        <v>109.30230107284649</v>
      </c>
      <c r="CL93" s="21">
        <f>EXP(-LN(2)/25)*CL92+(1-EXP(-LN(2)/25))/(LN(2)/25)*Calculateur!CG93*Calculateur!CI93*VLOOKUP('Données projet'!$B$12,Paramètres!$A$1:$I$89,3,0)*0.475*44/12</f>
        <v>24.206645114871641</v>
      </c>
      <c r="CM93" s="21">
        <f>EXP(-LN(2)/2)*CM92+(1-EXP(-LN(2)/2))/(LN(2)/2)*CG93*CJ93*VLOOKUP('Données projet'!$B$12,Paramètres!$A$1:$I$89,3,0)*0.475*44/12</f>
        <v>11.546120768929343</v>
      </c>
      <c r="CN93" s="22">
        <f t="shared" si="66"/>
        <v>145.05506695664747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>
        <f>CT93*VLOOKUP('Données projet'!$B$13,Paramètres!$A$1:$I$89,3,0)*VLOOKUP('Données projet'!$B$13,Paramètres!$A$1:$I$89,5,0)</f>
        <v>0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168.08890945052406</v>
      </c>
      <c r="CZ93" s="59">
        <f t="shared" si="96"/>
        <v>182.52462557642343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62.600446537824375</v>
      </c>
      <c r="DG93" s="21">
        <f>EXP(-LN(2)/25)*DG92+(1-EXP(-LN(2)/25))/(LN(2)/25)*Calculateur!DB93*Calculateur!DD93*VLOOKUP('Données projet'!$B$13,Paramètres!$A$1:$I$89,3,0)*0.475*44/12</f>
        <v>12.427456568855568</v>
      </c>
      <c r="DH93" s="21">
        <f>EXP(-LN(2)/2)*DH92+(1-EXP(-LN(2)/2))/(LN(2)/2)*DB93*DE93*VLOOKUP('Données projet'!$B$13,Paramètres!$A$1:$I$89,3,0)*0.475*44/12</f>
        <v>1.7299633815169684E-3</v>
      </c>
      <c r="DI93" s="22">
        <f t="shared" si="69"/>
        <v>75.029633070061465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-2.2737367544323206E-13</v>
      </c>
      <c r="DP93" s="17">
        <f>DO93*VLOOKUP('Données projet'!$B$14,Paramètres!$A$1:$I$89,3,0)*VLOOKUP('Données projet'!$B$14,Paramètres!$A$1:$I$89,5,0)</f>
        <v>-1.2710188457276673E-13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355.23615781077405</v>
      </c>
      <c r="DU93" s="59">
        <f t="shared" si="98"/>
        <v>448.84541017639367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142.86008583841505</v>
      </c>
      <c r="EB93" s="21">
        <f>EXP(-LN(2)/25)*EB92+(1-EXP(-LN(2)/25))/(LN(2)/25)*Calculateur!DW93*Calculateur!DY93*VLOOKUP('Données projet'!$B$14,Paramètres!$A$1:$I$89,3,0)*0.475*44/12</f>
        <v>28.042342838648224</v>
      </c>
      <c r="EC93" s="21">
        <f>EXP(-LN(2)/2)*EC92+(1-EXP(-LN(2)/2))/(LN(2)/2)*DW93*DZ93*VLOOKUP('Données projet'!$B$14,Paramètres!$A$1:$I$89,3,0)*0.475*44/12</f>
        <v>1.7187759520052885E-3</v>
      </c>
      <c r="ED93" s="22">
        <f t="shared" si="72"/>
        <v>170.90414745301527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>
        <f>VLOOKUP(A93,'Données projet'!$A$191:$I$211,2,0)</f>
        <v>147.20000000000002</v>
      </c>
      <c r="EH93" s="12">
        <f>VLOOKUP(A93,'Données projet'!$A$191:$I$211,9,0)</f>
        <v>3.8222222222222246</v>
      </c>
      <c r="EI93" s="12">
        <f t="array" ref="EI93">INDEX(EH:EH,MIN(IF(ISNUMBER(EH93:EH289),ROW(EH93:EH289),"")))</f>
        <v>3.8222222222222246</v>
      </c>
      <c r="EJ93" s="12">
        <f>IF('Données projet'!$A$192&gt;35,EJ92+EI93-ER92,IF(A93&lt;'Données projet'!$A$192,$EG$205^A93,IF(A93='Données projet'!$A$192,'Données projet'!$B$192,EJ92+EI93-ER92)))</f>
        <v>147.1999999999999</v>
      </c>
      <c r="EK93" s="17">
        <f>EJ93*VLOOKUP('Données projet'!$B$15,Paramètres!$A$1:$I$89,3,0)*VLOOKUP('Données projet'!$B$15,Paramètres!$A$1:$I$89,5,0)</f>
        <v>158.44607999999988</v>
      </c>
      <c r="EL93" s="13">
        <f t="shared" si="99"/>
        <v>40.49182558251227</v>
      </c>
      <c r="EM93" s="20">
        <f t="shared" si="73"/>
        <v>346.48351888954198</v>
      </c>
      <c r="EN93" s="59">
        <f t="shared" si="74"/>
        <v>639.81685222287524</v>
      </c>
      <c r="EO93" s="59">
        <f ca="1">AVERAGE(OFFSET($EN$3,0,0,'Données projet'!$E$15+1,1))-AVERAGE(OFFSET($H$3,0,0,'Données projet'!$E$15+1,1))</f>
        <v>130.76477588601989</v>
      </c>
      <c r="EP93" s="59">
        <f t="shared" si="100"/>
        <v>94.034011511502172</v>
      </c>
      <c r="EQ93" s="15">
        <f>IF(ISNA(VLOOKUP(A93,'Données projet'!$A$191:$I$211,3,0)),0,VLOOKUP(A93,'Données projet'!$A$191:$I$211,3,0))</f>
        <v>7</v>
      </c>
      <c r="ER93" s="15">
        <f>IF(ISNA(VLOOKUP(A93,'Données projet'!$A$191:$I$211,4,0)),0,VLOOKUP(A93,'Données projet'!$A$191:$I$211,4,0))</f>
        <v>24</v>
      </c>
      <c r="ES93" s="16">
        <f>IF(ISNA(VLOOKUP(A93,'Données projet'!$A$191:$I$211,5,0)),0%,VLOOKUP(A93,'Données projet'!$A$191:$I$211,5,0)*VLOOKUP('Données projet'!$B$15,Paramètres!$A$1:$I$89,7,0))</f>
        <v>0.30099999999999999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29.46816493911318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29.46816493911318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-2.2737367544323206E-13</v>
      </c>
      <c r="FF93" s="17">
        <f>FE93*VLOOKUP('Données projet'!$B$16,Paramètres!$A$1:$I$89,3,0)*VLOOKUP('Données projet'!$B$16,Paramètres!$A$1:$I$89,5,0)</f>
        <v>-1.0345502232667058E-13</v>
      </c>
      <c r="FG93" s="13" t="e">
        <f t="shared" si="101"/>
        <v>#NUM!</v>
      </c>
      <c r="FH93" s="20" t="e">
        <f t="shared" si="76"/>
        <v>#NUM!</v>
      </c>
      <c r="FI93" s="59" t="e">
        <f t="shared" si="77"/>
        <v>#NUM!</v>
      </c>
      <c r="FJ93" s="59">
        <f ca="1">AVERAGE(OFFSET($FI$3,0,0,'Données projet'!$E$16+1,1))-AVERAGE(OFFSET($H$3,0,0,'Données projet'!$E$16+1,1))</f>
        <v>279.43442619866738</v>
      </c>
      <c r="FK93" s="59">
        <f t="shared" si="102"/>
        <v>355.95192241448217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116.28146521731453</v>
      </c>
      <c r="FR93" s="21">
        <f>EXP(-LN(2)/25)*FR92+(1-EXP(-LN(2)/25))/(LN(2)/25)*Calculateur!FM93*Calculateur!FO93*VLOOKUP('Données projet'!$B$16,Paramètres!$A$1:$I$89,3,0)*0.475*44/12</f>
        <v>22.825162775643914</v>
      </c>
      <c r="FS93" s="21">
        <f>EXP(-LN(2)/2)*FS92+(1-EXP(-LN(2)/2))/(LN(2)/2)*FM93*FP93*VLOOKUP('Données projet'!$B$16,Paramètres!$A$1:$I$89,3,0)*0.475*44/12</f>
        <v>1.3990036818647697E-3</v>
      </c>
      <c r="FT93" s="22">
        <f t="shared" si="78"/>
        <v>139.10802699664029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-6.7984728957526396E-14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227.89848316900191</v>
      </c>
      <c r="T94" s="59">
        <f t="shared" si="88"/>
        <v>239.85955661394541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77.561565425091203</v>
      </c>
      <c r="AA94" s="21">
        <f>EXP(-LN(2)/25)*AA93+(1-EXP(-LN(2)/25))/(LN(2)/25)*Calculateur!V94*Calculateur!X94*VLOOKUP('Données projet'!$B$9,Paramètres!$A$1:$I$89,3,0)*0.475*44/12</f>
        <v>14.623554836174687</v>
      </c>
      <c r="AB94" s="21">
        <f>EXP(-LN(2)/2)*AB93+(1-EXP(-LN(2)/2))/(LN(2)/2)*V94*Y94*VLOOKUP('Données projet'!$B$9,Paramètres!$A$1:$I$89,3,0)*0.475*44/12</f>
        <v>1.5821022365120813E-3</v>
      </c>
      <c r="AC94" s="22">
        <f t="shared" si="57"/>
        <v>92.186702363502405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6.1</v>
      </c>
      <c r="AI94" s="13">
        <f>IF('Données projet'!$A$62&gt;35,AI93+AH94-AQ93,IF(A94&lt;'Données projet'!$A$62,$AF$205^A94,IF(A94='Données projet'!$A$62,'Données projet'!$B$62,AI93+AH94-AQ93)))</f>
        <v>228.40000000000026</v>
      </c>
      <c r="AJ94" s="13">
        <f>AI94*VLOOKUP('Données projet'!$B$10,Paramètres!$A$1:$I$89,3,0)*VLOOKUP('Données projet'!$B$10,Paramètres!$A$1:$I$89,5,0)</f>
        <v>206.65632000000025</v>
      </c>
      <c r="AK94" s="13">
        <f t="shared" si="89"/>
        <v>51.20422634371343</v>
      </c>
      <c r="AL94" s="20">
        <f t="shared" si="58"/>
        <v>449.10711821530134</v>
      </c>
      <c r="AM94" s="59">
        <f t="shared" si="59"/>
        <v>742.44045154863466</v>
      </c>
      <c r="AN94" s="59">
        <f ca="1">AVERAGE(OFFSET($AM$3,0,0,'Données projet'!$E$10+1,1))-AVERAGE(OFFSET($H$3,0,0,'Données projet'!$E$10+1,1))</f>
        <v>215.7418266360167</v>
      </c>
      <c r="AO94" s="59">
        <f t="shared" si="90"/>
        <v>155.78420008229949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45.345843270539248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45.345843270539248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4.75</v>
      </c>
      <c r="BD94" s="12">
        <f>IF('Données projet'!$A$88&gt;35,BD93+BC94-BL93,IF(A94&lt;'Données projet'!$A$88,$BA$205^A94,IF(A94='Données projet'!$A$88,'Données projet'!$B$88,BD93+BC94-BL93)))</f>
        <v>158.74999999999991</v>
      </c>
      <c r="BE94" s="13">
        <f>BD94*VLOOKUP('Données projet'!$B$11,Paramètres!$A$1:$I$89,3,0)*VLOOKUP('Données projet'!$B$11,Paramètres!$A$1:$I$89,5,0)</f>
        <v>160.97249999999991</v>
      </c>
      <c r="BF94" s="13">
        <f t="shared" si="91"/>
        <v>41.061788076805293</v>
      </c>
      <c r="BG94" s="20">
        <f t="shared" si="61"/>
        <v>351.87638506710238</v>
      </c>
      <c r="BH94" s="59">
        <f t="shared" si="62"/>
        <v>645.20971840043569</v>
      </c>
      <c r="BI94" s="59">
        <f ca="1">AVERAGE(OFFSET($BH$3,0,0,'Données projet'!$E$11+1,1))-AVERAGE(OFFSET($H$3,0,0,'Données projet'!$E$11+1,1))</f>
        <v>179.53921263314447</v>
      </c>
      <c r="BJ94" s="59">
        <f t="shared" si="92"/>
        <v>120.81513023281337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34.019389364132181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34.019389364132181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-20.362198359625051</v>
      </c>
      <c r="BY94" s="12">
        <f>IF('Données projet'!$A$114&gt;35,BY93+BX94-CG93,IF(A94&lt;'Données projet'!$A$114,$BV$205^A94,IF(A94='Données projet'!$A$114,'Données projet'!$B$114,BY93+BX94-CG93)))</f>
        <v>783.25978523662582</v>
      </c>
      <c r="BZ94" s="13">
        <f>BY94*VLOOKUP('Données projet'!$B$12,Paramètres!$A$1:$I$89,3,0)*VLOOKUP('Données projet'!$B$12,Paramètres!$A$1:$I$89,5,0)</f>
        <v>366.5655794907409</v>
      </c>
      <c r="CA94" s="13">
        <f t="shared" si="93"/>
        <v>84.964301491186148</v>
      </c>
      <c r="CB94" s="20">
        <f t="shared" si="64"/>
        <v>786.41454271018949</v>
      </c>
      <c r="CC94" s="59">
        <f t="shared" si="65"/>
        <v>1079.7478760435229</v>
      </c>
      <c r="CD94" s="59">
        <f ca="1">AVERAGE(OFFSET($CC$3,0,0,'Données projet'!$E$12+1,1))-AVERAGE(OFFSET($H$3,0,0,'Données projet'!$E$12+1,1))</f>
        <v>310.06530483941287</v>
      </c>
      <c r="CE94" s="59">
        <f t="shared" si="94"/>
        <v>170.13425794309376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107.15894961662872</v>
      </c>
      <c r="CL94" s="21">
        <f>EXP(-LN(2)/25)*CL93+(1-EXP(-LN(2)/25))/(LN(2)/25)*Calculateur!CG94*Calculateur!CI94*VLOOKUP('Données projet'!$B$12,Paramètres!$A$1:$I$89,3,0)*0.475*44/12</f>
        <v>23.544713131233333</v>
      </c>
      <c r="CM94" s="21">
        <f>EXP(-LN(2)/2)*CM93+(1-EXP(-LN(2)/2))/(LN(2)/2)*CG94*CJ94*VLOOKUP('Données projet'!$B$12,Paramètres!$A$1:$I$89,3,0)*0.475*44/12</f>
        <v>8.1643402921087738</v>
      </c>
      <c r="CN94" s="22">
        <f t="shared" si="66"/>
        <v>138.8680030399708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>
        <f>CT94*VLOOKUP('Données projet'!$B$13,Paramètres!$A$1:$I$89,3,0)*VLOOKUP('Données projet'!$B$13,Paramètres!$A$1:$I$89,5,0)</f>
        <v>0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168.08890945052406</v>
      </c>
      <c r="CZ94" s="59">
        <f t="shared" si="96"/>
        <v>182.52462557642343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61.372889963719821</v>
      </c>
      <c r="DG94" s="21">
        <f>EXP(-LN(2)/25)*DG93+(1-EXP(-LN(2)/25))/(LN(2)/25)*Calculateur!DB94*Calculateur!DD94*VLOOKUP('Données projet'!$B$13,Paramètres!$A$1:$I$89,3,0)*0.475*44/12</f>
        <v>12.087627115448676</v>
      </c>
      <c r="DH94" s="21">
        <f>EXP(-LN(2)/2)*DH93+(1-EXP(-LN(2)/2))/(LN(2)/2)*DB94*DE94*VLOOKUP('Données projet'!$B$13,Paramètres!$A$1:$I$89,3,0)*0.475*44/12</f>
        <v>1.2232688382750588E-3</v>
      </c>
      <c r="DI94" s="22">
        <f t="shared" si="69"/>
        <v>73.461740348006771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-2.2737367544323206E-13</v>
      </c>
      <c r="DP94" s="17">
        <f>DO94*VLOOKUP('Données projet'!$B$14,Paramètres!$A$1:$I$89,3,0)*VLOOKUP('Données projet'!$B$14,Paramètres!$A$1:$I$89,5,0)</f>
        <v>-1.2710188457276673E-13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355.23615781077405</v>
      </c>
      <c r="DU94" s="59">
        <f t="shared" si="98"/>
        <v>448.84541017639367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140.05868669117211</v>
      </c>
      <c r="EB94" s="21">
        <f>EXP(-LN(2)/25)*EB93+(1-EXP(-LN(2)/25))/(LN(2)/25)*Calculateur!DW94*Calculateur!DY94*VLOOKUP('Données projet'!$B$14,Paramètres!$A$1:$I$89,3,0)*0.475*44/12</f>
        <v>27.27552349904267</v>
      </c>
      <c r="EC94" s="21">
        <f>EXP(-LN(2)/2)*EC93+(1-EXP(-LN(2)/2))/(LN(2)/2)*DW94*DZ94*VLOOKUP('Données projet'!$B$14,Paramètres!$A$1:$I$89,3,0)*0.475*44/12</f>
        <v>1.2153581310033034E-3</v>
      </c>
      <c r="ED94" s="22">
        <f t="shared" si="72"/>
        <v>167.33542554834577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3.7999999999999994</v>
      </c>
      <c r="EJ94" s="12">
        <f>IF('Données projet'!$A$192&gt;35,EJ93+EI94-ER93,IF(A94&lt;'Données projet'!$A$192,$EG$205^A94,IF(A94='Données projet'!$A$192,'Données projet'!$B$192,EJ93+EI94-ER93)))</f>
        <v>126.99999999999991</v>
      </c>
      <c r="EK94" s="17">
        <f>EJ94*VLOOKUP('Données projet'!$B$15,Paramètres!$A$1:$I$89,3,0)*VLOOKUP('Données projet'!$B$15,Paramètres!$A$1:$I$89,5,0)</f>
        <v>136.70279999999991</v>
      </c>
      <c r="EL94" s="13">
        <f t="shared" si="99"/>
        <v>35.540618744630642</v>
      </c>
      <c r="EM94" s="20">
        <f t="shared" si="73"/>
        <v>299.99062098023154</v>
      </c>
      <c r="EN94" s="59">
        <f t="shared" si="74"/>
        <v>593.32395431356485</v>
      </c>
      <c r="EO94" s="59">
        <f ca="1">AVERAGE(OFFSET($EN$3,0,0,'Données projet'!$E$15+1,1))-AVERAGE(OFFSET($H$3,0,0,'Données projet'!$E$15+1,1))</f>
        <v>130.76477588601989</v>
      </c>
      <c r="EP94" s="59">
        <f t="shared" si="100"/>
        <v>94.034011511502172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28.890312198463018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28.890312198463018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-2.2737367544323206E-13</v>
      </c>
      <c r="FF94" s="17">
        <f>FE94*VLOOKUP('Données projet'!$B$16,Paramètres!$A$1:$I$89,3,0)*VLOOKUP('Données projet'!$B$16,Paramètres!$A$1:$I$89,5,0)</f>
        <v>-1.0345502232667058E-13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279.43442619866738</v>
      </c>
      <c r="FK94" s="59">
        <f t="shared" si="102"/>
        <v>355.95192241448217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114.00125660909355</v>
      </c>
      <c r="FR94" s="21">
        <f>EXP(-LN(2)/25)*FR93+(1-EXP(-LN(2)/25))/(LN(2)/25)*Calculateur!FM94*Calculateur!FO94*VLOOKUP('Données projet'!$B$16,Paramètres!$A$1:$I$89,3,0)*0.475*44/12</f>
        <v>22.20100749922079</v>
      </c>
      <c r="FS94" s="21">
        <f>EXP(-LN(2)/2)*FS93+(1-EXP(-LN(2)/2))/(LN(2)/2)*FM94*FP94*VLOOKUP('Données projet'!$B$16,Paramètres!$A$1:$I$89,3,0)*0.475*44/12</f>
        <v>9.8924499035152606E-4</v>
      </c>
      <c r="FT94" s="22">
        <f t="shared" si="78"/>
        <v>136.20325335330469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-6.7984728957526396E-14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227.89848316900191</v>
      </c>
      <c r="T95" s="59">
        <f t="shared" si="88"/>
        <v>239.85955661394541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76.040630434988813</v>
      </c>
      <c r="AA95" s="21">
        <f>EXP(-LN(2)/25)*AA94+(1-EXP(-LN(2)/25))/(LN(2)/25)*Calculateur!V95*Calculateur!X95*VLOOKUP('Données projet'!$B$9,Paramètres!$A$1:$I$89,3,0)*0.475*44/12</f>
        <v>14.223672960160163</v>
      </c>
      <c r="AB95" s="21">
        <f>EXP(-LN(2)/2)*AB94+(1-EXP(-LN(2)/2))/(LN(2)/2)*V95*Y95*VLOOKUP('Données projet'!$B$9,Paramètres!$A$1:$I$89,3,0)*0.475*44/12</f>
        <v>1.1187152199680958E-3</v>
      </c>
      <c r="AC95" s="22">
        <f t="shared" si="57"/>
        <v>90.265422110368945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6.1</v>
      </c>
      <c r="AI95" s="13">
        <f>IF('Données projet'!$A$62&gt;35,AI94+AH95-AQ94,IF(A95&lt;'Données projet'!$A$62,$AF$205^A95,IF(A95='Données projet'!$A$62,'Données projet'!$B$62,AI94+AH95-AQ94)))</f>
        <v>234.50000000000026</v>
      </c>
      <c r="AJ95" s="13">
        <f>AI95*VLOOKUP('Données projet'!$B$10,Paramètres!$A$1:$I$89,3,0)*VLOOKUP('Données projet'!$B$10,Paramètres!$A$1:$I$89,5,0)</f>
        <v>212.1756000000002</v>
      </c>
      <c r="AK95" s="13">
        <f t="shared" si="89"/>
        <v>52.410723477279248</v>
      </c>
      <c r="AL95" s="20">
        <f t="shared" si="58"/>
        <v>460.82118005626171</v>
      </c>
      <c r="AM95" s="59">
        <f t="shared" si="59"/>
        <v>754.15451338959497</v>
      </c>
      <c r="AN95" s="59">
        <f ca="1">AVERAGE(OFFSET($AM$3,0,0,'Données projet'!$E$10+1,1))-AVERAGE(OFFSET($H$3,0,0,'Données projet'!$E$10+1,1))</f>
        <v>215.7418266360167</v>
      </c>
      <c r="AO95" s="59">
        <f t="shared" si="90"/>
        <v>155.78420008229949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44.456638942237348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44.456638942237348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4.75</v>
      </c>
      <c r="BD95" s="12">
        <f>IF('Données projet'!$A$88&gt;35,BD94+BC95-BL94,IF(A95&lt;'Données projet'!$A$88,$BA$205^A95,IF(A95='Données projet'!$A$88,'Données projet'!$B$88,BD94+BC95-BL94)))</f>
        <v>163.49999999999991</v>
      </c>
      <c r="BE95" s="13">
        <f>BD95*VLOOKUP('Données projet'!$B$11,Paramètres!$A$1:$I$89,3,0)*VLOOKUP('Données projet'!$B$11,Paramètres!$A$1:$I$89,5,0)</f>
        <v>165.78899999999993</v>
      </c>
      <c r="BF95" s="13">
        <f t="shared" si="91"/>
        <v>42.14552731394938</v>
      </c>
      <c r="BG95" s="20">
        <f t="shared" si="61"/>
        <v>362.15263507179503</v>
      </c>
      <c r="BH95" s="59">
        <f t="shared" si="62"/>
        <v>655.48596840512835</v>
      </c>
      <c r="BI95" s="59">
        <f ca="1">AVERAGE(OFFSET($BH$3,0,0,'Données projet'!$E$11+1,1))-AVERAGE(OFFSET($H$3,0,0,'Données projet'!$E$11+1,1))</f>
        <v>179.53921263314447</v>
      </c>
      <c r="BJ95" s="59">
        <f t="shared" si="92"/>
        <v>120.81513023281337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33.352289888480193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33.352289888480193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-20.362198359625051</v>
      </c>
      <c r="BY95" s="12">
        <f>IF('Données projet'!$A$114&gt;35,BY94+BX95-CG94,IF(A95&lt;'Données projet'!$A$114,$BV$205^A95,IF(A95='Données projet'!$A$114,'Données projet'!$B$114,BY94+BX95-CG94)))</f>
        <v>762.89758687700078</v>
      </c>
      <c r="BZ95" s="13">
        <f>BY95*VLOOKUP('Données projet'!$B$12,Paramètres!$A$1:$I$89,3,0)*VLOOKUP('Données projet'!$B$12,Paramètres!$A$1:$I$89,5,0)</f>
        <v>357.03607065843642</v>
      </c>
      <c r="CA95" s="13">
        <f t="shared" si="93"/>
        <v>83.009628714467553</v>
      </c>
      <c r="CB95" s="20">
        <f t="shared" si="64"/>
        <v>766.41292640780773</v>
      </c>
      <c r="CC95" s="59">
        <f t="shared" si="65"/>
        <v>1059.7462597411411</v>
      </c>
      <c r="CD95" s="59">
        <f ca="1">AVERAGE(OFFSET($CC$3,0,0,'Données projet'!$E$12+1,1))-AVERAGE(OFFSET($H$3,0,0,'Données projet'!$E$12+1,1))</f>
        <v>310.06530483941287</v>
      </c>
      <c r="CE95" s="59">
        <f t="shared" si="94"/>
        <v>170.13425794309376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105.05762797515209</v>
      </c>
      <c r="CL95" s="21">
        <f>EXP(-LN(2)/25)*CL94+(1-EXP(-LN(2)/25))/(LN(2)/25)*Calculateur!CG95*Calculateur!CI95*VLOOKUP('Données projet'!$B$12,Paramètres!$A$1:$I$89,3,0)*0.475*44/12</f>
        <v>22.900881712497107</v>
      </c>
      <c r="CM95" s="21">
        <f>EXP(-LN(2)/2)*CM94+(1-EXP(-LN(2)/2))/(LN(2)/2)*CG95*CJ95*VLOOKUP('Données projet'!$B$12,Paramètres!$A$1:$I$89,3,0)*0.475*44/12</f>
        <v>5.7730603844646726</v>
      </c>
      <c r="CN95" s="22">
        <f t="shared" si="66"/>
        <v>133.73157007211387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>
        <f>CT95*VLOOKUP('Données projet'!$B$13,Paramètres!$A$1:$I$89,3,0)*VLOOKUP('Données projet'!$B$13,Paramètres!$A$1:$I$89,5,0)</f>
        <v>0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168.08890945052406</v>
      </c>
      <c r="CZ95" s="59">
        <f t="shared" si="96"/>
        <v>182.52462557642343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60.169405025297877</v>
      </c>
      <c r="DG95" s="21">
        <f>EXP(-LN(2)/25)*DG94+(1-EXP(-LN(2)/25))/(LN(2)/25)*Calculateur!DB95*Calculateur!DD95*VLOOKUP('Données projet'!$B$13,Paramètres!$A$1:$I$89,3,0)*0.475*44/12</f>
        <v>11.757090316316049</v>
      </c>
      <c r="DH95" s="21">
        <f>EXP(-LN(2)/2)*DH94+(1-EXP(-LN(2)/2))/(LN(2)/2)*DB95*DE95*VLOOKUP('Données projet'!$B$13,Paramètres!$A$1:$I$89,3,0)*0.475*44/12</f>
        <v>8.6498169075848418E-4</v>
      </c>
      <c r="DI95" s="22">
        <f t="shared" si="69"/>
        <v>71.927360323304683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-2.2737367544323206E-13</v>
      </c>
      <c r="DP95" s="17">
        <f>DO95*VLOOKUP('Données projet'!$B$14,Paramètres!$A$1:$I$89,3,0)*VLOOKUP('Données projet'!$B$14,Paramètres!$A$1:$I$89,5,0)</f>
        <v>-1.2710188457276673E-13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355.23615781077405</v>
      </c>
      <c r="DU95" s="59">
        <f t="shared" si="98"/>
        <v>448.84541017639367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137.31222127252187</v>
      </c>
      <c r="EB95" s="21">
        <f>EXP(-LN(2)/25)*EB94+(1-EXP(-LN(2)/25))/(LN(2)/25)*Calculateur!DW95*Calculateur!DY95*VLOOKUP('Données projet'!$B$14,Paramètres!$A$1:$I$89,3,0)*0.475*44/12</f>
        <v>26.529672874603907</v>
      </c>
      <c r="EC95" s="21">
        <f>EXP(-LN(2)/2)*EC94+(1-EXP(-LN(2)/2))/(LN(2)/2)*DW95*DZ95*VLOOKUP('Données projet'!$B$14,Paramètres!$A$1:$I$89,3,0)*0.475*44/12</f>
        <v>8.5938797600264424E-4</v>
      </c>
      <c r="ED95" s="22">
        <f t="shared" si="72"/>
        <v>163.84275353510176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3.7999999999999994</v>
      </c>
      <c r="EJ95" s="12">
        <f>IF('Données projet'!$A$192&gt;35,EJ94+EI95-ER94,IF(A95&lt;'Données projet'!$A$192,$EG$205^A95,IF(A95='Données projet'!$A$192,'Données projet'!$B$192,EJ94+EI95-ER94)))</f>
        <v>130.79999999999993</v>
      </c>
      <c r="EK95" s="17">
        <f>EJ95*VLOOKUP('Données projet'!$B$15,Paramètres!$A$1:$I$89,3,0)*VLOOKUP('Données projet'!$B$15,Paramètres!$A$1:$I$89,5,0)</f>
        <v>140.7931199999999</v>
      </c>
      <c r="EL95" s="13">
        <f t="shared" si="99"/>
        <v>36.478638369443132</v>
      </c>
      <c r="EM95" s="20">
        <f t="shared" si="73"/>
        <v>308.74831249344663</v>
      </c>
      <c r="EN95" s="59">
        <f t="shared" si="74"/>
        <v>602.08164582678</v>
      </c>
      <c r="EO95" s="59">
        <f ca="1">AVERAGE(OFFSET($EN$3,0,0,'Données projet'!$E$15+1,1))-AVERAGE(OFFSET($H$3,0,0,'Données projet'!$E$15+1,1))</f>
        <v>130.76477588601989</v>
      </c>
      <c r="EP95" s="59">
        <f t="shared" si="100"/>
        <v>94.034011511502172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28.323790797601635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28.323790797601635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-2.2737367544323206E-13</v>
      </c>
      <c r="FF95" s="17">
        <f>FE95*VLOOKUP('Données projet'!$B$16,Paramètres!$A$1:$I$89,3,0)*VLOOKUP('Données projet'!$B$16,Paramètres!$A$1:$I$89,5,0)</f>
        <v>-1.0345502232667058E-13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279.43442619866738</v>
      </c>
      <c r="FK95" s="59">
        <f t="shared" si="102"/>
        <v>355.95192241448217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111.76576150088985</v>
      </c>
      <c r="FR95" s="21">
        <f>EXP(-LN(2)/25)*FR94+(1-EXP(-LN(2)/25))/(LN(2)/25)*Calculateur!FM95*Calculateur!FO95*VLOOKUP('Données projet'!$B$16,Paramètres!$A$1:$I$89,3,0)*0.475*44/12</f>
        <v>21.593919781654353</v>
      </c>
      <c r="FS95" s="21">
        <f>EXP(-LN(2)/2)*FS94+(1-EXP(-LN(2)/2))/(LN(2)/2)*FM95*FP95*VLOOKUP('Données projet'!$B$16,Paramètres!$A$1:$I$89,3,0)*0.475*44/12</f>
        <v>6.9950184093238487E-4</v>
      </c>
      <c r="FT95" s="22">
        <f t="shared" si="78"/>
        <v>133.36038078438514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-6.7984728957526396E-14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227.89848316900191</v>
      </c>
      <c r="T96" s="59">
        <f t="shared" si="88"/>
        <v>239.85955661394541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74.549520052363576</v>
      </c>
      <c r="AA96" s="21">
        <f>EXP(-LN(2)/25)*AA95+(1-EXP(-LN(2)/25))/(LN(2)/25)*Calculateur!V96*Calculateur!X96*VLOOKUP('Données projet'!$B$9,Paramètres!$A$1:$I$89,3,0)*0.475*44/12</f>
        <v>13.834725875074131</v>
      </c>
      <c r="AB96" s="21">
        <f>EXP(-LN(2)/2)*AB95+(1-EXP(-LN(2)/2))/(LN(2)/2)*V96*Y96*VLOOKUP('Données projet'!$B$9,Paramètres!$A$1:$I$89,3,0)*0.475*44/12</f>
        <v>7.9105111825604067E-4</v>
      </c>
      <c r="AC96" s="22">
        <f t="shared" si="57"/>
        <v>88.385036978555959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6.1</v>
      </c>
      <c r="AI96" s="13">
        <f>IF('Données projet'!$A$62&gt;35,AI95+AH96-AQ95,IF(A96&lt;'Données projet'!$A$62,$AF$205^A96,IF(A96='Données projet'!$A$62,'Données projet'!$B$62,AI95+AH96-AQ95)))</f>
        <v>240.60000000000025</v>
      </c>
      <c r="AJ96" s="13">
        <f>AI96*VLOOKUP('Données projet'!$B$10,Paramètres!$A$1:$I$89,3,0)*VLOOKUP('Données projet'!$B$10,Paramètres!$A$1:$I$89,5,0)</f>
        <v>217.69488000000024</v>
      </c>
      <c r="AK96" s="13">
        <f t="shared" si="89"/>
        <v>53.613572561591731</v>
      </c>
      <c r="AL96" s="20">
        <f t="shared" si="58"/>
        <v>472.52888821143938</v>
      </c>
      <c r="AM96" s="59">
        <f t="shared" si="59"/>
        <v>765.86222154477264</v>
      </c>
      <c r="AN96" s="59">
        <f ca="1">AVERAGE(OFFSET($AM$3,0,0,'Données projet'!$E$10+1,1))-AVERAGE(OFFSET($H$3,0,0,'Données projet'!$E$10+1,1))</f>
        <v>215.7418266360167</v>
      </c>
      <c r="AO96" s="59">
        <f t="shared" si="90"/>
        <v>155.78420008229949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43.584871368452355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43.584871368452355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4.75</v>
      </c>
      <c r="BD96" s="12">
        <f>IF('Données projet'!$A$88&gt;35,BD95+BC96-BL95,IF(A96&lt;'Données projet'!$A$88,$BA$205^A96,IF(A96='Données projet'!$A$88,'Données projet'!$B$88,BD95+BC96-BL95)))</f>
        <v>168.24999999999991</v>
      </c>
      <c r="BE96" s="13">
        <f>BD96*VLOOKUP('Données projet'!$B$11,Paramètres!$A$1:$I$89,3,0)*VLOOKUP('Données projet'!$B$11,Paramètres!$A$1:$I$89,5,0)</f>
        <v>170.60549999999992</v>
      </c>
      <c r="BF96" s="13">
        <f t="shared" si="91"/>
        <v>43.225607368533112</v>
      </c>
      <c r="BG96" s="20">
        <f t="shared" si="61"/>
        <v>372.42251200019501</v>
      </c>
      <c r="BH96" s="59">
        <f t="shared" si="62"/>
        <v>665.75584533352833</v>
      </c>
      <c r="BI96" s="59">
        <f ca="1">AVERAGE(OFFSET($BH$3,0,0,'Données projet'!$E$11+1,1))-AVERAGE(OFFSET($H$3,0,0,'Données projet'!$E$11+1,1))</f>
        <v>179.53921263314447</v>
      </c>
      <c r="BJ96" s="59">
        <f t="shared" si="92"/>
        <v>120.81513023281337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32.698271826655237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32.698271826655237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-20.362198359625051</v>
      </c>
      <c r="BY96" s="12">
        <f>IF('Données projet'!$A$114&gt;35,BY95+BX96-CG95,IF(A96&lt;'Données projet'!$A$114,$BV$205^A96,IF(A96='Données projet'!$A$114,'Données projet'!$B$114,BY95+BX96-CG95)))</f>
        <v>742.53538851737574</v>
      </c>
      <c r="BZ96" s="13">
        <f>BY96*VLOOKUP('Données projet'!$B$12,Paramètres!$A$1:$I$89,3,0)*VLOOKUP('Données projet'!$B$12,Paramètres!$A$1:$I$89,5,0)</f>
        <v>347.50656182613181</v>
      </c>
      <c r="CA96" s="13">
        <f t="shared" si="93"/>
        <v>81.048872978103802</v>
      </c>
      <c r="CB96" s="20">
        <f t="shared" si="64"/>
        <v>746.40071561737705</v>
      </c>
      <c r="CC96" s="59">
        <f t="shared" si="65"/>
        <v>1039.7340489507103</v>
      </c>
      <c r="CD96" s="59">
        <f ca="1">AVERAGE(OFFSET($CC$3,0,0,'Données projet'!$E$12+1,1))-AVERAGE(OFFSET($H$3,0,0,'Données projet'!$E$12+1,1))</f>
        <v>310.06530483941287</v>
      </c>
      <c r="CE96" s="59">
        <f t="shared" si="94"/>
        <v>170.13425794309376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102.99751196938516</v>
      </c>
      <c r="CL96" s="21">
        <f>EXP(-LN(2)/25)*CL95+(1-EXP(-LN(2)/25))/(LN(2)/25)*Calculateur!CG96*Calculateur!CI96*VLOOKUP('Données projet'!$B$12,Paramètres!$A$1:$I$89,3,0)*0.475*44/12</f>
        <v>22.274655897763846</v>
      </c>
      <c r="CM96" s="21">
        <f>EXP(-LN(2)/2)*CM95+(1-EXP(-LN(2)/2))/(LN(2)/2)*CG96*CJ96*VLOOKUP('Données projet'!$B$12,Paramètres!$A$1:$I$89,3,0)*0.475*44/12</f>
        <v>4.0821701460543878</v>
      </c>
      <c r="CN96" s="22">
        <f t="shared" si="66"/>
        <v>129.3543380132034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>
        <f>CT96*VLOOKUP('Données projet'!$B$13,Paramètres!$A$1:$I$89,3,0)*VLOOKUP('Données projet'!$B$13,Paramètres!$A$1:$I$89,5,0)</f>
        <v>0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168.08890945052406</v>
      </c>
      <c r="CZ96" s="59">
        <f t="shared" si="96"/>
        <v>182.52462557642343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58.989519692465052</v>
      </c>
      <c r="DG96" s="21">
        <f>EXP(-LN(2)/25)*DG95+(1-EXP(-LN(2)/25))/(LN(2)/25)*Calculateur!DB96*Calculateur!DD96*VLOOKUP('Données projet'!$B$13,Paramètres!$A$1:$I$89,3,0)*0.475*44/12</f>
        <v>11.435592063337879</v>
      </c>
      <c r="DH96" s="21">
        <f>EXP(-LN(2)/2)*DH95+(1-EXP(-LN(2)/2))/(LN(2)/2)*DB96*DE96*VLOOKUP('Données projet'!$B$13,Paramètres!$A$1:$I$89,3,0)*0.475*44/12</f>
        <v>6.1163441913752938E-4</v>
      </c>
      <c r="DI96" s="22">
        <f t="shared" si="69"/>
        <v>70.425723390222075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-2.2737367544323206E-13</v>
      </c>
      <c r="DP96" s="17">
        <f>DO96*VLOOKUP('Données projet'!$B$14,Paramètres!$A$1:$I$89,3,0)*VLOOKUP('Données projet'!$B$14,Paramètres!$A$1:$I$89,5,0)</f>
        <v>-1.2710188457276673E-13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355.23615781077405</v>
      </c>
      <c r="DU96" s="59">
        <f t="shared" si="98"/>
        <v>448.84541017639367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134.61961236555285</v>
      </c>
      <c r="EB96" s="21">
        <f>EXP(-LN(2)/25)*EB95+(1-EXP(-LN(2)/25))/(LN(2)/25)*Calculateur!DW96*Calculateur!DY96*VLOOKUP('Données projet'!$B$14,Paramètres!$A$1:$I$89,3,0)*0.475*44/12</f>
        <v>25.804217574713</v>
      </c>
      <c r="EC96" s="21">
        <f>EXP(-LN(2)/2)*EC95+(1-EXP(-LN(2)/2))/(LN(2)/2)*DW96*DZ96*VLOOKUP('Données projet'!$B$14,Paramètres!$A$1:$I$89,3,0)*0.475*44/12</f>
        <v>6.076790655016517E-4</v>
      </c>
      <c r="ED96" s="22">
        <f t="shared" si="72"/>
        <v>160.42443761933134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3.7999999999999994</v>
      </c>
      <c r="EJ96" s="12">
        <f>IF('Données projet'!$A$192&gt;35,EJ95+EI96-ER95,IF(A96&lt;'Données projet'!$A$192,$EG$205^A96,IF(A96='Données projet'!$A$192,'Données projet'!$B$192,EJ95+EI96-ER95)))</f>
        <v>134.59999999999994</v>
      </c>
      <c r="EK96" s="17">
        <f>EJ96*VLOOKUP('Données projet'!$B$15,Paramètres!$A$1:$I$89,3,0)*VLOOKUP('Données projet'!$B$15,Paramètres!$A$1:$I$89,5,0)</f>
        <v>144.88343999999992</v>
      </c>
      <c r="EL96" s="13">
        <f t="shared" si="99"/>
        <v>37.413490825498869</v>
      </c>
      <c r="EM96" s="20">
        <f t="shared" si="73"/>
        <v>317.50048785441044</v>
      </c>
      <c r="EN96" s="59">
        <f t="shared" si="74"/>
        <v>610.83382118774375</v>
      </c>
      <c r="EO96" s="59">
        <f ca="1">AVERAGE(OFFSET($EN$3,0,0,'Données projet'!$E$15+1,1))-AVERAGE(OFFSET($H$3,0,0,'Données projet'!$E$15+1,1))</f>
        <v>130.76477588601989</v>
      </c>
      <c r="EP96" s="59">
        <f t="shared" si="100"/>
        <v>94.034011511502172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27.76837853586721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27.76837853586721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-2.2737367544323206E-13</v>
      </c>
      <c r="FF96" s="17">
        <f>FE96*VLOOKUP('Données projet'!$B$16,Paramètres!$A$1:$I$89,3,0)*VLOOKUP('Données projet'!$B$16,Paramètres!$A$1:$I$89,5,0)</f>
        <v>-1.0345502232667058E-13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279.43442619866738</v>
      </c>
      <c r="FK96" s="59">
        <f t="shared" si="102"/>
        <v>355.95192241448217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109.57410308824065</v>
      </c>
      <c r="FR96" s="21">
        <f>EXP(-LN(2)/25)*FR95+(1-EXP(-LN(2)/25))/(LN(2)/25)*Calculateur!FM96*Calculateur!FO96*VLOOKUP('Données projet'!$B$16,Paramètres!$A$1:$I$89,3,0)*0.475*44/12</f>
        <v>21.003432909650126</v>
      </c>
      <c r="FS96" s="21">
        <f>EXP(-LN(2)/2)*FS95+(1-EXP(-LN(2)/2))/(LN(2)/2)*FM96*FP96*VLOOKUP('Données projet'!$B$16,Paramètres!$A$1:$I$89,3,0)*0.475*44/12</f>
        <v>4.9462249517576303E-4</v>
      </c>
      <c r="FT96" s="22">
        <f t="shared" si="78"/>
        <v>130.57803062038596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-6.7984728957526396E-14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227.89848316900191</v>
      </c>
      <c r="T97" s="59">
        <f t="shared" si="88"/>
        <v>239.85955661394541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73.0876494348541</v>
      </c>
      <c r="AA97" s="21">
        <f>EXP(-LN(2)/25)*AA96+(1-EXP(-LN(2)/25))/(LN(2)/25)*Calculateur!V97*Calculateur!X97*VLOOKUP('Données projet'!$B$9,Paramètres!$A$1:$I$89,3,0)*0.475*44/12</f>
        <v>13.456414568483615</v>
      </c>
      <c r="AB97" s="21">
        <f>EXP(-LN(2)/2)*AB96+(1-EXP(-LN(2)/2))/(LN(2)/2)*V97*Y97*VLOOKUP('Données projet'!$B$9,Paramètres!$A$1:$I$89,3,0)*0.475*44/12</f>
        <v>5.5935760998404788E-4</v>
      </c>
      <c r="AC97" s="22">
        <f t="shared" si="57"/>
        <v>86.544623360947696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6.1</v>
      </c>
      <c r="AI97" s="13">
        <f>IF('Données projet'!$A$62&gt;35,AI96+AH97-AQ96,IF(A97&lt;'Données projet'!$A$62,$AF$205^A97,IF(A97='Données projet'!$A$62,'Données projet'!$B$62,AI96+AH97-AQ96)))</f>
        <v>246.70000000000024</v>
      </c>
      <c r="AJ97" s="13">
        <f>AI97*VLOOKUP('Données projet'!$B$10,Paramètres!$A$1:$I$89,3,0)*VLOOKUP('Données projet'!$B$10,Paramètres!$A$1:$I$89,5,0)</f>
        <v>223.21416000000019</v>
      </c>
      <c r="AK97" s="13">
        <f t="shared" si="89"/>
        <v>54.812876722660327</v>
      </c>
      <c r="AL97" s="20">
        <f t="shared" si="58"/>
        <v>484.23042229196705</v>
      </c>
      <c r="AM97" s="59">
        <f t="shared" si="59"/>
        <v>777.56375562530036</v>
      </c>
      <c r="AN97" s="59">
        <f ca="1">AVERAGE(OFFSET($AM$3,0,0,'Données projet'!$E$10+1,1))-AVERAGE(OFFSET($H$3,0,0,'Données projet'!$E$10+1,1))</f>
        <v>215.7418266360167</v>
      </c>
      <c r="AO97" s="59">
        <f t="shared" si="90"/>
        <v>155.78420008229949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42.730198625063572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42.730198625063572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4.75</v>
      </c>
      <c r="BD97" s="12">
        <f>IF('Données projet'!$A$88&gt;35,BD96+BC97-BL96,IF(A97&lt;'Données projet'!$A$88,$BA$205^A97,IF(A97='Données projet'!$A$88,'Données projet'!$B$88,BD96+BC97-BL96)))</f>
        <v>172.99999999999991</v>
      </c>
      <c r="BE97" s="13">
        <f>BD97*VLOOKUP('Données projet'!$B$11,Paramètres!$A$1:$I$89,3,0)*VLOOKUP('Données projet'!$B$11,Paramètres!$A$1:$I$89,5,0)</f>
        <v>175.42199999999991</v>
      </c>
      <c r="BF97" s="13">
        <f t="shared" si="91"/>
        <v>44.302143412304694</v>
      </c>
      <c r="BG97" s="20">
        <f t="shared" si="61"/>
        <v>382.68621644309718</v>
      </c>
      <c r="BH97" s="59">
        <f t="shared" si="62"/>
        <v>676.01954977643049</v>
      </c>
      <c r="BI97" s="59">
        <f ca="1">AVERAGE(OFFSET($BH$3,0,0,'Données projet'!$E$11+1,1))-AVERAGE(OFFSET($H$3,0,0,'Données projet'!$E$11+1,1))</f>
        <v>179.53921263314447</v>
      </c>
      <c r="BJ97" s="59">
        <f t="shared" si="92"/>
        <v>120.81513023281337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32.057078660111038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32.057078660111038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-20.362198359625051</v>
      </c>
      <c r="BY97" s="12">
        <f>IF('Données projet'!$A$114&gt;35,BY96+BX97-CG96,IF(A97&lt;'Données projet'!$A$114,$BV$205^A97,IF(A97='Données projet'!$A$114,'Données projet'!$B$114,BY96+BX97-CG96)))</f>
        <v>722.1731901577507</v>
      </c>
      <c r="BZ97" s="13">
        <f>BY97*VLOOKUP('Données projet'!$B$12,Paramètres!$A$1:$I$89,3,0)*VLOOKUP('Données projet'!$B$12,Paramètres!$A$1:$I$89,5,0)</f>
        <v>337.97705299382733</v>
      </c>
      <c r="CA97" s="13">
        <f t="shared" si="93"/>
        <v>79.081847711494461</v>
      </c>
      <c r="CB97" s="20">
        <f t="shared" si="64"/>
        <v>726.37758539510207</v>
      </c>
      <c r="CC97" s="59">
        <f t="shared" si="65"/>
        <v>1019.7109187284354</v>
      </c>
      <c r="CD97" s="59">
        <f ca="1">AVERAGE(OFFSET($CC$3,0,0,'Données projet'!$E$12+1,1))-AVERAGE(OFFSET($H$3,0,0,'Données projet'!$E$12+1,1))</f>
        <v>310.06530483941287</v>
      </c>
      <c r="CE97" s="59">
        <f t="shared" si="94"/>
        <v>170.13425794309376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100.97779358194464</v>
      </c>
      <c r="CL97" s="21">
        <f>EXP(-LN(2)/25)*CL96+(1-EXP(-LN(2)/25))/(LN(2)/25)*Calculateur!CG97*Calculateur!CI97*VLOOKUP('Données projet'!$B$12,Paramètres!$A$1:$I$89,3,0)*0.475*44/12</f>
        <v>21.665554260866251</v>
      </c>
      <c r="CM97" s="21">
        <f>EXP(-LN(2)/2)*CM96+(1-EXP(-LN(2)/2))/(LN(2)/2)*CG97*CJ97*VLOOKUP('Données projet'!$B$12,Paramètres!$A$1:$I$89,3,0)*0.475*44/12</f>
        <v>2.8865301922323368</v>
      </c>
      <c r="CN97" s="22">
        <f t="shared" si="66"/>
        <v>125.52987803504324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>
        <f>CT97*VLOOKUP('Données projet'!$B$13,Paramètres!$A$1:$I$89,3,0)*VLOOKUP('Données projet'!$B$13,Paramètres!$A$1:$I$89,5,0)</f>
        <v>0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168.08890945052406</v>
      </c>
      <c r="CZ97" s="59">
        <f t="shared" si="96"/>
        <v>182.52462557642343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57.832771191350091</v>
      </c>
      <c r="DG97" s="21">
        <f>EXP(-LN(2)/25)*DG96+(1-EXP(-LN(2)/25))/(LN(2)/25)*Calculateur!DB97*Calculateur!DD97*VLOOKUP('Données projet'!$B$13,Paramètres!$A$1:$I$89,3,0)*0.475*44/12</f>
        <v>11.122885196994254</v>
      </c>
      <c r="DH97" s="21">
        <f>EXP(-LN(2)/2)*DH96+(1-EXP(-LN(2)/2))/(LN(2)/2)*DB97*DE97*VLOOKUP('Données projet'!$B$13,Paramètres!$A$1:$I$89,3,0)*0.475*44/12</f>
        <v>4.3249084537924209E-4</v>
      </c>
      <c r="DI97" s="22">
        <f t="shared" si="69"/>
        <v>68.956088879189736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-2.2737367544323206E-13</v>
      </c>
      <c r="DP97" s="17">
        <f>DO97*VLOOKUP('Données projet'!$B$14,Paramètres!$A$1:$I$89,3,0)*VLOOKUP('Données projet'!$B$14,Paramètres!$A$1:$I$89,5,0)</f>
        <v>-1.2710188457276673E-13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355.23615781077405</v>
      </c>
      <c r="DU97" s="59">
        <f t="shared" si="98"/>
        <v>448.84541017639367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131.97980387692024</v>
      </c>
      <c r="EB97" s="21">
        <f>EXP(-LN(2)/25)*EB96+(1-EXP(-LN(2)/25))/(LN(2)/25)*Calculateur!DW97*Calculateur!DY97*VLOOKUP('Données projet'!$B$14,Paramètres!$A$1:$I$89,3,0)*0.475*44/12</f>
        <v>25.098599888147646</v>
      </c>
      <c r="EC97" s="21">
        <f>EXP(-LN(2)/2)*EC96+(1-EXP(-LN(2)/2))/(LN(2)/2)*DW97*DZ97*VLOOKUP('Données projet'!$B$14,Paramètres!$A$1:$I$89,3,0)*0.475*44/12</f>
        <v>4.2969398800132212E-4</v>
      </c>
      <c r="ED97" s="22">
        <f t="shared" si="72"/>
        <v>157.07883345905589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3.7999999999999994</v>
      </c>
      <c r="EJ97" s="12">
        <f>IF('Données projet'!$A$192&gt;35,EJ96+EI97-ER96,IF(A97&lt;'Données projet'!$A$192,$EG$205^A97,IF(A97='Données projet'!$A$192,'Données projet'!$B$192,EJ96+EI97-ER96)))</f>
        <v>138.39999999999995</v>
      </c>
      <c r="EK97" s="17">
        <f>EJ97*VLOOKUP('Données projet'!$B$15,Paramètres!$A$1:$I$89,3,0)*VLOOKUP('Données projet'!$B$15,Paramètres!$A$1:$I$89,5,0)</f>
        <v>148.97375999999994</v>
      </c>
      <c r="EL97" s="13">
        <f t="shared" si="99"/>
        <v>38.345275798549068</v>
      </c>
      <c r="EM97" s="20">
        <f t="shared" si="73"/>
        <v>326.24732068247283</v>
      </c>
      <c r="EN97" s="59">
        <f t="shared" si="74"/>
        <v>619.5806540158062</v>
      </c>
      <c r="EO97" s="59">
        <f ca="1">AVERAGE(OFFSET($EN$3,0,0,'Données projet'!$E$15+1,1))-AVERAGE(OFFSET($H$3,0,0,'Données projet'!$E$15+1,1))</f>
        <v>130.76477588601989</v>
      </c>
      <c r="EP97" s="59">
        <f t="shared" si="100"/>
        <v>94.034011511502172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27.223857569817369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27.223857569817369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-2.2737367544323206E-13</v>
      </c>
      <c r="FF97" s="17">
        <f>FE97*VLOOKUP('Données projet'!$B$16,Paramètres!$A$1:$I$89,3,0)*VLOOKUP('Données projet'!$B$16,Paramètres!$A$1:$I$89,5,0)</f>
        <v>-1.0345502232667058E-13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279.43442619866738</v>
      </c>
      <c r="FK97" s="59">
        <f t="shared" si="102"/>
        <v>355.95192241448217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107.42542176028387</v>
      </c>
      <c r="FR97" s="21">
        <f>EXP(-LN(2)/25)*FR96+(1-EXP(-LN(2)/25))/(LN(2)/25)*Calculateur!FM97*Calculateur!FO97*VLOOKUP('Données projet'!$B$16,Paramètres!$A$1:$I$89,3,0)*0.475*44/12</f>
        <v>20.429092932213212</v>
      </c>
      <c r="FS97" s="21">
        <f>EXP(-LN(2)/2)*FS96+(1-EXP(-LN(2)/2))/(LN(2)/2)*FM97*FP97*VLOOKUP('Données projet'!$B$16,Paramètres!$A$1:$I$89,3,0)*0.475*44/12</f>
        <v>3.4975092046619243E-4</v>
      </c>
      <c r="FT97" s="22">
        <f t="shared" si="78"/>
        <v>127.85486444341754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-6.7984728957526396E-14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227.89848316900191</v>
      </c>
      <c r="T98" s="59">
        <f t="shared" si="88"/>
        <v>239.85955661394541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71.654445208500945</v>
      </c>
      <c r="AA98" s="21">
        <f>EXP(-LN(2)/25)*AA97+(1-EXP(-LN(2)/25))/(LN(2)/25)*Calculateur!V98*Calculateur!X98*VLOOKUP('Données projet'!$B$9,Paramètres!$A$1:$I$89,3,0)*0.475*44/12</f>
        <v>13.088448204466342</v>
      </c>
      <c r="AB98" s="21">
        <f>EXP(-LN(2)/2)*AB97+(1-EXP(-LN(2)/2))/(LN(2)/2)*V98*Y98*VLOOKUP('Données projet'!$B$9,Paramètres!$A$1:$I$89,3,0)*0.475*44/12</f>
        <v>3.9552555912802034E-4</v>
      </c>
      <c r="AC98" s="22">
        <f t="shared" si="57"/>
        <v>84.743288938526419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6.1</v>
      </c>
      <c r="AI98" s="13">
        <f>IF('Données projet'!$A$62&gt;35,AI97+AH98-AQ97,IF(A98&lt;'Données projet'!$A$62,$AF$205^A98,IF(A98='Données projet'!$A$62,'Données projet'!$B$62,AI97+AH98-AQ97)))</f>
        <v>252.80000000000024</v>
      </c>
      <c r="AJ98" s="13">
        <f>AI98*VLOOKUP('Données projet'!$B$10,Paramètres!$A$1:$I$89,3,0)*VLOOKUP('Données projet'!$B$10,Paramètres!$A$1:$I$89,5,0)</f>
        <v>228.73344000000023</v>
      </c>
      <c r="AK98" s="13">
        <f t="shared" si="89"/>
        <v>56.008733695918181</v>
      </c>
      <c r="AL98" s="20">
        <f t="shared" si="58"/>
        <v>495.92595252039115</v>
      </c>
      <c r="AM98" s="59">
        <f t="shared" si="59"/>
        <v>789.25928585372446</v>
      </c>
      <c r="AN98" s="59">
        <f ca="1">AVERAGE(OFFSET($AM$3,0,0,'Données projet'!$E$10+1,1))-AVERAGE(OFFSET($H$3,0,0,'Données projet'!$E$10+1,1))</f>
        <v>215.7418266360167</v>
      </c>
      <c r="AO98" s="59">
        <f t="shared" si="90"/>
        <v>155.78420008229949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41.892285492873746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41.892285492873746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4.75</v>
      </c>
      <c r="BD98" s="12">
        <f>IF('Données projet'!$A$88&gt;35,BD97+BC98-BL97,IF(A98&lt;'Données projet'!$A$88,$BA$205^A98,IF(A98='Données projet'!$A$88,'Données projet'!$B$88,BD97+BC98-BL97)))</f>
        <v>177.74999999999991</v>
      </c>
      <c r="BE98" s="13">
        <f>BD98*VLOOKUP('Données projet'!$B$11,Paramètres!$A$1:$I$89,3,0)*VLOOKUP('Données projet'!$B$11,Paramètres!$A$1:$I$89,5,0)</f>
        <v>180.23849999999993</v>
      </c>
      <c r="BF98" s="13">
        <f t="shared" si="91"/>
        <v>45.375243932613408</v>
      </c>
      <c r="BG98" s="20">
        <f t="shared" si="61"/>
        <v>392.94393734930151</v>
      </c>
      <c r="BH98" s="59">
        <f t="shared" si="62"/>
        <v>686.27727068263482</v>
      </c>
      <c r="BI98" s="59">
        <f ca="1">AVERAGE(OFFSET($BH$3,0,0,'Données projet'!$E$11+1,1))-AVERAGE(OFFSET($H$3,0,0,'Données projet'!$E$11+1,1))</f>
        <v>179.53921263314447</v>
      </c>
      <c r="BJ98" s="59">
        <f t="shared" si="92"/>
        <v>120.81513023281337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31.428458900473558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31.428458900473558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-20.362198359625051</v>
      </c>
      <c r="BY98" s="12">
        <f>IF('Données projet'!$A$114&gt;35,BY97+BX98-CG97,IF(A98&lt;'Données projet'!$A$114,$BV$205^A98,IF(A98='Données projet'!$A$114,'Données projet'!$B$114,BY97+BX98-CG97)))</f>
        <v>701.81099179812566</v>
      </c>
      <c r="BZ98" s="13">
        <f>BY98*VLOOKUP('Données projet'!$B$12,Paramètres!$A$1:$I$89,3,0)*VLOOKUP('Données projet'!$B$12,Paramètres!$A$1:$I$89,5,0)</f>
        <v>328.44754416152279</v>
      </c>
      <c r="CA98" s="13">
        <f t="shared" si="93"/>
        <v>77.108355188200676</v>
      </c>
      <c r="CB98" s="20">
        <f t="shared" si="64"/>
        <v>706.34319136743488</v>
      </c>
      <c r="CC98" s="59">
        <f t="shared" si="65"/>
        <v>999.67652470076814</v>
      </c>
      <c r="CD98" s="59">
        <f ca="1">AVERAGE(OFFSET($CC$3,0,0,'Données projet'!$E$12+1,1))-AVERAGE(OFFSET($H$3,0,0,'Données projet'!$E$12+1,1))</f>
        <v>310.06530483941287</v>
      </c>
      <c r="CE98" s="59">
        <f t="shared" si="94"/>
        <v>170.13425794309376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98.997680640175247</v>
      </c>
      <c r="CL98" s="21">
        <f>EXP(-LN(2)/25)*CL97+(1-EXP(-LN(2)/25))/(LN(2)/25)*Calculateur!CG98*Calculateur!CI98*VLOOKUP('Données projet'!$B$12,Paramètres!$A$1:$I$89,3,0)*0.475*44/12</f>
        <v>21.073108540260883</v>
      </c>
      <c r="CM98" s="21">
        <f>EXP(-LN(2)/2)*CM97+(1-EXP(-LN(2)/2))/(LN(2)/2)*CG98*CJ98*VLOOKUP('Données projet'!$B$12,Paramètres!$A$1:$I$89,3,0)*0.475*44/12</f>
        <v>2.0410850730271939</v>
      </c>
      <c r="CN98" s="22">
        <f t="shared" si="66"/>
        <v>122.11187425346331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>
        <f>CT98*VLOOKUP('Données projet'!$B$13,Paramètres!$A$1:$I$89,3,0)*VLOOKUP('Données projet'!$B$13,Paramètres!$A$1:$I$89,5,0)</f>
        <v>0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168.08890945052406</v>
      </c>
      <c r="CZ98" s="59">
        <f t="shared" si="96"/>
        <v>182.52462557642343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56.698705822795077</v>
      </c>
      <c r="DG98" s="21">
        <f>EXP(-LN(2)/25)*DG97+(1-EXP(-LN(2)/25))/(LN(2)/25)*Calculateur!DB98*Calculateur!DD98*VLOOKUP('Données projet'!$B$13,Paramètres!$A$1:$I$89,3,0)*0.475*44/12</f>
        <v>10.818729316355336</v>
      </c>
      <c r="DH98" s="21">
        <f>EXP(-LN(2)/2)*DH97+(1-EXP(-LN(2)/2))/(LN(2)/2)*DB98*DE98*VLOOKUP('Données projet'!$B$13,Paramètres!$A$1:$I$89,3,0)*0.475*44/12</f>
        <v>3.0581720956876469E-4</v>
      </c>
      <c r="DI98" s="22">
        <f t="shared" si="69"/>
        <v>67.517740956359972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-2.2737367544323206E-13</v>
      </c>
      <c r="DP98" s="17">
        <f>DO98*VLOOKUP('Données projet'!$B$14,Paramètres!$A$1:$I$89,3,0)*VLOOKUP('Données projet'!$B$14,Paramètres!$A$1:$I$89,5,0)</f>
        <v>-1.2710188457276673E-13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355.23615781077405</v>
      </c>
      <c r="DU98" s="59">
        <f t="shared" si="98"/>
        <v>448.84541017639367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129.39176042262551</v>
      </c>
      <c r="EB98" s="21">
        <f>EXP(-LN(2)/25)*EB97+(1-EXP(-LN(2)/25))/(LN(2)/25)*Calculateur!DW98*Calculateur!DY98*VLOOKUP('Données projet'!$B$14,Paramètres!$A$1:$I$89,3,0)*0.475*44/12</f>
        <v>24.412277354328243</v>
      </c>
      <c r="EC98" s="21">
        <f>EXP(-LN(2)/2)*EC97+(1-EXP(-LN(2)/2))/(LN(2)/2)*DW98*DZ98*VLOOKUP('Données projet'!$B$14,Paramètres!$A$1:$I$89,3,0)*0.475*44/12</f>
        <v>3.0383953275082585E-4</v>
      </c>
      <c r="ED98" s="22">
        <f t="shared" si="72"/>
        <v>153.80434161648651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3.7999999999999994</v>
      </c>
      <c r="EJ98" s="12">
        <f>IF('Données projet'!$A$192&gt;35,EJ97+EI98-ER97,IF(A98&lt;'Données projet'!$A$192,$EG$205^A98,IF(A98='Données projet'!$A$192,'Données projet'!$B$192,EJ97+EI98-ER97)))</f>
        <v>142.19999999999996</v>
      </c>
      <c r="EK98" s="17">
        <f>EJ98*VLOOKUP('Données projet'!$B$15,Paramètres!$A$1:$I$89,3,0)*VLOOKUP('Données projet'!$B$15,Paramètres!$A$1:$I$89,5,0)</f>
        <v>153.06407999999996</v>
      </c>
      <c r="EL98" s="13">
        <f t="shared" si="99"/>
        <v>39.27408718873059</v>
      </c>
      <c r="EM98" s="20">
        <f t="shared" si="73"/>
        <v>334.98897452037232</v>
      </c>
      <c r="EN98" s="59">
        <f t="shared" si="74"/>
        <v>628.32230785370564</v>
      </c>
      <c r="EO98" s="59">
        <f ca="1">AVERAGE(OFFSET($EN$3,0,0,'Données projet'!$E$15+1,1))-AVERAGE(OFFSET($H$3,0,0,'Données projet'!$E$15+1,1))</f>
        <v>130.76477588601989</v>
      </c>
      <c r="EP98" s="59">
        <f t="shared" si="100"/>
        <v>94.034011511502172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26.69001432778677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26.69001432778677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-2.2737367544323206E-13</v>
      </c>
      <c r="FF98" s="17">
        <f>FE98*VLOOKUP('Données projet'!$B$16,Paramètres!$A$1:$I$89,3,0)*VLOOKUP('Données projet'!$B$16,Paramètres!$A$1:$I$89,5,0)</f>
        <v>-1.0345502232667058E-13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279.43442619866738</v>
      </c>
      <c r="FK98" s="59">
        <f t="shared" si="102"/>
        <v>355.95192241448217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105.31887476260211</v>
      </c>
      <c r="FR98" s="21">
        <f>EXP(-LN(2)/25)*FR97+(1-EXP(-LN(2)/25))/(LN(2)/25)*Calculateur!FM98*Calculateur!FO98*VLOOKUP('Données projet'!$B$16,Paramètres!$A$1:$I$89,3,0)*0.475*44/12</f>
        <v>19.870458311662535</v>
      </c>
      <c r="FS98" s="21">
        <f>EXP(-LN(2)/2)*FS97+(1-EXP(-LN(2)/2))/(LN(2)/2)*FM98*FP98*VLOOKUP('Données projet'!$B$16,Paramètres!$A$1:$I$89,3,0)*0.475*44/12</f>
        <v>2.4731124758788152E-4</v>
      </c>
      <c r="FT98" s="22">
        <f t="shared" si="78"/>
        <v>125.18958038551223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-6.7984728957526396E-14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227.89848316900191</v>
      </c>
      <c r="T99" s="59">
        <f t="shared" si="88"/>
        <v>239.85955661394541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70.249345242858325</v>
      </c>
      <c r="AA99" s="21">
        <f>EXP(-LN(2)/25)*AA98+(1-EXP(-LN(2)/25))/(LN(2)/25)*Calculateur!V99*Calculateur!X99*VLOOKUP('Données projet'!$B$9,Paramètres!$A$1:$I$89,3,0)*0.475*44/12</f>
        <v>12.730543900023633</v>
      </c>
      <c r="AB99" s="21">
        <f>EXP(-LN(2)/2)*AB98+(1-EXP(-LN(2)/2))/(LN(2)/2)*V99*Y99*VLOOKUP('Données projet'!$B$9,Paramètres!$A$1:$I$89,3,0)*0.475*44/12</f>
        <v>2.7967880499202394E-4</v>
      </c>
      <c r="AC99" s="22">
        <f t="shared" si="57"/>
        <v>82.980168821686945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6.1</v>
      </c>
      <c r="AI99" s="13">
        <f>IF('Données projet'!$A$62&gt;35,AI98+AH99-AQ98,IF(A99&lt;'Données projet'!$A$62,$AF$205^A99,IF(A99='Données projet'!$A$62,'Données projet'!$B$62,AI98+AH99-AQ98)))</f>
        <v>258.90000000000026</v>
      </c>
      <c r="AJ99" s="13">
        <f>AI99*VLOOKUP('Données projet'!$B$10,Paramètres!$A$1:$I$89,3,0)*VLOOKUP('Données projet'!$B$10,Paramètres!$A$1:$I$89,5,0)</f>
        <v>234.25272000000024</v>
      </c>
      <c r="AK99" s="13">
        <f t="shared" si="89"/>
        <v>57.20123623117135</v>
      </c>
      <c r="AL99" s="20">
        <f t="shared" si="58"/>
        <v>507.61564043595712</v>
      </c>
      <c r="AM99" s="59">
        <f t="shared" si="59"/>
        <v>800.94897376929043</v>
      </c>
      <c r="AN99" s="59">
        <f ca="1">AVERAGE(OFFSET($AM$3,0,0,'Données projet'!$E$10+1,1))-AVERAGE(OFFSET($H$3,0,0,'Données projet'!$E$10+1,1))</f>
        <v>215.7418266360167</v>
      </c>
      <c r="AO99" s="59">
        <f t="shared" si="90"/>
        <v>155.78420008229949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41.070803326129614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41.070803326129614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4.75</v>
      </c>
      <c r="BD99" s="12">
        <f>IF('Données projet'!$A$88&gt;35,BD98+BC99-BL98,IF(A99&lt;'Données projet'!$A$88,$BA$205^A99,IF(A99='Données projet'!$A$88,'Données projet'!$B$88,BD98+BC99-BL98)))</f>
        <v>182.49999999999991</v>
      </c>
      <c r="BE99" s="13">
        <f>BD99*VLOOKUP('Données projet'!$B$11,Paramètres!$A$1:$I$89,3,0)*VLOOKUP('Données projet'!$B$11,Paramètres!$A$1:$I$89,5,0)</f>
        <v>185.05499999999992</v>
      </c>
      <c r="BF99" s="13">
        <f t="shared" si="91"/>
        <v>46.445011288484558</v>
      </c>
      <c r="BG99" s="20">
        <f t="shared" si="61"/>
        <v>403.19585299411045</v>
      </c>
      <c r="BH99" s="59">
        <f t="shared" si="62"/>
        <v>696.52918632744377</v>
      </c>
      <c r="BI99" s="59">
        <f ca="1">AVERAGE(OFFSET($BH$3,0,0,'Données projet'!$E$11+1,1))-AVERAGE(OFFSET($H$3,0,0,'Données projet'!$E$11+1,1))</f>
        <v>179.53921263314447</v>
      </c>
      <c r="BJ99" s="59">
        <f t="shared" si="92"/>
        <v>120.81513023281337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30.812165990902372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30.812165990902372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-20.362198359625051</v>
      </c>
      <c r="BY99" s="12">
        <f>IF('Données projet'!$A$114&gt;35,BY98+BX99-CG98,IF(A99&lt;'Données projet'!$A$114,$BV$205^A99,IF(A99='Données projet'!$A$114,'Données projet'!$B$114,BY98+BX99-CG98)))</f>
        <v>681.44879343850062</v>
      </c>
      <c r="BZ99" s="13">
        <f>BY99*VLOOKUP('Données projet'!$B$12,Paramètres!$A$1:$I$89,3,0)*VLOOKUP('Données projet'!$B$12,Paramètres!$A$1:$I$89,5,0)</f>
        <v>318.9180353292183</v>
      </c>
      <c r="CA99" s="13">
        <f t="shared" si="93"/>
        <v>75.128185515015616</v>
      </c>
      <c r="CB99" s="20">
        <f t="shared" si="64"/>
        <v>686.29716797037406</v>
      </c>
      <c r="CC99" s="59">
        <f t="shared" si="65"/>
        <v>979.63050130370743</v>
      </c>
      <c r="CD99" s="59">
        <f ca="1">AVERAGE(OFFSET($CC$3,0,0,'Données projet'!$E$12+1,1))-AVERAGE(OFFSET($H$3,0,0,'Données projet'!$E$12+1,1))</f>
        <v>310.06530483941287</v>
      </c>
      <c r="CE99" s="59">
        <f t="shared" si="94"/>
        <v>170.13425794309376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97.056396505444312</v>
      </c>
      <c r="CL99" s="21">
        <f>EXP(-LN(2)/25)*CL98+(1-EXP(-LN(2)/25))/(LN(2)/25)*Calculateur!CG99*Calculateur!CI99*VLOOKUP('Données projet'!$B$12,Paramètres!$A$1:$I$89,3,0)*0.475*44/12</f>
        <v>20.496863279040834</v>
      </c>
      <c r="CM99" s="21">
        <f>EXP(-LN(2)/2)*CM98+(1-EXP(-LN(2)/2))/(LN(2)/2)*CG99*CJ99*VLOOKUP('Données projet'!$B$12,Paramètres!$A$1:$I$89,3,0)*0.475*44/12</f>
        <v>1.4432650961161684</v>
      </c>
      <c r="CN99" s="22">
        <f t="shared" si="66"/>
        <v>118.99652488060131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>
        <f>CT99*VLOOKUP('Données projet'!$B$13,Paramètres!$A$1:$I$89,3,0)*VLOOKUP('Données projet'!$B$13,Paramètres!$A$1:$I$89,5,0)</f>
        <v>0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168.08890945052406</v>
      </c>
      <c r="CZ99" s="59">
        <f t="shared" si="96"/>
        <v>182.52462557642343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55.586878784405847</v>
      </c>
      <c r="DG99" s="21">
        <f>EXP(-LN(2)/25)*DG98+(1-EXP(-LN(2)/25))/(LN(2)/25)*Calculateur!DB99*Calculateur!DD99*VLOOKUP('Données projet'!$B$13,Paramètres!$A$1:$I$89,3,0)*0.475*44/12</f>
        <v>10.52289059426735</v>
      </c>
      <c r="DH99" s="21">
        <f>EXP(-LN(2)/2)*DH98+(1-EXP(-LN(2)/2))/(LN(2)/2)*DB99*DE99*VLOOKUP('Données projet'!$B$13,Paramètres!$A$1:$I$89,3,0)*0.475*44/12</f>
        <v>2.1624542268962104E-4</v>
      </c>
      <c r="DI99" s="22">
        <f t="shared" si="69"/>
        <v>66.109985624095884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-2.2737367544323206E-13</v>
      </c>
      <c r="DP99" s="17">
        <f>DO99*VLOOKUP('Données projet'!$B$14,Paramètres!$A$1:$I$89,3,0)*VLOOKUP('Données projet'!$B$14,Paramètres!$A$1:$I$89,5,0)</f>
        <v>-1.2710188457276673E-13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355.23615781077405</v>
      </c>
      <c r="DU99" s="59">
        <f t="shared" si="98"/>
        <v>448.84541017639367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126.85446692191886</v>
      </c>
      <c r="EB99" s="21">
        <f>EXP(-LN(2)/25)*EB98+(1-EXP(-LN(2)/25))/(LN(2)/25)*Calculateur!DW99*Calculateur!DY99*VLOOKUP('Données projet'!$B$14,Paramètres!$A$1:$I$89,3,0)*0.475*44/12</f>
        <v>23.744722346288267</v>
      </c>
      <c r="EC99" s="21">
        <f>EXP(-LN(2)/2)*EC98+(1-EXP(-LN(2)/2))/(LN(2)/2)*DW99*DZ99*VLOOKUP('Données projet'!$B$14,Paramètres!$A$1:$I$89,3,0)*0.475*44/12</f>
        <v>2.1484699400066106E-4</v>
      </c>
      <c r="ED99" s="22">
        <f t="shared" si="72"/>
        <v>150.59940411520111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3.7999999999999994</v>
      </c>
      <c r="EJ99" s="12">
        <f>IF('Données projet'!$A$192&gt;35,EJ98+EI99-ER98,IF(A99&lt;'Données projet'!$A$192,$EG$205^A99,IF(A99='Données projet'!$A$192,'Données projet'!$B$192,EJ98+EI99-ER98)))</f>
        <v>145.99999999999997</v>
      </c>
      <c r="EK99" s="17">
        <f>EJ99*VLOOKUP('Données projet'!$B$15,Paramètres!$A$1:$I$89,3,0)*VLOOKUP('Données projet'!$B$15,Paramètres!$A$1:$I$89,5,0)</f>
        <v>157.15439999999995</v>
      </c>
      <c r="EL99" s="13">
        <f t="shared" si="99"/>
        <v>40.20001359187092</v>
      </c>
      <c r="EM99" s="20">
        <f t="shared" si="73"/>
        <v>343.72560367250838</v>
      </c>
      <c r="EN99" s="59">
        <f t="shared" si="74"/>
        <v>637.0589370058417</v>
      </c>
      <c r="EO99" s="59">
        <f ca="1">AVERAGE(OFFSET($EN$3,0,0,'Données projet'!$E$15+1,1))-AVERAGE(OFFSET($H$3,0,0,'Données projet'!$E$15+1,1))</f>
        <v>130.76477588601989</v>
      </c>
      <c r="EP99" s="59">
        <f t="shared" si="100"/>
        <v>94.034011511502172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26.166639426120163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26.166639426120163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-2.2737367544323206E-13</v>
      </c>
      <c r="FF99" s="17">
        <f>FE99*VLOOKUP('Données projet'!$B$16,Paramètres!$A$1:$I$89,3,0)*VLOOKUP('Données projet'!$B$16,Paramètres!$A$1:$I$89,5,0)</f>
        <v>-1.0345502232667058E-13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279.43442619866738</v>
      </c>
      <c r="FK99" s="59">
        <f t="shared" si="102"/>
        <v>355.95192241448217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103.2536358666781</v>
      </c>
      <c r="FR99" s="21">
        <f>EXP(-LN(2)/25)*FR98+(1-EXP(-LN(2)/25))/(LN(2)/25)*Calculateur!FM99*Calculateur!FO99*VLOOKUP('Données projet'!$B$16,Paramètres!$A$1:$I$89,3,0)*0.475*44/12</f>
        <v>19.327099584188137</v>
      </c>
      <c r="FS99" s="21">
        <f>EXP(-LN(2)/2)*FS98+(1-EXP(-LN(2)/2))/(LN(2)/2)*FM99*FP99*VLOOKUP('Données projet'!$B$16,Paramètres!$A$1:$I$89,3,0)*0.475*44/12</f>
        <v>1.7487546023309622E-4</v>
      </c>
      <c r="FT99" s="22">
        <f t="shared" si="78"/>
        <v>122.58091032632646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-6.7984728957526396E-14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227.89848316900191</v>
      </c>
      <c r="T100" s="59">
        <f t="shared" si="88"/>
        <v>239.85955661394541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68.871798430515597</v>
      </c>
      <c r="AA100" s="21">
        <f>EXP(-LN(2)/25)*AA99+(1-EXP(-LN(2)/25))/(LN(2)/25)*Calculateur!V100*Calculateur!X100*VLOOKUP('Données projet'!$B$9,Paramètres!$A$1:$I$89,3,0)*0.475*44/12</f>
        <v>12.382426507607279</v>
      </c>
      <c r="AB100" s="21">
        <f>EXP(-LN(2)/2)*AB99+(1-EXP(-LN(2)/2))/(LN(2)/2)*V100*Y100*VLOOKUP('Données projet'!$B$9,Paramètres!$A$1:$I$89,3,0)*0.475*44/12</f>
        <v>1.9776277956401017E-4</v>
      </c>
      <c r="AC100" s="22">
        <f t="shared" si="57"/>
        <v>81.254422700902438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>
        <f>VLOOKUP(A100,'Données projet'!$A$61:$I$81,2,0)</f>
        <v>265</v>
      </c>
      <c r="AG100" s="12">
        <f>VLOOKUP(A100,'Données projet'!$A$61:$I$81,9,0)</f>
        <v>6.1</v>
      </c>
      <c r="AH100" s="12">
        <f t="array" ref="AH100">INDEX(AG:AG,MIN(IF(ISNUMBER(AG100:AG296),ROW(AG100:AG296),"")))</f>
        <v>6.1</v>
      </c>
      <c r="AI100" s="13">
        <f>IF('Données projet'!$A$62&gt;35,AI99+AH100-AQ99,IF(A100&lt;'Données projet'!$A$62,$AF$205^A100,IF(A100='Données projet'!$A$62,'Données projet'!$B$62,AI99+AH100-AQ99)))</f>
        <v>265.00000000000028</v>
      </c>
      <c r="AJ100" s="13">
        <f>AI100*VLOOKUP('Données projet'!$B$10,Paramètres!$A$1:$I$89,3,0)*VLOOKUP('Données projet'!$B$10,Paramètres!$A$1:$I$89,5,0)</f>
        <v>239.77200000000025</v>
      </c>
      <c r="AK100" s="13">
        <f t="shared" si="89"/>
        <v>58.390472458309738</v>
      </c>
      <c r="AL100" s="20">
        <f t="shared" si="58"/>
        <v>519.29963953155652</v>
      </c>
      <c r="AM100" s="59">
        <f t="shared" si="59"/>
        <v>812.63297286488978</v>
      </c>
      <c r="AN100" s="59">
        <f ca="1">AVERAGE(OFFSET($AM$3,0,0,'Données projet'!$E$10+1,1))-AVERAGE(OFFSET($H$3,0,0,'Données projet'!$E$10+1,1))</f>
        <v>215.7418266360167</v>
      </c>
      <c r="AO100" s="59">
        <f t="shared" si="90"/>
        <v>155.78420008229949</v>
      </c>
      <c r="AP100" s="15">
        <f>IF(ISNA(VLOOKUP(A100,'Données projet'!$A$61:$I$81,3,0)),0,VLOOKUP(A100,'Données projet'!$A$61:$I$81,3,0))</f>
        <v>9</v>
      </c>
      <c r="AQ100" s="15">
        <f>IF(ISNA(VLOOKUP(A100,'Données projet'!$A$61:$I$81,4,0)),0,VLOOKUP(A100,'Données projet'!$A$61:$I$81,4,0))</f>
        <v>42</v>
      </c>
      <c r="AR100" s="16">
        <f>IF(ISNA(VLOOKUP(A100,'Données projet'!$A$61:$I$81,5,0)),0%,VLOOKUP(A100,'Données projet'!$A$61:$I$81,5,0)*VLOOKUP('Données projet'!$B$10,Paramètres!$A$1:$I$89,7,0))</f>
        <v>0.38700000000000001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56.523161832291258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56.523161832291258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4.75</v>
      </c>
      <c r="BD100" s="12">
        <f>IF('Données projet'!$A$88&gt;35,BD99+BC100-BL99,IF(A100&lt;'Données projet'!$A$88,$BA$205^A100,IF(A100='Données projet'!$A$88,'Données projet'!$B$88,BD99+BC100-BL99)))</f>
        <v>187.24999999999991</v>
      </c>
      <c r="BE100" s="13">
        <f>BD100*VLOOKUP('Données projet'!$B$11,Paramètres!$A$1:$I$89,3,0)*VLOOKUP('Données projet'!$B$11,Paramètres!$A$1:$I$89,5,0)</f>
        <v>189.87149999999994</v>
      </c>
      <c r="BF100" s="13">
        <f t="shared" si="91"/>
        <v>47.511542207173193</v>
      </c>
      <c r="BG100" s="20">
        <f t="shared" si="61"/>
        <v>413.44213184415986</v>
      </c>
      <c r="BH100" s="59">
        <f t="shared" si="62"/>
        <v>706.77546517749317</v>
      </c>
      <c r="BI100" s="59">
        <f ca="1">AVERAGE(OFFSET($BH$3,0,0,'Données projet'!$E$11+1,1))-AVERAGE(OFFSET($H$3,0,0,'Données projet'!$E$11+1,1))</f>
        <v>179.53921263314447</v>
      </c>
      <c r="BJ100" s="59">
        <f t="shared" si="92"/>
        <v>120.81513023281337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30.207958209386319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30.207958209386319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-20.362198359625051</v>
      </c>
      <c r="BY100" s="12">
        <f>IF('Données projet'!$A$114&gt;35,BY99+BX100-CG99,IF(A100&lt;'Données projet'!$A$114,$BV$205^A100,IF(A100='Données projet'!$A$114,'Données projet'!$B$114,BY99+BX100-CG99)))</f>
        <v>661.08659507887558</v>
      </c>
      <c r="BZ100" s="13">
        <f>BY100*VLOOKUP('Données projet'!$B$12,Paramètres!$A$1:$I$89,3,0)*VLOOKUP('Données projet'!$B$12,Paramètres!$A$1:$I$89,5,0)</f>
        <v>309.38852649691376</v>
      </c>
      <c r="CA100" s="13">
        <f t="shared" si="93"/>
        <v>73.14111549638784</v>
      </c>
      <c r="CB100" s="20">
        <f t="shared" si="64"/>
        <v>666.23912647166696</v>
      </c>
      <c r="CC100" s="59">
        <f t="shared" si="65"/>
        <v>959.57245980500034</v>
      </c>
      <c r="CD100" s="59">
        <f ca="1">AVERAGE(OFFSET($CC$3,0,0,'Données projet'!$E$12+1,1))-AVERAGE(OFFSET($H$3,0,0,'Données projet'!$E$12+1,1))</f>
        <v>310.06530483941287</v>
      </c>
      <c r="CE100" s="59">
        <f t="shared" si="94"/>
        <v>170.13425794309376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95.153179768529043</v>
      </c>
      <c r="CL100" s="21">
        <f>EXP(-LN(2)/25)*CL99+(1-EXP(-LN(2)/25))/(LN(2)/25)*Calculateur!CG100*Calculateur!CI100*VLOOKUP('Données projet'!$B$12,Paramètres!$A$1:$I$89,3,0)*0.475*44/12</f>
        <v>19.936375474792268</v>
      </c>
      <c r="CM100" s="21">
        <f>EXP(-LN(2)/2)*CM99+(1-EXP(-LN(2)/2))/(LN(2)/2)*CG100*CJ100*VLOOKUP('Données projet'!$B$12,Paramètres!$A$1:$I$89,3,0)*0.475*44/12</f>
        <v>1.0205425365135969</v>
      </c>
      <c r="CN100" s="22">
        <f t="shared" si="66"/>
        <v>116.11009777983492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>
        <f>CT100*VLOOKUP('Données projet'!$B$13,Paramètres!$A$1:$I$89,3,0)*VLOOKUP('Données projet'!$B$13,Paramètres!$A$1:$I$89,5,0)</f>
        <v>0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168.08890945052406</v>
      </c>
      <c r="CZ100" s="59">
        <f t="shared" si="96"/>
        <v>182.52462557642343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54.4968539960919</v>
      </c>
      <c r="DG100" s="21">
        <f>EXP(-LN(2)/25)*DG99+(1-EXP(-LN(2)/25))/(LN(2)/25)*Calculateur!DB100*Calculateur!DD100*VLOOKUP('Données projet'!$B$13,Paramètres!$A$1:$I$89,3,0)*0.475*44/12</f>
        <v>10.235141597592344</v>
      </c>
      <c r="DH100" s="21">
        <f>EXP(-LN(2)/2)*DH99+(1-EXP(-LN(2)/2))/(LN(2)/2)*DB100*DE100*VLOOKUP('Données projet'!$B$13,Paramètres!$A$1:$I$89,3,0)*0.475*44/12</f>
        <v>1.5290860478438234E-4</v>
      </c>
      <c r="DI100" s="22">
        <f t="shared" si="69"/>
        <v>64.732148502289036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-2.2737367544323206E-13</v>
      </c>
      <c r="DP100" s="17">
        <f>DO100*VLOOKUP('Données projet'!$B$14,Paramètres!$A$1:$I$89,3,0)*VLOOKUP('Données projet'!$B$14,Paramètres!$A$1:$I$89,5,0)</f>
        <v>-1.2710188457276673E-13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355.23615781077405</v>
      </c>
      <c r="DU100" s="59">
        <f t="shared" si="98"/>
        <v>448.84541017639367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124.36692819916485</v>
      </c>
      <c r="EB100" s="21">
        <f>EXP(-LN(2)/25)*EB99+(1-EXP(-LN(2)/25))/(LN(2)/25)*Calculateur!DW100*Calculateur!DY100*VLOOKUP('Données projet'!$B$14,Paramètres!$A$1:$I$89,3,0)*0.475*44/12</f>
        <v>23.095421665048335</v>
      </c>
      <c r="EC100" s="21">
        <f>EXP(-LN(2)/2)*EC99+(1-EXP(-LN(2)/2))/(LN(2)/2)*DW100*DZ100*VLOOKUP('Données projet'!$B$14,Paramètres!$A$1:$I$89,3,0)*0.475*44/12</f>
        <v>1.5191976637541293E-4</v>
      </c>
      <c r="ED100" s="22">
        <f t="shared" si="72"/>
        <v>147.46250178397958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3.7999999999999994</v>
      </c>
      <c r="EJ100" s="12">
        <f>IF('Données projet'!$A$192&gt;35,EJ99+EI100-ER99,IF(A100&lt;'Données projet'!$A$192,$EG$205^A100,IF(A100='Données projet'!$A$192,'Données projet'!$B$192,EJ99+EI100-ER99)))</f>
        <v>149.79999999999998</v>
      </c>
      <c r="EK100" s="17">
        <f>EJ100*VLOOKUP('Données projet'!$B$15,Paramètres!$A$1:$I$89,3,0)*VLOOKUP('Données projet'!$B$15,Paramètres!$A$1:$I$89,5,0)</f>
        <v>161.24471999999997</v>
      </c>
      <c r="EL100" s="13">
        <f t="shared" si="99"/>
        <v>41.123138729275411</v>
      </c>
      <c r="EM100" s="20">
        <f t="shared" si="73"/>
        <v>352.45735395348794</v>
      </c>
      <c r="EN100" s="59">
        <f t="shared" si="74"/>
        <v>645.79068728682125</v>
      </c>
      <c r="EO100" s="59">
        <f ca="1">AVERAGE(OFFSET($EN$3,0,0,'Données projet'!$E$15+1,1))-AVERAGE(OFFSET($H$3,0,0,'Données projet'!$E$15+1,1))</f>
        <v>130.76477588601989</v>
      </c>
      <c r="EP100" s="59">
        <f t="shared" si="100"/>
        <v>94.034011511502172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25.653527587048071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25.653527587048071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-2.2737367544323206E-13</v>
      </c>
      <c r="FF100" s="17">
        <f>FE100*VLOOKUP('Données projet'!$B$16,Paramètres!$A$1:$I$89,3,0)*VLOOKUP('Données projet'!$B$16,Paramètres!$A$1:$I$89,5,0)</f>
        <v>-1.0345502232667058E-13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279.43442619866738</v>
      </c>
      <c r="FK100" s="59">
        <f t="shared" si="102"/>
        <v>355.95192241448217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101.22889504583181</v>
      </c>
      <c r="FR100" s="21">
        <f>EXP(-LN(2)/25)*FR99+(1-EXP(-LN(2)/25))/(LN(2)/25)*Calculateur!FM100*Calculateur!FO100*VLOOKUP('Données projet'!$B$16,Paramètres!$A$1:$I$89,3,0)*0.475*44/12</f>
        <v>18.798599029690518</v>
      </c>
      <c r="FS100" s="21">
        <f>EXP(-LN(2)/2)*FS99+(1-EXP(-LN(2)/2))/(LN(2)/2)*FM100*FP100*VLOOKUP('Données projet'!$B$16,Paramètres!$A$1:$I$89,3,0)*0.475*44/12</f>
        <v>1.2365562379394076E-4</v>
      </c>
      <c r="FT100" s="22">
        <f t="shared" si="78"/>
        <v>120.02761773114612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-6.7984728957526396E-14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227.89848316900191</v>
      </c>
      <c r="T101" s="59">
        <f t="shared" si="88"/>
        <v>239.85955661394541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67.521264470942313</v>
      </c>
      <c r="AA101" s="21">
        <f>EXP(-LN(2)/25)*AA100+(1-EXP(-LN(2)/25))/(LN(2)/25)*Calculateur!V101*Calculateur!X101*VLOOKUP('Données projet'!$B$9,Paramètres!$A$1:$I$89,3,0)*0.475*44/12</f>
        <v>12.043828403593249</v>
      </c>
      <c r="AB101" s="21">
        <f>EXP(-LN(2)/2)*AB100+(1-EXP(-LN(2)/2))/(LN(2)/2)*V101*Y101*VLOOKUP('Données projet'!$B$9,Paramètres!$A$1:$I$89,3,0)*0.475*44/12</f>
        <v>1.3983940249601197E-4</v>
      </c>
      <c r="AC101" s="22">
        <f t="shared" si="57"/>
        <v>79.565232713938059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6.5</v>
      </c>
      <c r="AI101" s="13">
        <f>IF('Données projet'!$A$62&gt;35,AI100+AH101-AQ100,IF(A101&lt;'Données projet'!$A$62,$AF$205^A101,IF(A101='Données projet'!$A$62,'Données projet'!$B$62,AI100+AH101-AQ100)))</f>
        <v>229.50000000000028</v>
      </c>
      <c r="AJ101" s="13">
        <f>AI101*VLOOKUP('Données projet'!$B$10,Paramètres!$A$1:$I$89,3,0)*VLOOKUP('Données projet'!$B$10,Paramètres!$A$1:$I$89,5,0)</f>
        <v>207.65160000000026</v>
      </c>
      <c r="AK101" s="13">
        <f t="shared" si="89"/>
        <v>51.4220658130182</v>
      </c>
      <c r="AL101" s="20">
        <f t="shared" si="58"/>
        <v>451.21996795767382</v>
      </c>
      <c r="AM101" s="59">
        <f t="shared" si="59"/>
        <v>744.55330129100707</v>
      </c>
      <c r="AN101" s="59">
        <f ca="1">AVERAGE(OFFSET($AM$3,0,0,'Données projet'!$E$10+1,1))-AVERAGE(OFFSET($H$3,0,0,'Données projet'!$E$10+1,1))</f>
        <v>215.7418266360167</v>
      </c>
      <c r="AO101" s="59">
        <f t="shared" si="90"/>
        <v>155.78420008229949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55.41477710448455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55.41477710448455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4.75</v>
      </c>
      <c r="BD101" s="12">
        <f>IF('Données projet'!$A$88&gt;35,BD100+BC101-BL100,IF(A101&lt;'Données projet'!$A$88,$BA$205^A101,IF(A101='Données projet'!$A$88,'Données projet'!$B$88,BD100+BC101-BL100)))</f>
        <v>191.99999999999991</v>
      </c>
      <c r="BE101" s="13">
        <f>BD101*VLOOKUP('Données projet'!$B$11,Paramètres!$A$1:$I$89,3,0)*VLOOKUP('Données projet'!$B$11,Paramètres!$A$1:$I$89,5,0)</f>
        <v>194.68799999999993</v>
      </c>
      <c r="BF101" s="13">
        <f t="shared" si="91"/>
        <v>48.574928228914978</v>
      </c>
      <c r="BG101" s="20">
        <f t="shared" si="61"/>
        <v>423.68293333202678</v>
      </c>
      <c r="BH101" s="59">
        <f t="shared" si="62"/>
        <v>717.01626666536004</v>
      </c>
      <c r="BI101" s="59">
        <f ca="1">AVERAGE(OFFSET($BH$3,0,0,'Données projet'!$E$11+1,1))-AVERAGE(OFFSET($H$3,0,0,'Données projet'!$E$11+1,1))</f>
        <v>179.53921263314447</v>
      </c>
      <c r="BJ101" s="59">
        <f t="shared" si="92"/>
        <v>120.81513023281337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29.61559857393544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29.61559857393544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-20.362198359625051</v>
      </c>
      <c r="BY101" s="12">
        <f>IF('Données projet'!$A$114&gt;35,BY100+BX101-CG100,IF(A101&lt;'Données projet'!$A$114,$BV$205^A101,IF(A101='Données projet'!$A$114,'Données projet'!$B$114,BY100+BX101-CG100)))</f>
        <v>640.72439671925054</v>
      </c>
      <c r="BZ101" s="13">
        <f>BY101*VLOOKUP('Données projet'!$B$12,Paramètres!$A$1:$I$89,3,0)*VLOOKUP('Données projet'!$B$12,Paramètres!$A$1:$I$89,5,0)</f>
        <v>299.85901766460927</v>
      </c>
      <c r="CA101" s="13">
        <f t="shared" si="93"/>
        <v>71.146907354503014</v>
      </c>
      <c r="CB101" s="20">
        <f t="shared" si="64"/>
        <v>646.16865274162058</v>
      </c>
      <c r="CC101" s="59">
        <f t="shared" si="65"/>
        <v>939.50198607495395</v>
      </c>
      <c r="CD101" s="59">
        <f ca="1">AVERAGE(OFFSET($CC$3,0,0,'Données projet'!$E$12+1,1))-AVERAGE(OFFSET($H$3,0,0,'Données projet'!$E$12+1,1))</f>
        <v>310.06530483941287</v>
      </c>
      <c r="CE101" s="59">
        <f t="shared" si="94"/>
        <v>170.13425794309376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93.287283950977098</v>
      </c>
      <c r="CL101" s="21">
        <f>EXP(-LN(2)/25)*CL100+(1-EXP(-LN(2)/25))/(LN(2)/25)*Calculateur!CG101*Calculateur!CI101*VLOOKUP('Données projet'!$B$12,Paramètres!$A$1:$I$89,3,0)*0.475*44/12</f>
        <v>19.391214239025651</v>
      </c>
      <c r="CM101" s="21">
        <f>EXP(-LN(2)/2)*CM100+(1-EXP(-LN(2)/2))/(LN(2)/2)*CG101*CJ101*VLOOKUP('Données projet'!$B$12,Paramètres!$A$1:$I$89,3,0)*0.475*44/12</f>
        <v>0.72163254805808419</v>
      </c>
      <c r="CN101" s="22">
        <f t="shared" si="66"/>
        <v>113.40013073806084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>
        <f>CT101*VLOOKUP('Données projet'!$B$13,Paramètres!$A$1:$I$89,3,0)*VLOOKUP('Données projet'!$B$13,Paramètres!$A$1:$I$89,5,0)</f>
        <v>0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168.08890945052406</v>
      </c>
      <c r="CZ101" s="59">
        <f t="shared" si="96"/>
        <v>182.52462557642343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53.428203929027319</v>
      </c>
      <c r="DG101" s="21">
        <f>EXP(-LN(2)/25)*DG100+(1-EXP(-LN(2)/25))/(LN(2)/25)*Calculateur!DB101*Calculateur!DD101*VLOOKUP('Données projet'!$B$13,Paramètres!$A$1:$I$89,3,0)*0.475*44/12</f>
        <v>9.9552611123634769</v>
      </c>
      <c r="DH101" s="21">
        <f>EXP(-LN(2)/2)*DH100+(1-EXP(-LN(2)/2))/(LN(2)/2)*DB101*DE101*VLOOKUP('Données projet'!$B$13,Paramètres!$A$1:$I$89,3,0)*0.475*44/12</f>
        <v>1.0812271134481052E-4</v>
      </c>
      <c r="DI101" s="22">
        <f t="shared" si="69"/>
        <v>63.383573164102138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-2.2737367544323206E-13</v>
      </c>
      <c r="DP101" s="17">
        <f>DO101*VLOOKUP('Données projet'!$B$14,Paramètres!$A$1:$I$89,3,0)*VLOOKUP('Données projet'!$B$14,Paramètres!$A$1:$I$89,5,0)</f>
        <v>-1.2710188457276673E-13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355.23615781077405</v>
      </c>
      <c r="DU101" s="59">
        <f t="shared" si="98"/>
        <v>448.84541017639367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121.92816859351524</v>
      </c>
      <c r="EB101" s="21">
        <f>EXP(-LN(2)/25)*EB100+(1-EXP(-LN(2)/25))/(LN(2)/25)*Calculateur!DW101*Calculateur!DY101*VLOOKUP('Données projet'!$B$14,Paramètres!$A$1:$I$89,3,0)*0.475*44/12</f>
        <v>22.463876145082146</v>
      </c>
      <c r="EC101" s="21">
        <f>EXP(-LN(2)/2)*EC100+(1-EXP(-LN(2)/2))/(LN(2)/2)*DW101*DZ101*VLOOKUP('Données projet'!$B$14,Paramètres!$A$1:$I$89,3,0)*0.475*44/12</f>
        <v>1.0742349700033053E-4</v>
      </c>
      <c r="ED101" s="22">
        <f t="shared" si="72"/>
        <v>144.39215216209439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3.7999999999999994</v>
      </c>
      <c r="EJ101" s="12">
        <f>IF('Données projet'!$A$192&gt;35,EJ100+EI101-ER100,IF(A101&lt;'Données projet'!$A$192,$EG$205^A101,IF(A101='Données projet'!$A$192,'Données projet'!$B$192,EJ100+EI101-ER100)))</f>
        <v>153.6</v>
      </c>
      <c r="EK101" s="17">
        <f>EJ101*VLOOKUP('Données projet'!$B$15,Paramètres!$A$1:$I$89,3,0)*VLOOKUP('Données projet'!$B$15,Paramètres!$A$1:$I$89,5,0)</f>
        <v>165.33503999999999</v>
      </c>
      <c r="EL101" s="13">
        <f t="shared" si="99"/>
        <v>42.043541832676617</v>
      </c>
      <c r="EM101" s="20">
        <f t="shared" si="73"/>
        <v>361.18436335857842</v>
      </c>
      <c r="EN101" s="59">
        <f t="shared" si="74"/>
        <v>654.51769669191174</v>
      </c>
      <c r="EO101" s="59">
        <f ca="1">AVERAGE(OFFSET($EN$3,0,0,'Données projet'!$E$15+1,1))-AVERAGE(OFFSET($H$3,0,0,'Données projet'!$E$15+1,1))</f>
        <v>130.76477588601989</v>
      </c>
      <c r="EP101" s="59">
        <f t="shared" si="100"/>
        <v>94.034011511502172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25.150477558172863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25.150477558172863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-2.2737367544323206E-13</v>
      </c>
      <c r="FF101" s="17">
        <f>FE101*VLOOKUP('Données projet'!$B$16,Paramètres!$A$1:$I$89,3,0)*VLOOKUP('Données projet'!$B$16,Paramètres!$A$1:$I$89,5,0)</f>
        <v>-1.0345502232667058E-13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279.43442619866738</v>
      </c>
      <c r="FK101" s="59">
        <f t="shared" si="102"/>
        <v>355.95192241448217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99.243858157512349</v>
      </c>
      <c r="FR101" s="21">
        <f>EXP(-LN(2)/25)*FR100+(1-EXP(-LN(2)/25))/(LN(2)/25)*Calculateur!FM101*Calculateur!FO101*VLOOKUP('Données projet'!$B$16,Paramètres!$A$1:$I$89,3,0)*0.475*44/12</f>
        <v>18.284550350648271</v>
      </c>
      <c r="FS101" s="21">
        <f>EXP(-LN(2)/2)*FS100+(1-EXP(-LN(2)/2))/(LN(2)/2)*FM101*FP101*VLOOKUP('Données projet'!$B$16,Paramètres!$A$1:$I$89,3,0)*0.475*44/12</f>
        <v>8.7437730116548108E-5</v>
      </c>
      <c r="FT101" s="22">
        <f t="shared" si="78"/>
        <v>117.52849594589074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-6.7984728957526396E-14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227.89848316900191</v>
      </c>
      <c r="T102" s="59">
        <f t="shared" si="88"/>
        <v>239.85955661394541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66.197213658571883</v>
      </c>
      <c r="AA102" s="21">
        <f>EXP(-LN(2)/25)*AA101+(1-EXP(-LN(2)/25))/(LN(2)/25)*Calculateur!V102*Calculateur!X102*VLOOKUP('Données projet'!$B$9,Paramètres!$A$1:$I$89,3,0)*0.475*44/12</f>
        <v>11.714489282539583</v>
      </c>
      <c r="AB102" s="21">
        <f>EXP(-LN(2)/2)*AB101+(1-EXP(-LN(2)/2))/(LN(2)/2)*V102*Y102*VLOOKUP('Données projet'!$B$9,Paramètres!$A$1:$I$89,3,0)*0.475*44/12</f>
        <v>9.8881389782005084E-5</v>
      </c>
      <c r="AC102" s="22">
        <f t="shared" si="57"/>
        <v>77.911801822501261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6.5</v>
      </c>
      <c r="AI102" s="13">
        <f>IF('Données projet'!$A$62&gt;35,AI101+AH102-AQ101,IF(A102&lt;'Données projet'!$A$62,$AF$205^A102,IF(A102='Données projet'!$A$62,'Données projet'!$B$62,AI101+AH102-AQ101)))</f>
        <v>236.00000000000028</v>
      </c>
      <c r="AJ102" s="13">
        <f>AI102*VLOOKUP('Données projet'!$B$10,Paramètres!$A$1:$I$89,3,0)*VLOOKUP('Données projet'!$B$10,Paramètres!$A$1:$I$89,5,0)</f>
        <v>213.53280000000026</v>
      </c>
      <c r="AK102" s="13">
        <f t="shared" si="89"/>
        <v>52.706840209271277</v>
      </c>
      <c r="AL102" s="20">
        <f t="shared" si="58"/>
        <v>463.70070669781461</v>
      </c>
      <c r="AM102" s="59">
        <f t="shared" si="59"/>
        <v>757.03404003114792</v>
      </c>
      <c r="AN102" s="59">
        <f ca="1">AVERAGE(OFFSET($AM$3,0,0,'Données projet'!$E$10+1,1))-AVERAGE(OFFSET($H$3,0,0,'Données projet'!$E$10+1,1))</f>
        <v>215.7418266360167</v>
      </c>
      <c r="AO102" s="59">
        <f t="shared" si="90"/>
        <v>155.78420008229949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54.328127125142203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54.328127125142203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4.75</v>
      </c>
      <c r="BD102" s="12">
        <f>IF('Données projet'!$A$88&gt;35,BD101+BC102-BL101,IF(A102&lt;'Données projet'!$A$88,$BA$205^A102,IF(A102='Données projet'!$A$88,'Données projet'!$B$88,BD101+BC102-BL101)))</f>
        <v>196.74999999999991</v>
      </c>
      <c r="BE102" s="13">
        <f>BD102*VLOOKUP('Données projet'!$B$11,Paramètres!$A$1:$I$89,3,0)*VLOOKUP('Données projet'!$B$11,Paramètres!$A$1:$I$89,5,0)</f>
        <v>199.50449999999992</v>
      </c>
      <c r="BF102" s="13">
        <f t="shared" si="91"/>
        <v>49.635256106426247</v>
      </c>
      <c r="BG102" s="20">
        <f t="shared" si="61"/>
        <v>433.91840855202554</v>
      </c>
      <c r="BH102" s="59">
        <f t="shared" si="62"/>
        <v>727.2517418853588</v>
      </c>
      <c r="BI102" s="59">
        <f ca="1">AVERAGE(OFFSET($BH$3,0,0,'Données projet'!$E$11+1,1))-AVERAGE(OFFSET($H$3,0,0,'Données projet'!$E$11+1,1))</f>
        <v>179.53921263314447</v>
      </c>
      <c r="BJ102" s="59">
        <f t="shared" si="92"/>
        <v>120.81513023281337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29.03485474963205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29.03485474963205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-20.362198359625051</v>
      </c>
      <c r="BY102" s="12">
        <f>IF('Données projet'!$A$114&gt;35,BY101+BX102-CG101,IF(A102&lt;'Données projet'!$A$114,$BV$205^A102,IF(A102='Données projet'!$A$114,'Données projet'!$B$114,BY101+BX102-CG101)))</f>
        <v>620.36219835962549</v>
      </c>
      <c r="BZ102" s="13">
        <f>BY102*VLOOKUP('Données projet'!$B$12,Paramètres!$A$1:$I$89,3,0)*VLOOKUP('Données projet'!$B$12,Paramètres!$A$1:$I$89,5,0)</f>
        <v>290.32950883230473</v>
      </c>
      <c r="CA102" s="13">
        <f t="shared" si="93"/>
        <v>69.145307281488826</v>
      </c>
      <c r="CB102" s="20">
        <f t="shared" si="64"/>
        <v>626.08530473152371</v>
      </c>
      <c r="CC102" s="59">
        <f t="shared" si="65"/>
        <v>919.41863806485708</v>
      </c>
      <c r="CD102" s="59">
        <f ca="1">AVERAGE(OFFSET($CC$3,0,0,'Données projet'!$E$12+1,1))-AVERAGE(OFFSET($H$3,0,0,'Données projet'!$E$12+1,1))</f>
        <v>310.06530483941287</v>
      </c>
      <c r="CE102" s="59">
        <f t="shared" si="94"/>
        <v>170.13425794309376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91.457977212323271</v>
      </c>
      <c r="CL102" s="21">
        <f>EXP(-LN(2)/25)*CL101+(1-EXP(-LN(2)/25))/(LN(2)/25)*Calculateur!CG102*Calculateur!CI102*VLOOKUP('Données projet'!$B$12,Paramètres!$A$1:$I$89,3,0)*0.475*44/12</f>
        <v>18.860960465919856</v>
      </c>
      <c r="CM102" s="21">
        <f>EXP(-LN(2)/2)*CM101+(1-EXP(-LN(2)/2))/(LN(2)/2)*CG102*CJ102*VLOOKUP('Données projet'!$B$12,Paramètres!$A$1:$I$89,3,0)*0.475*44/12</f>
        <v>0.51027126825679847</v>
      </c>
      <c r="CN102" s="22">
        <f t="shared" si="66"/>
        <v>110.82920894649993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>
        <f>CT102*VLOOKUP('Données projet'!$B$13,Paramètres!$A$1:$I$89,3,0)*VLOOKUP('Données projet'!$B$13,Paramètres!$A$1:$I$89,5,0)</f>
        <v>0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168.08890945052406</v>
      </c>
      <c r="CZ102" s="59">
        <f t="shared" si="96"/>
        <v>182.52462557642343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52.380509437965692</v>
      </c>
      <c r="DG102" s="21">
        <f>EXP(-LN(2)/25)*DG101+(1-EXP(-LN(2)/25))/(LN(2)/25)*Calculateur!DB102*Calculateur!DD102*VLOOKUP('Données projet'!$B$13,Paramètres!$A$1:$I$89,3,0)*0.475*44/12</f>
        <v>9.6830339737214679</v>
      </c>
      <c r="DH102" s="21">
        <f>EXP(-LN(2)/2)*DH101+(1-EXP(-LN(2)/2))/(LN(2)/2)*DB102*DE102*VLOOKUP('Données projet'!$B$13,Paramètres!$A$1:$I$89,3,0)*0.475*44/12</f>
        <v>7.6454302392191172E-5</v>
      </c>
      <c r="DI102" s="22">
        <f t="shared" si="69"/>
        <v>62.063619865989558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-2.2737367544323206E-13</v>
      </c>
      <c r="DP102" s="17">
        <f>DO102*VLOOKUP('Données projet'!$B$14,Paramètres!$A$1:$I$89,3,0)*VLOOKUP('Données projet'!$B$14,Paramètres!$A$1:$I$89,5,0)</f>
        <v>-1.2710188457276673E-13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355.23615781077405</v>
      </c>
      <c r="DU102" s="59">
        <f t="shared" si="98"/>
        <v>448.84541017639367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119.53723157623594</v>
      </c>
      <c r="EB102" s="21">
        <f>EXP(-LN(2)/25)*EB101+(1-EXP(-LN(2)/25))/(LN(2)/25)*Calculateur!DW102*Calculateur!DY102*VLOOKUP('Données projet'!$B$14,Paramètres!$A$1:$I$89,3,0)*0.475*44/12</f>
        <v>21.849600270570971</v>
      </c>
      <c r="EC102" s="21">
        <f>EXP(-LN(2)/2)*EC101+(1-EXP(-LN(2)/2))/(LN(2)/2)*DW102*DZ102*VLOOKUP('Données projet'!$B$14,Paramètres!$A$1:$I$89,3,0)*0.475*44/12</f>
        <v>7.5959883187706463E-5</v>
      </c>
      <c r="ED102" s="22">
        <f t="shared" si="72"/>
        <v>141.38690780669009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3.7999999999999994</v>
      </c>
      <c r="EJ102" s="12">
        <f>IF('Données projet'!$A$192&gt;35,EJ101+EI102-ER101,IF(A102&lt;'Données projet'!$A$192,$EG$205^A102,IF(A102='Données projet'!$A$192,'Données projet'!$B$192,EJ101+EI102-ER101)))</f>
        <v>157.4</v>
      </c>
      <c r="EK102" s="17">
        <f>EJ102*VLOOKUP('Données projet'!$B$15,Paramètres!$A$1:$I$89,3,0)*VLOOKUP('Données projet'!$B$15,Paramètres!$A$1:$I$89,5,0)</f>
        <v>169.42535999999998</v>
      </c>
      <c r="EL102" s="13">
        <f t="shared" si="99"/>
        <v>42.961297990017918</v>
      </c>
      <c r="EM102" s="20">
        <f t="shared" si="73"/>
        <v>369.90676266594784</v>
      </c>
      <c r="EN102" s="59">
        <f t="shared" si="74"/>
        <v>663.24009599928115</v>
      </c>
      <c r="EO102" s="59">
        <f ca="1">AVERAGE(OFFSET($EN$3,0,0,'Données projet'!$E$15+1,1))-AVERAGE(OFFSET($H$3,0,0,'Données projet'!$E$15+1,1))</f>
        <v>130.76477588601989</v>
      </c>
      <c r="EP102" s="59">
        <f t="shared" si="100"/>
        <v>94.034011511502172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24.657292033533675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24.657292033533675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-2.2737367544323206E-13</v>
      </c>
      <c r="FF102" s="17">
        <f>FE102*VLOOKUP('Données projet'!$B$16,Paramètres!$A$1:$I$89,3,0)*VLOOKUP('Données projet'!$B$16,Paramètres!$A$1:$I$89,5,0)</f>
        <v>-1.0345502232667058E-13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279.43442619866738</v>
      </c>
      <c r="FK102" s="59">
        <f t="shared" si="102"/>
        <v>355.95192241448217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97.297746631819891</v>
      </c>
      <c r="FR102" s="21">
        <f>EXP(-LN(2)/25)*FR101+(1-EXP(-LN(2)/25))/(LN(2)/25)*Calculateur!FM102*Calculateur!FO102*VLOOKUP('Données projet'!$B$16,Paramètres!$A$1:$I$89,3,0)*0.475*44/12</f>
        <v>17.784558359767082</v>
      </c>
      <c r="FS102" s="21">
        <f>EXP(-LN(2)/2)*FS101+(1-EXP(-LN(2)/2))/(LN(2)/2)*FM102*FP102*VLOOKUP('Données projet'!$B$16,Paramètres!$A$1:$I$89,3,0)*0.475*44/12</f>
        <v>6.1827811896970379E-5</v>
      </c>
      <c r="FT102" s="22">
        <f t="shared" si="78"/>
        <v>115.08236681939886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-6.7984728957526396E-14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227.89848316900191</v>
      </c>
      <c r="T103" s="59">
        <f t="shared" si="88"/>
        <v>239.85955661394541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64.89912667504079</v>
      </c>
      <c r="AA103" s="21">
        <f>EXP(-LN(2)/25)*AA102+(1-EXP(-LN(2)/25))/(LN(2)/25)*Calculateur!V103*Calculateur!X103*VLOOKUP('Données projet'!$B$9,Paramètres!$A$1:$I$89,3,0)*0.475*44/12</f>
        <v>11.394155957070321</v>
      </c>
      <c r="AB103" s="21">
        <f>EXP(-LN(2)/2)*AB102+(1-EXP(-LN(2)/2))/(LN(2)/2)*V103*Y103*VLOOKUP('Données projet'!$B$9,Paramètres!$A$1:$I$89,3,0)*0.475*44/12</f>
        <v>6.9919701248005985E-5</v>
      </c>
      <c r="AC103" s="22">
        <f t="shared" si="57"/>
        <v>76.293352551812362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6.5</v>
      </c>
      <c r="AI103" s="13">
        <f>IF('Données projet'!$A$62&gt;35,AI102+AH103-AQ102,IF(A103&lt;'Données projet'!$A$62,$AF$205^A103,IF(A103='Données projet'!$A$62,'Données projet'!$B$62,AI102+AH103-AQ102)))</f>
        <v>242.50000000000028</v>
      </c>
      <c r="AJ103" s="13">
        <f>AI103*VLOOKUP('Données projet'!$B$10,Paramètres!$A$1:$I$89,3,0)*VLOOKUP('Données projet'!$B$10,Paramètres!$A$1:$I$89,5,0)</f>
        <v>219.41400000000024</v>
      </c>
      <c r="AK103" s="13">
        <f t="shared" si="89"/>
        <v>53.987501751847219</v>
      </c>
      <c r="AL103" s="20">
        <f t="shared" si="58"/>
        <v>476.17428221780096</v>
      </c>
      <c r="AM103" s="59">
        <f t="shared" si="59"/>
        <v>769.50761555113422</v>
      </c>
      <c r="AN103" s="59">
        <f ca="1">AVERAGE(OFFSET($AM$3,0,0,'Données projet'!$E$10+1,1))-AVERAGE(OFFSET($H$3,0,0,'Données projet'!$E$10+1,1))</f>
        <v>215.7418266360167</v>
      </c>
      <c r="AO103" s="59">
        <f t="shared" si="90"/>
        <v>155.78420008229949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53.262785689103715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53.262785689103715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4.75</v>
      </c>
      <c r="BD103" s="12">
        <f>IF('Données projet'!$A$88&gt;35,BD102+BC103-BL102,IF(A103&lt;'Données projet'!$A$88,$BA$205^A103,IF(A103='Données projet'!$A$88,'Données projet'!$B$88,BD102+BC103-BL102)))</f>
        <v>201.49999999999991</v>
      </c>
      <c r="BE103" s="13">
        <f>BD103*VLOOKUP('Données projet'!$B$11,Paramètres!$A$1:$I$89,3,0)*VLOOKUP('Données projet'!$B$11,Paramètres!$A$1:$I$89,5,0)</f>
        <v>204.32099999999991</v>
      </c>
      <c r="BF103" s="13">
        <f t="shared" si="91"/>
        <v>50.692608164738445</v>
      </c>
      <c r="BG103" s="20">
        <f t="shared" si="61"/>
        <v>444.14870088691924</v>
      </c>
      <c r="BH103" s="59">
        <f t="shared" si="62"/>
        <v>737.48203422025256</v>
      </c>
      <c r="BI103" s="59">
        <f ca="1">AVERAGE(OFFSET($BH$3,0,0,'Données projet'!$E$11+1,1))-AVERAGE(OFFSET($H$3,0,0,'Données projet'!$E$11+1,1))</f>
        <v>179.53921263314447</v>
      </c>
      <c r="BJ103" s="59">
        <f t="shared" si="92"/>
        <v>120.81513023281337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28.465498957504494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28.465498957504494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600</v>
      </c>
      <c r="BW103" s="12">
        <f>VLOOKUP(A103,'Données projet'!$A$113:$I$133,9,0)</f>
        <v>-20.362198359625051</v>
      </c>
      <c r="BX103" s="12">
        <f t="array" ref="BX103">INDEX(BW:BW,MIN(IF(ISNUMBER(BW103:BW299),ROW(BW103:BW299),"")))</f>
        <v>-20.362198359625051</v>
      </c>
      <c r="BY103" s="12">
        <f>IF('Données projet'!$A$114&gt;35,BY102+BX103-CG102,IF(A103&lt;'Données projet'!$A$114,$BV$205^A103,IF(A103='Données projet'!$A$114,'Données projet'!$B$114,BY102+BX103-CG102)))</f>
        <v>600.00000000000045</v>
      </c>
      <c r="BZ103" s="13">
        <f>BY103*VLOOKUP('Données projet'!$B$12,Paramètres!$A$1:$I$89,3,0)*VLOOKUP('Données projet'!$B$12,Paramètres!$A$1:$I$89,5,0)</f>
        <v>280.80000000000018</v>
      </c>
      <c r="CA103" s="13">
        <f t="shared" si="93"/>
        <v>67.136043795470343</v>
      </c>
      <c r="CB103" s="20">
        <f t="shared" si="64"/>
        <v>605.98860961044454</v>
      </c>
      <c r="CC103" s="59">
        <f t="shared" si="65"/>
        <v>899.32194294377791</v>
      </c>
      <c r="CD103" s="59">
        <f ca="1">AVERAGE(OFFSET($CC$3,0,0,'Données projet'!$E$12+1,1))-AVERAGE(OFFSET($H$3,0,0,'Données projet'!$E$12+1,1))</f>
        <v>310.06530483941287</v>
      </c>
      <c r="CE103" s="59">
        <f t="shared" si="94"/>
        <v>170.13425794309376</v>
      </c>
      <c r="CF103" s="15" t="str">
        <f>IF(ISNA(VLOOKUP(A103,'Données projet'!$A$113:$I$133,3,0)),0,VLOOKUP(A103,'Données projet'!$A$113:$I$133,3,0))</f>
        <v>CR</v>
      </c>
      <c r="CG103" s="15">
        <f>IF(ISNA(VLOOKUP(A103,'Données projet'!$A$113:$I$133,4,0)),0,VLOOKUP(A103,'Données projet'!$A$113:$I$133,4,0))</f>
        <v>100</v>
      </c>
      <c r="CH103" s="16">
        <f>IF(ISNA(VLOOKUP(A103,'Données projet'!$A$113:$I$133,5,0)),0%,VLOOKUP(A103,'Données projet'!$A$113:$I$133,5,0)*VLOOKUP('Données projet'!$B$12,Paramètres!$A$1:$I$89,7,0))</f>
        <v>0.38500000000000001</v>
      </c>
      <c r="CI103" s="16">
        <f>IF(ISNA(VLOOKUP(A103,'Données projet'!$A$113:$I$133,6,0)),0%,VLOOKUP(A103,'Données projet'!$A$113:$I$133,6,0)*VLOOKUP('Données projet'!$B$12,Paramètres!$A$1:$I$89,7,0))</f>
        <v>9.240000000000001E-2</v>
      </c>
      <c r="CJ103" s="16">
        <f>IF(ISNA(VLOOKUP(A103,'Données projet'!$A$113:$I$133,7,0)),0%,VLOOKUP(A103,'Données projet'!$A$113:$I$133,7,0))</f>
        <v>0.13200000000000001</v>
      </c>
      <c r="CK103" s="21">
        <f>EXP(-LN(2)/35)*CK102+(1-EXP(-LN(2)/35))/(LN(2)/35)*CG103*CH103*VLOOKUP('Données projet'!$B$12,Paramètres!$A$1:$I$89,3,0)*0.475*44/12</f>
        <v>113.56658042115716</v>
      </c>
      <c r="CL103" s="21">
        <f>EXP(-LN(2)/25)*CL102+(1-EXP(-LN(2)/25))/(LN(2)/25)*Calculateur!CG103*Calculateur!CI103*VLOOKUP('Données projet'!$B$12,Paramètres!$A$1:$I$89,3,0)*0.475*44/12</f>
        <v>24.059108972293224</v>
      </c>
      <c r="CM103" s="21">
        <f>EXP(-LN(2)/2)*CM102+(1-EXP(-LN(2)/2))/(LN(2)/2)*CG103*CJ103*VLOOKUP('Données projet'!$B$12,Paramètres!$A$1:$I$89,3,0)*0.475*44/12</f>
        <v>7.3552945152285369</v>
      </c>
      <c r="CN103" s="22">
        <f t="shared" si="66"/>
        <v>144.98098390867892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>
        <f>CT103*VLOOKUP('Données projet'!$B$13,Paramètres!$A$1:$I$89,3,0)*VLOOKUP('Données projet'!$B$13,Paramètres!$A$1:$I$89,5,0)</f>
        <v>0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168.08890945052406</v>
      </c>
      <c r="CZ103" s="59">
        <f t="shared" si="96"/>
        <v>182.52462557642343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51.353359596843248</v>
      </c>
      <c r="DG103" s="21">
        <f>EXP(-LN(2)/25)*DG102+(1-EXP(-LN(2)/25))/(LN(2)/25)*Calculateur!DB103*Calculateur!DD103*VLOOKUP('Données projet'!$B$13,Paramètres!$A$1:$I$89,3,0)*0.475*44/12</f>
        <v>9.4182509005014285</v>
      </c>
      <c r="DH103" s="21">
        <f>EXP(-LN(2)/2)*DH102+(1-EXP(-LN(2)/2))/(LN(2)/2)*DB103*DE103*VLOOKUP('Données projet'!$B$13,Paramètres!$A$1:$I$89,3,0)*0.475*44/12</f>
        <v>5.4061355672405261E-5</v>
      </c>
      <c r="DI103" s="22">
        <f t="shared" si="69"/>
        <v>60.771664558700344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-2.2737367544323206E-13</v>
      </c>
      <c r="DP103" s="17">
        <f>DO103*VLOOKUP('Données projet'!$B$14,Paramètres!$A$1:$I$89,3,0)*VLOOKUP('Données projet'!$B$14,Paramètres!$A$1:$I$89,5,0)</f>
        <v>-1.2710188457276673E-13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355.23615781077405</v>
      </c>
      <c r="DU103" s="59">
        <f t="shared" si="98"/>
        <v>448.84541017639367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117.19317937553789</v>
      </c>
      <c r="EB103" s="21">
        <f>EXP(-LN(2)/25)*EB102+(1-EXP(-LN(2)/25))/(LN(2)/25)*Calculateur!DW103*Calculateur!DY103*VLOOKUP('Données projet'!$B$14,Paramètres!$A$1:$I$89,3,0)*0.475*44/12</f>
        <v>21.252121802151667</v>
      </c>
      <c r="EC103" s="21">
        <f>EXP(-LN(2)/2)*EC102+(1-EXP(-LN(2)/2))/(LN(2)/2)*DW103*DZ103*VLOOKUP('Données projet'!$B$14,Paramètres!$A$1:$I$89,3,0)*0.475*44/12</f>
        <v>5.3711748500165265E-5</v>
      </c>
      <c r="ED103" s="22">
        <f t="shared" si="72"/>
        <v>138.44535488943808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3.7999999999999994</v>
      </c>
      <c r="EJ103" s="12">
        <f>IF('Données projet'!$A$192&gt;35,EJ102+EI103-ER102,IF(A103&lt;'Données projet'!$A$192,$EG$205^A103,IF(A103='Données projet'!$A$192,'Données projet'!$B$192,EJ102+EI103-ER102)))</f>
        <v>161.20000000000002</v>
      </c>
      <c r="EK103" s="17">
        <f>EJ103*VLOOKUP('Données projet'!$B$15,Paramètres!$A$1:$I$89,3,0)*VLOOKUP('Données projet'!$B$15,Paramètres!$A$1:$I$89,5,0)</f>
        <v>173.51568000000003</v>
      </c>
      <c r="EL103" s="13">
        <f t="shared" si="99"/>
        <v>43.876478456904387</v>
      </c>
      <c r="EM103" s="20">
        <f t="shared" si="73"/>
        <v>378.62467597910853</v>
      </c>
      <c r="EN103" s="59">
        <f t="shared" si="74"/>
        <v>671.95800931244185</v>
      </c>
      <c r="EO103" s="59">
        <f ca="1">AVERAGE(OFFSET($EN$3,0,0,'Données projet'!$E$15+1,1))-AVERAGE(OFFSET($H$3,0,0,'Données projet'!$E$15+1,1))</f>
        <v>130.76477588601989</v>
      </c>
      <c r="EP103" s="59">
        <f t="shared" si="100"/>
        <v>94.034011511502172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24.173777576219198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24.173777576219198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-2.2737367544323206E-13</v>
      </c>
      <c r="FF103" s="17">
        <f>FE103*VLOOKUP('Données projet'!$B$16,Paramètres!$A$1:$I$89,3,0)*VLOOKUP('Données projet'!$B$16,Paramètres!$A$1:$I$89,5,0)</f>
        <v>-1.0345502232667058E-13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279.43442619866738</v>
      </c>
      <c r="FK103" s="59">
        <f t="shared" si="102"/>
        <v>355.95192241448217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95.389797166135438</v>
      </c>
      <c r="FR103" s="21">
        <f>EXP(-LN(2)/25)*FR102+(1-EXP(-LN(2)/25))/(LN(2)/25)*Calculateur!FM103*Calculateur!FO103*VLOOKUP('Données projet'!$B$16,Paramètres!$A$1:$I$89,3,0)*0.475*44/12</f>
        <v>17.298238676169973</v>
      </c>
      <c r="FS103" s="21">
        <f>EXP(-LN(2)/2)*FS102+(1-EXP(-LN(2)/2))/(LN(2)/2)*FM103*FP103*VLOOKUP('Données projet'!$B$16,Paramètres!$A$1:$I$89,3,0)*0.475*44/12</f>
        <v>4.3718865058274054E-5</v>
      </c>
      <c r="FT103" s="22">
        <f t="shared" si="78"/>
        <v>112.68807956117047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-6.7984728957526396E-14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227.89848316900191</v>
      </c>
      <c r="T104" s="59">
        <f t="shared" si="88"/>
        <v>239.85955661394541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63.626494385501864</v>
      </c>
      <c r="AA104" s="21">
        <f>EXP(-LN(2)/25)*AA103+(1-EXP(-LN(2)/25))/(LN(2)/25)*Calculateur!V104*Calculateur!X104*VLOOKUP('Données projet'!$B$9,Paramètres!$A$1:$I$89,3,0)*0.475*44/12</f>
        <v>11.082582163231613</v>
      </c>
      <c r="AB104" s="21">
        <f>EXP(-LN(2)/2)*AB103+(1-EXP(-LN(2)/2))/(LN(2)/2)*V104*Y104*VLOOKUP('Données projet'!$B$9,Paramètres!$A$1:$I$89,3,0)*0.475*44/12</f>
        <v>4.9440694891002542E-5</v>
      </c>
      <c r="AC104" s="22">
        <f t="shared" si="57"/>
        <v>74.709125989428372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6.5</v>
      </c>
      <c r="AI104" s="13">
        <f>IF('Données projet'!$A$62&gt;35,AI103+AH104-AQ103,IF(A104&lt;'Données projet'!$A$62,$AF$205^A104,IF(A104='Données projet'!$A$62,'Données projet'!$B$62,AI103+AH104-AQ103)))</f>
        <v>249.00000000000028</v>
      </c>
      <c r="AJ104" s="13">
        <f>AI104*VLOOKUP('Données projet'!$B$10,Paramètres!$A$1:$I$89,3,0)*VLOOKUP('Données projet'!$B$10,Paramètres!$A$1:$I$89,5,0)</f>
        <v>225.29520000000025</v>
      </c>
      <c r="AK104" s="13">
        <f t="shared" si="89"/>
        <v>55.26417335229317</v>
      </c>
      <c r="AL104" s="20">
        <f t="shared" si="58"/>
        <v>488.64090858857759</v>
      </c>
      <c r="AM104" s="59">
        <f t="shared" si="59"/>
        <v>781.9742419219109</v>
      </c>
      <c r="AN104" s="59">
        <f ca="1">AVERAGE(OFFSET($AM$3,0,0,'Données projet'!$E$10+1,1))-AVERAGE(OFFSET($H$3,0,0,'Données projet'!$E$10+1,1))</f>
        <v>215.7418266360167</v>
      </c>
      <c r="AO104" s="59">
        <f t="shared" si="90"/>
        <v>155.78420008229949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52.218334948831831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52.218334948831831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4.75</v>
      </c>
      <c r="BD104" s="12">
        <f>IF('Données projet'!$A$88&gt;35,BD103+BC104-BL103,IF(A104&lt;'Données projet'!$A$88,$BA$205^A104,IF(A104='Données projet'!$A$88,'Données projet'!$B$88,BD103+BC104-BL103)))</f>
        <v>206.24999999999991</v>
      </c>
      <c r="BE104" s="13">
        <f>BD104*VLOOKUP('Données projet'!$B$11,Paramètres!$A$1:$I$89,3,0)*VLOOKUP('Données projet'!$B$11,Paramètres!$A$1:$I$89,5,0)</f>
        <v>209.13749999999993</v>
      </c>
      <c r="BF104" s="13">
        <f t="shared" si="91"/>
        <v>51.747062626146445</v>
      </c>
      <c r="BG104" s="20">
        <f t="shared" si="61"/>
        <v>454.37394657387154</v>
      </c>
      <c r="BH104" s="59">
        <f t="shared" si="62"/>
        <v>747.70727990720479</v>
      </c>
      <c r="BI104" s="59">
        <f ca="1">AVERAGE(OFFSET($BH$3,0,0,'Données projet'!$E$11+1,1))-AVERAGE(OFFSET($H$3,0,0,'Données projet'!$E$11+1,1))</f>
        <v>179.53921263314447</v>
      </c>
      <c r="BJ104" s="59">
        <f t="shared" si="92"/>
        <v>120.81513023281337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27.907307885187816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27.907307885187816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500.00000000000045</v>
      </c>
      <c r="BZ104" s="13">
        <f>BY104*VLOOKUP('Données projet'!$B$12,Paramètres!$A$1:$I$89,3,0)*VLOOKUP('Données projet'!$B$12,Paramètres!$A$1:$I$89,5,0)</f>
        <v>234.00000000000023</v>
      </c>
      <c r="CA104" s="13">
        <f t="shared" si="93"/>
        <v>57.146705242557189</v>
      </c>
      <c r="CB104" s="20">
        <f t="shared" si="64"/>
        <v>507.08051163078744</v>
      </c>
      <c r="CC104" s="59">
        <f t="shared" si="65"/>
        <v>800.4138449641207</v>
      </c>
      <c r="CD104" s="59">
        <f ca="1">AVERAGE(OFFSET($CC$3,0,0,'Données projet'!$E$12+1,1))-AVERAGE(OFFSET($H$3,0,0,'Données projet'!$E$12+1,1))</f>
        <v>310.06530483941287</v>
      </c>
      <c r="CE104" s="59">
        <f t="shared" si="94"/>
        <v>170.13425794309376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111.3396090478726</v>
      </c>
      <c r="CL104" s="21">
        <f>EXP(-LN(2)/25)*CL103+(1-EXP(-LN(2)/25))/(LN(2)/25)*Calculateur!CG104*Calculateur!CI104*VLOOKUP('Données projet'!$B$12,Paramètres!$A$1:$I$89,3,0)*0.475*44/12</f>
        <v>23.401211372232314</v>
      </c>
      <c r="CM104" s="21">
        <f>EXP(-LN(2)/2)*CM103+(1-EXP(-LN(2)/2))/(LN(2)/2)*CG104*CJ104*VLOOKUP('Données projet'!$B$12,Paramètres!$A$1:$I$89,3,0)*0.475*44/12</f>
        <v>5.2009786293423188</v>
      </c>
      <c r="CN104" s="22">
        <f t="shared" si="66"/>
        <v>139.94179904944724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168.08890945052406</v>
      </c>
      <c r="CZ104" s="59">
        <f t="shared" si="96"/>
        <v>182.52462557642343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50.346351537605671</v>
      </c>
      <c r="DG104" s="21">
        <f>EXP(-LN(2)/25)*DG103+(1-EXP(-LN(2)/25))/(LN(2)/25)*Calculateur!DB104*Calculateur!DD104*VLOOKUP('Données projet'!$B$13,Paramètres!$A$1:$I$89,3,0)*0.475*44/12</f>
        <v>9.1607083343429281</v>
      </c>
      <c r="DH104" s="21">
        <f>EXP(-LN(2)/2)*DH103+(1-EXP(-LN(2)/2))/(LN(2)/2)*DB104*DE104*VLOOKUP('Données projet'!$B$13,Paramètres!$A$1:$I$89,3,0)*0.475*44/12</f>
        <v>3.8227151196095586E-5</v>
      </c>
      <c r="DI104" s="22">
        <f t="shared" si="69"/>
        <v>59.507098099099792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-2.2737367544323206E-13</v>
      </c>
      <c r="DP104" s="17">
        <f>DO104*VLOOKUP('Données projet'!$B$14,Paramètres!$A$1:$I$89,3,0)*VLOOKUP('Données projet'!$B$14,Paramètres!$A$1:$I$89,5,0)</f>
        <v>-1.2710188457276673E-13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355.23615781077405</v>
      </c>
      <c r="DU104" s="59">
        <f t="shared" si="98"/>
        <v>448.84541017639367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114.89509260876487</v>
      </c>
      <c r="EB104" s="21">
        <f>EXP(-LN(2)/25)*EB103+(1-EXP(-LN(2)/25))/(LN(2)/25)*Calculateur!DW104*Calculateur!DY104*VLOOKUP('Données projet'!$B$14,Paramètres!$A$1:$I$89,3,0)*0.475*44/12</f>
        <v>20.670981413871317</v>
      </c>
      <c r="EC104" s="21">
        <f>EXP(-LN(2)/2)*EC103+(1-EXP(-LN(2)/2))/(LN(2)/2)*DW104*DZ104*VLOOKUP('Données projet'!$B$14,Paramètres!$A$1:$I$89,3,0)*0.475*44/12</f>
        <v>3.7979941593853231E-5</v>
      </c>
      <c r="ED104" s="22">
        <f t="shared" si="72"/>
        <v>135.5661120025778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3.7999999999999994</v>
      </c>
      <c r="EJ104" s="12">
        <f>IF('Données projet'!$A$192&gt;35,EJ103+EI104-ER103,IF(A104&lt;'Données projet'!$A$192,$EG$205^A104,IF(A104='Données projet'!$A$192,'Données projet'!$B$192,EJ103+EI104-ER103)))</f>
        <v>165.00000000000003</v>
      </c>
      <c r="EK104" s="17">
        <f>EJ104*VLOOKUP('Données projet'!$B$15,Paramètres!$A$1:$I$89,3,0)*VLOOKUP('Données projet'!$B$15,Paramètres!$A$1:$I$89,5,0)</f>
        <v>177.60600000000002</v>
      </c>
      <c r="EL104" s="13">
        <f t="shared" si="99"/>
        <v>44.789150937858665</v>
      </c>
      <c r="EM104" s="20">
        <f t="shared" si="73"/>
        <v>387.33822121677053</v>
      </c>
      <c r="EN104" s="59">
        <f t="shared" si="74"/>
        <v>680.67155455010379</v>
      </c>
      <c r="EO104" s="59">
        <f ca="1">AVERAGE(OFFSET($EN$3,0,0,'Données projet'!$E$15+1,1))-AVERAGE(OFFSET($H$3,0,0,'Données projet'!$E$15+1,1))</f>
        <v>130.76477588601989</v>
      </c>
      <c r="EP104" s="59">
        <f t="shared" si="100"/>
        <v>94.034011511502172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23.699744542497957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23.699744542497957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-2.2737367544323206E-13</v>
      </c>
      <c r="FF104" s="17">
        <f>FE104*VLOOKUP('Données projet'!$B$16,Paramètres!$A$1:$I$89,3,0)*VLOOKUP('Données projet'!$B$16,Paramètres!$A$1:$I$89,5,0)</f>
        <v>-1.0345502232667058E-13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279.43442619866738</v>
      </c>
      <c r="FK104" s="59">
        <f t="shared" si="102"/>
        <v>355.95192241448217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93.51926142573879</v>
      </c>
      <c r="FR104" s="21">
        <f>EXP(-LN(2)/25)*FR103+(1-EXP(-LN(2)/25))/(LN(2)/25)*Calculateur!FM104*Calculateur!FO104*VLOOKUP('Données projet'!$B$16,Paramètres!$A$1:$I$89,3,0)*0.475*44/12</f>
        <v>16.825217429895268</v>
      </c>
      <c r="FS104" s="21">
        <f>EXP(-LN(2)/2)*FS103+(1-EXP(-LN(2)/2))/(LN(2)/2)*FM104*FP104*VLOOKUP('Données projet'!$B$16,Paramètres!$A$1:$I$89,3,0)*0.475*44/12</f>
        <v>3.091390594848519E-5</v>
      </c>
      <c r="FT104" s="22">
        <f t="shared" si="78"/>
        <v>110.34450976954001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-6.7984728957526396E-14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227.89848316900191</v>
      </c>
      <c r="T105" s="59">
        <f t="shared" si="88"/>
        <v>239.85955661394541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62.378817638931743</v>
      </c>
      <c r="AA105" s="21">
        <f>EXP(-LN(2)/25)*AA104+(1-EXP(-LN(2)/25))/(LN(2)/25)*Calculateur!V105*Calculateur!X105*VLOOKUP('Données projet'!$B$9,Paramètres!$A$1:$I$89,3,0)*0.475*44/12</f>
        <v>10.779528371170379</v>
      </c>
      <c r="AB105" s="21">
        <f>EXP(-LN(2)/2)*AB104+(1-EXP(-LN(2)/2))/(LN(2)/2)*V105*Y105*VLOOKUP('Données projet'!$B$9,Paramètres!$A$1:$I$89,3,0)*0.475*44/12</f>
        <v>3.4959850624002993E-5</v>
      </c>
      <c r="AC105" s="22">
        <f t="shared" si="57"/>
        <v>73.158380969952745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6.5</v>
      </c>
      <c r="AI105" s="13">
        <f>IF('Données projet'!$A$62&gt;35,AI104+AH105-AQ104,IF(A105&lt;'Données projet'!$A$62,$AF$205^A105,IF(A105='Données projet'!$A$62,'Données projet'!$B$62,AI104+AH105-AQ104)))</f>
        <v>255.50000000000028</v>
      </c>
      <c r="AJ105" s="13">
        <f>AI105*VLOOKUP('Données projet'!$B$10,Paramètres!$A$1:$I$89,3,0)*VLOOKUP('Données projet'!$B$10,Paramètres!$A$1:$I$89,5,0)</f>
        <v>231.17640000000026</v>
      </c>
      <c r="AK105" s="13">
        <f t="shared" si="89"/>
        <v>56.536971139595558</v>
      </c>
      <c r="AL105" s="20">
        <f t="shared" si="58"/>
        <v>501.10078806812936</v>
      </c>
      <c r="AM105" s="59">
        <f t="shared" si="59"/>
        <v>794.43412140146268</v>
      </c>
      <c r="AN105" s="59">
        <f ca="1">AVERAGE(OFFSET($AM$3,0,0,'Données projet'!$E$10+1,1))-AVERAGE(OFFSET($H$3,0,0,'Données projet'!$E$10+1,1))</f>
        <v>215.7418266360167</v>
      </c>
      <c r="AO105" s="59">
        <f t="shared" si="90"/>
        <v>155.78420008229949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51.194365250524626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51.194365250524626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>
        <f>VLOOKUP(A105,'Données projet'!$A$87:$I$107,2,0)</f>
        <v>211</v>
      </c>
      <c r="BB105" s="12">
        <f>VLOOKUP(A105,'Données projet'!$A$87:$I$107,9,0)</f>
        <v>4.75</v>
      </c>
      <c r="BC105" s="12">
        <f t="array" ref="BC105">INDEX(BB:BB,MIN(IF(ISNUMBER(BB105:BB301),ROW(BB105:BB301),"")))</f>
        <v>4.75</v>
      </c>
      <c r="BD105" s="12">
        <f>IF('Données projet'!$A$88&gt;35,BD104+BC105-BL104,IF(A105&lt;'Données projet'!$A$88,$BA$205^A105,IF(A105='Données projet'!$A$88,'Données projet'!$B$88,BD104+BC105-BL104)))</f>
        <v>210.99999999999991</v>
      </c>
      <c r="BE105" s="13">
        <f>BD105*VLOOKUP('Données projet'!$B$11,Paramètres!$A$1:$I$89,3,0)*VLOOKUP('Données projet'!$B$11,Paramètres!$A$1:$I$89,5,0)</f>
        <v>213.95399999999992</v>
      </c>
      <c r="BF105" s="13">
        <f t="shared" si="91"/>
        <v>52.798693904379121</v>
      </c>
      <c r="BG105" s="20">
        <f t="shared" si="61"/>
        <v>464.59427521679351</v>
      </c>
      <c r="BH105" s="59">
        <f t="shared" si="62"/>
        <v>757.92760855012682</v>
      </c>
      <c r="BI105" s="59">
        <f ca="1">AVERAGE(OFFSET($BH$3,0,0,'Données projet'!$E$11+1,1))-AVERAGE(OFFSET($H$3,0,0,'Données projet'!$E$11+1,1))</f>
        <v>179.53921263314447</v>
      </c>
      <c r="BJ105" s="59">
        <f t="shared" si="92"/>
        <v>120.81513023281337</v>
      </c>
      <c r="BK105" s="15">
        <f>IF(ISNA(VLOOKUP(A105,'Données projet'!$A$87:$I$107,3,0)),0,VLOOKUP(A105,'Données projet'!$A$87:$I$107,3,0))</f>
        <v>8</v>
      </c>
      <c r="BL105" s="15">
        <f>IF(ISNA(VLOOKUP(A105,'Données projet'!$A$87:$I$107,4,0)),0,VLOOKUP(A105,'Données projet'!$A$87:$I$107,4,0))</f>
        <v>41</v>
      </c>
      <c r="BM105" s="16">
        <f>IF(ISNA(VLOOKUP(A105,'Données projet'!$A$87:$I$107,5,0)),0%,VLOOKUP(A105,'Données projet'!$A$87:$I$107,5,0)*VLOOKUP('Données projet'!$B$11,Paramètres!$A$1:$I$89,7,0))</f>
        <v>0.38700000000000001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45.146128090554342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45.146128090554342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500.00000000000045</v>
      </c>
      <c r="BZ105" s="13">
        <f>BY105*VLOOKUP('Données projet'!$B$12,Paramètres!$A$1:$I$89,3,0)*VLOOKUP('Données projet'!$B$12,Paramètres!$A$1:$I$89,5,0)</f>
        <v>234.00000000000023</v>
      </c>
      <c r="CA105" s="13">
        <f t="shared" si="93"/>
        <v>57.146705242557189</v>
      </c>
      <c r="CB105" s="20">
        <f t="shared" si="64"/>
        <v>507.08051163078744</v>
      </c>
      <c r="CC105" s="59">
        <f t="shared" si="65"/>
        <v>800.4138449641207</v>
      </c>
      <c r="CD105" s="59">
        <f ca="1">AVERAGE(OFFSET($CC$3,0,0,'Données projet'!$E$12+1,1))-AVERAGE(OFFSET($H$3,0,0,'Données projet'!$E$12+1,1))</f>
        <v>310.06530483941287</v>
      </c>
      <c r="CE105" s="59">
        <f t="shared" si="94"/>
        <v>170.13425794309376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109.15630722489973</v>
      </c>
      <c r="CL105" s="21">
        <f>EXP(-LN(2)/25)*CL104+(1-EXP(-LN(2)/25))/(LN(2)/25)*Calculateur!CG105*Calculateur!CI105*VLOOKUP('Données projet'!$B$12,Paramètres!$A$1:$I$89,3,0)*0.475*44/12</f>
        <v>22.761304016642399</v>
      </c>
      <c r="CM105" s="21">
        <f>EXP(-LN(2)/2)*CM104+(1-EXP(-LN(2)/2))/(LN(2)/2)*CG105*CJ105*VLOOKUP('Données projet'!$B$12,Paramètres!$A$1:$I$89,3,0)*0.475*44/12</f>
        <v>3.6776472576142689</v>
      </c>
      <c r="CN105" s="22">
        <f t="shared" si="66"/>
        <v>135.59525849915642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168.08890945052406</v>
      </c>
      <c r="CZ105" s="59">
        <f t="shared" si="96"/>
        <v>182.52462557642343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49.359090292195475</v>
      </c>
      <c r="DG105" s="21">
        <f>EXP(-LN(2)/25)*DG104+(1-EXP(-LN(2)/25))/(LN(2)/25)*Calculateur!DB105*Calculateur!DD105*VLOOKUP('Données projet'!$B$13,Paramètres!$A$1:$I$89,3,0)*0.475*44/12</f>
        <v>8.9102082831996068</v>
      </c>
      <c r="DH105" s="21">
        <f>EXP(-LN(2)/2)*DH104+(1-EXP(-LN(2)/2))/(LN(2)/2)*DB105*DE105*VLOOKUP('Données projet'!$B$13,Paramètres!$A$1:$I$89,3,0)*0.475*44/12</f>
        <v>2.703067783620263E-5</v>
      </c>
      <c r="DI105" s="22">
        <f t="shared" si="69"/>
        <v>58.269325606072918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-2.2737367544323206E-13</v>
      </c>
      <c r="DP105" s="17">
        <f>DO105*VLOOKUP('Données projet'!$B$14,Paramètres!$A$1:$I$89,3,0)*VLOOKUP('Données projet'!$B$14,Paramètres!$A$1:$I$89,5,0)</f>
        <v>-1.2710188457276673E-13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355.23615781077405</v>
      </c>
      <c r="DU105" s="59">
        <f t="shared" si="98"/>
        <v>448.84541017639367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112.64206992179375</v>
      </c>
      <c r="EB105" s="21">
        <f>EXP(-LN(2)/25)*EB104+(1-EXP(-LN(2)/25))/(LN(2)/25)*Calculateur!DW105*Calculateur!DY105*VLOOKUP('Données projet'!$B$14,Paramètres!$A$1:$I$89,3,0)*0.475*44/12</f>
        <v>20.105732340069338</v>
      </c>
      <c r="EC105" s="21">
        <f>EXP(-LN(2)/2)*EC104+(1-EXP(-LN(2)/2))/(LN(2)/2)*DW105*DZ105*VLOOKUP('Données projet'!$B$14,Paramètres!$A$1:$I$89,3,0)*0.475*44/12</f>
        <v>2.6855874250082633E-5</v>
      </c>
      <c r="ED105" s="22">
        <f t="shared" si="72"/>
        <v>132.74782911773733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>
        <f>VLOOKUP(A105,'Données projet'!$A$191:$I$211,2,0)</f>
        <v>168.8</v>
      </c>
      <c r="EH105" s="12">
        <f>VLOOKUP(A105,'Données projet'!$A$191:$I$211,9,0)</f>
        <v>3.7999999999999994</v>
      </c>
      <c r="EI105" s="12">
        <f t="array" ref="EI105">INDEX(EH:EH,MIN(IF(ISNUMBER(EH105:EH301),ROW(EH105:EH301),"")))</f>
        <v>3.7999999999999994</v>
      </c>
      <c r="EJ105" s="12">
        <f>IF('Données projet'!$A$192&gt;35,EJ104+EI105-ER104,IF(A105&lt;'Données projet'!$A$192,$EG$205^A105,IF(A105='Données projet'!$A$192,'Données projet'!$B$192,EJ104+EI105-ER104)))</f>
        <v>168.80000000000004</v>
      </c>
      <c r="EK105" s="17">
        <f>EJ105*VLOOKUP('Données projet'!$B$15,Paramètres!$A$1:$I$89,3,0)*VLOOKUP('Données projet'!$B$15,Paramètres!$A$1:$I$89,5,0)</f>
        <v>181.69632000000004</v>
      </c>
      <c r="EL105" s="13">
        <f t="shared" si="99"/>
        <v>45.699379840937262</v>
      </c>
      <c r="EM105" s="20">
        <f t="shared" si="73"/>
        <v>396.04751055629913</v>
      </c>
      <c r="EN105" s="59">
        <f t="shared" si="74"/>
        <v>689.38084388963239</v>
      </c>
      <c r="EO105" s="59">
        <f ca="1">AVERAGE(OFFSET($EN$3,0,0,'Données projet'!$E$15+1,1))-AVERAGE(OFFSET($H$3,0,0,'Données projet'!$E$15+1,1))</f>
        <v>130.76477588601989</v>
      </c>
      <c r="EP105" s="59">
        <f t="shared" si="100"/>
        <v>94.034011511502172</v>
      </c>
      <c r="EQ105" s="15">
        <f>IF(ISNA(VLOOKUP(A105,'Données projet'!$A$191:$I$211,3,0)),0,VLOOKUP(A105,'Données projet'!$A$191:$I$211,3,0))</f>
        <v>8</v>
      </c>
      <c r="ER105" s="15">
        <f>IF(ISNA(VLOOKUP(A105,'Données projet'!$A$191:$I$211,4,0)),0,VLOOKUP(A105,'Données projet'!$A$191:$I$211,4,0))</f>
        <v>32.800000000000004</v>
      </c>
      <c r="ES105" s="16">
        <f>IF(ISNA(VLOOKUP(A105,'Données projet'!$A$191:$I$211,5,0)),0%,VLOOKUP(A105,'Données projet'!$A$191:$I$211,5,0)*VLOOKUP('Données projet'!$B$15,Paramètres!$A$1:$I$89,7,0))</f>
        <v>0.38700000000000001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38.339481086132295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38.339481086132295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-2.2737367544323206E-13</v>
      </c>
      <c r="FF105" s="17">
        <f>FE105*VLOOKUP('Données projet'!$B$16,Paramètres!$A$1:$I$89,3,0)*VLOOKUP('Données projet'!$B$16,Paramètres!$A$1:$I$89,5,0)</f>
        <v>-1.0345502232667058E-13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279.43442619866738</v>
      </c>
      <c r="FK105" s="59">
        <f t="shared" si="102"/>
        <v>355.95192241448217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91.685405750297178</v>
      </c>
      <c r="FR105" s="21">
        <f>EXP(-LN(2)/25)*FR104+(1-EXP(-LN(2)/25))/(LN(2)/25)*Calculateur!FM105*Calculateur!FO105*VLOOKUP('Données projet'!$B$16,Paramètres!$A$1:$I$89,3,0)*0.475*44/12</f>
        <v>16.365130974475051</v>
      </c>
      <c r="FS105" s="21">
        <f>EXP(-LN(2)/2)*FS104+(1-EXP(-LN(2)/2))/(LN(2)/2)*FM105*FP105*VLOOKUP('Données projet'!$B$16,Paramètres!$A$1:$I$89,3,0)*0.475*44/12</f>
        <v>2.1859432529137027E-5</v>
      </c>
      <c r="FT105" s="22">
        <f t="shared" si="78"/>
        <v>108.05055858420477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-6.7984728957526396E-14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227.89848316900191</v>
      </c>
      <c r="T106" s="59">
        <f t="shared" si="88"/>
        <v>239.85955661394541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61.155607072354194</v>
      </c>
      <c r="AA106" s="21">
        <f>EXP(-LN(2)/25)*AA105+(1-EXP(-LN(2)/25))/(LN(2)/25)*Calculateur!V106*Calculateur!X106*VLOOKUP('Données projet'!$B$9,Paramètres!$A$1:$I$89,3,0)*0.475*44/12</f>
        <v>10.484761600989964</v>
      </c>
      <c r="AB106" s="21">
        <f>EXP(-LN(2)/2)*AB105+(1-EXP(-LN(2)/2))/(LN(2)/2)*V106*Y106*VLOOKUP('Données projet'!$B$9,Paramètres!$A$1:$I$89,3,0)*0.475*44/12</f>
        <v>2.4720347445501271E-5</v>
      </c>
      <c r="AC106" s="22">
        <f t="shared" si="57"/>
        <v>71.640393393691596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6.5</v>
      </c>
      <c r="AI106" s="13">
        <f>IF('Données projet'!$A$62&gt;35,AI105+AH106-AQ105,IF(A106&lt;'Données projet'!$A$62,$AF$205^A106,IF(A106='Données projet'!$A$62,'Données projet'!$B$62,AI105+AH106-AQ105)))</f>
        <v>262.00000000000028</v>
      </c>
      <c r="AJ106" s="13">
        <f>AI106*VLOOKUP('Données projet'!$B$10,Paramètres!$A$1:$I$89,3,0)*VLOOKUP('Données projet'!$B$10,Paramètres!$A$1:$I$89,5,0)</f>
        <v>237.05760000000024</v>
      </c>
      <c r="AK106" s="13">
        <f t="shared" si="89"/>
        <v>57.806004997354748</v>
      </c>
      <c r="AL106" s="20">
        <f t="shared" si="58"/>
        <v>513.55411203705989</v>
      </c>
      <c r="AM106" s="59">
        <f t="shared" si="59"/>
        <v>806.88744537039315</v>
      </c>
      <c r="AN106" s="59">
        <f ca="1">AVERAGE(OFFSET($AM$3,0,0,'Données projet'!$E$10+1,1))-AVERAGE(OFFSET($H$3,0,0,'Données projet'!$E$10+1,1))</f>
        <v>215.7418266360167</v>
      </c>
      <c r="AO106" s="59">
        <f t="shared" si="90"/>
        <v>155.78420008229949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50.190474973441383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50.190474973441383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4.583333333333333</v>
      </c>
      <c r="BD106" s="12">
        <f>IF('Données projet'!$A$88&gt;35,BD105+BC106-BL105,IF(A106&lt;'Données projet'!$A$88,$BA$205^A106,IF(A106='Données projet'!$A$88,'Données projet'!$B$88,BD105+BC106-BL105)))</f>
        <v>174.58333333333326</v>
      </c>
      <c r="BE106" s="13">
        <f>BD106*VLOOKUP('Données projet'!$B$11,Paramètres!$A$1:$I$89,3,0)*VLOOKUP('Données projet'!$B$11,Paramètres!$A$1:$I$89,5,0)</f>
        <v>177.02749999999992</v>
      </c>
      <c r="BF106" s="13">
        <f t="shared" si="91"/>
        <v>44.660220134711423</v>
      </c>
      <c r="BG106" s="20">
        <f t="shared" si="61"/>
        <v>386.10611256795556</v>
      </c>
      <c r="BH106" s="59">
        <f t="shared" si="62"/>
        <v>679.43944590128888</v>
      </c>
      <c r="BI106" s="59">
        <f ca="1">AVERAGE(OFFSET($BH$3,0,0,'Données projet'!$E$11+1,1))-AVERAGE(OFFSET($H$3,0,0,'Données projet'!$E$11+1,1))</f>
        <v>179.53921263314447</v>
      </c>
      <c r="BJ106" s="59">
        <f t="shared" si="92"/>
        <v>120.81513023281337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44.260840055117711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44.260840055117711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500.00000000000045</v>
      </c>
      <c r="BZ106" s="13">
        <f>BY106*VLOOKUP('Données projet'!$B$12,Paramètres!$A$1:$I$89,3,0)*VLOOKUP('Données projet'!$B$12,Paramètres!$A$1:$I$89,5,0)</f>
        <v>234.00000000000023</v>
      </c>
      <c r="CA106" s="13">
        <f t="shared" si="93"/>
        <v>57.146705242557189</v>
      </c>
      <c r="CB106" s="20">
        <f t="shared" si="64"/>
        <v>507.08051163078744</v>
      </c>
      <c r="CC106" s="59">
        <f t="shared" si="65"/>
        <v>800.4138449641207</v>
      </c>
      <c r="CD106" s="59">
        <f ca="1">AVERAGE(OFFSET($CC$3,0,0,'Données projet'!$E$12+1,1))-AVERAGE(OFFSET($H$3,0,0,'Données projet'!$E$12+1,1))</f>
        <v>310.06530483941287</v>
      </c>
      <c r="CE106" s="59">
        <f t="shared" si="94"/>
        <v>170.13425794309376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107.01581861899275</v>
      </c>
      <c r="CL106" s="21">
        <f>EXP(-LN(2)/25)*CL105+(1-EXP(-LN(2)/25))/(LN(2)/25)*Calculateur!CG106*Calculateur!CI106*VLOOKUP('Données projet'!$B$12,Paramètres!$A$1:$I$89,3,0)*0.475*44/12</f>
        <v>22.138894961342356</v>
      </c>
      <c r="CM106" s="21">
        <f>EXP(-LN(2)/2)*CM105+(1-EXP(-LN(2)/2))/(LN(2)/2)*CG106*CJ106*VLOOKUP('Données projet'!$B$12,Paramètres!$A$1:$I$89,3,0)*0.475*44/12</f>
        <v>2.6004893146711594</v>
      </c>
      <c r="CN106" s="22">
        <f t="shared" si="66"/>
        <v>131.75520289500628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168.08890945052406</v>
      </c>
      <c r="CZ106" s="59">
        <f t="shared" si="96"/>
        <v>182.52462557642343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48.391188637637875</v>
      </c>
      <c r="DG106" s="21">
        <f>EXP(-LN(2)/25)*DG105+(1-EXP(-LN(2)/25))/(LN(2)/25)*Calculateur!DB106*Calculateur!DD106*VLOOKUP('Données projet'!$B$13,Paramètres!$A$1:$I$89,3,0)*0.475*44/12</f>
        <v>8.6665581691280238</v>
      </c>
      <c r="DH106" s="21">
        <f>EXP(-LN(2)/2)*DH105+(1-EXP(-LN(2)/2))/(LN(2)/2)*DB106*DE106*VLOOKUP('Données projet'!$B$13,Paramètres!$A$1:$I$89,3,0)*0.475*44/12</f>
        <v>1.9113575598047793E-5</v>
      </c>
      <c r="DI106" s="22">
        <f t="shared" si="69"/>
        <v>57.057765920341495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-2.2737367544323206E-13</v>
      </c>
      <c r="DP106" s="17">
        <f>DO106*VLOOKUP('Données projet'!$B$14,Paramètres!$A$1:$I$89,3,0)*VLOOKUP('Données projet'!$B$14,Paramètres!$A$1:$I$89,5,0)</f>
        <v>-1.2710188457276673E-13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355.23615781077405</v>
      </c>
      <c r="DU106" s="59">
        <f t="shared" si="98"/>
        <v>448.84541017639367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110.43322763550599</v>
      </c>
      <c r="EB106" s="21">
        <f>EXP(-LN(2)/25)*EB105+(1-EXP(-LN(2)/25))/(LN(2)/25)*Calculateur!DW106*Calculateur!DY106*VLOOKUP('Données projet'!$B$14,Paramètres!$A$1:$I$89,3,0)*0.475*44/12</f>
        <v>19.555940031915629</v>
      </c>
      <c r="EC106" s="21">
        <f>EXP(-LN(2)/2)*EC105+(1-EXP(-LN(2)/2))/(LN(2)/2)*DW106*DZ106*VLOOKUP('Données projet'!$B$14,Paramètres!$A$1:$I$89,3,0)*0.475*44/12</f>
        <v>1.8989970796926616E-5</v>
      </c>
      <c r="ED106" s="22">
        <f t="shared" si="72"/>
        <v>129.98918665739239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3.6666666666666665</v>
      </c>
      <c r="EJ106" s="12">
        <f>IF('Données projet'!$A$192&gt;35,EJ105+EI106-ER105,IF(A106&lt;'Données projet'!$A$192,$EG$205^A106,IF(A106='Données projet'!$A$192,'Données projet'!$B$192,EJ105+EI106-ER105)))</f>
        <v>139.66666666666669</v>
      </c>
      <c r="EK106" s="17">
        <f>EJ106*VLOOKUP('Données projet'!$B$15,Paramètres!$A$1:$I$89,3,0)*VLOOKUP('Données projet'!$B$15,Paramètres!$A$1:$I$89,5,0)</f>
        <v>150.33720000000002</v>
      </c>
      <c r="EL106" s="13">
        <f t="shared" si="99"/>
        <v>38.655205513460139</v>
      </c>
      <c r="EM106" s="20">
        <f t="shared" si="73"/>
        <v>329.16177293594313</v>
      </c>
      <c r="EN106" s="59">
        <f t="shared" si="74"/>
        <v>622.49510626927645</v>
      </c>
      <c r="EO106" s="59">
        <f ca="1">AVERAGE(OFFSET($EN$3,0,0,'Données projet'!$E$15+1,1))-AVERAGE(OFFSET($H$3,0,0,'Données projet'!$E$15+1,1))</f>
        <v>130.76477588601989</v>
      </c>
      <c r="EP106" s="59">
        <f t="shared" si="100"/>
        <v>94.034011511502172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37.587667246807648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37.587667246807648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-2.2737367544323206E-13</v>
      </c>
      <c r="FF106" s="17">
        <f>FE106*VLOOKUP('Données projet'!$B$16,Paramètres!$A$1:$I$89,3,0)*VLOOKUP('Données projet'!$B$16,Paramètres!$A$1:$I$89,5,0)</f>
        <v>-1.0345502232667058E-13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279.43442619866738</v>
      </c>
      <c r="FK106" s="59">
        <f t="shared" si="102"/>
        <v>355.95192241448217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89.887510866109466</v>
      </c>
      <c r="FR106" s="21">
        <f>EXP(-LN(2)/25)*FR105+(1-EXP(-LN(2)/25))/(LN(2)/25)*Calculateur!FM106*Calculateur!FO106*VLOOKUP('Données projet'!$B$16,Paramètres!$A$1:$I$89,3,0)*0.475*44/12</f>
        <v>15.917625607373195</v>
      </c>
      <c r="FS106" s="21">
        <f>EXP(-LN(2)/2)*FS105+(1-EXP(-LN(2)/2))/(LN(2)/2)*FM106*FP106*VLOOKUP('Données projet'!$B$16,Paramètres!$A$1:$I$89,3,0)*0.475*44/12</f>
        <v>1.5456952974242595E-5</v>
      </c>
      <c r="FT106" s="22">
        <f t="shared" si="78"/>
        <v>105.80515193043564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-6.7984728957526396E-14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227.89848316900191</v>
      </c>
      <c r="T107" s="59">
        <f t="shared" si="88"/>
        <v>239.85955661394541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59.956382918902449</v>
      </c>
      <c r="AA107" s="21">
        <f>EXP(-LN(2)/25)*AA106+(1-EXP(-LN(2)/25))/(LN(2)/25)*Calculateur!V107*Calculateur!X107*VLOOKUP('Données projet'!$B$9,Paramètres!$A$1:$I$89,3,0)*0.475*44/12</f>
        <v>10.198055243641244</v>
      </c>
      <c r="AB107" s="21">
        <f>EXP(-LN(2)/2)*AB106+(1-EXP(-LN(2)/2))/(LN(2)/2)*V107*Y107*VLOOKUP('Données projet'!$B$9,Paramètres!$A$1:$I$89,3,0)*0.475*44/12</f>
        <v>1.7479925312001496E-5</v>
      </c>
      <c r="AC107" s="22">
        <f t="shared" si="57"/>
        <v>70.154455642469017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6.5</v>
      </c>
      <c r="AI107" s="13">
        <f>IF('Données projet'!$A$62&gt;35,AI106+AH107-AQ106,IF(A107&lt;'Données projet'!$A$62,$AF$205^A107,IF(A107='Données projet'!$A$62,'Données projet'!$B$62,AI106+AH107-AQ106)))</f>
        <v>268.50000000000028</v>
      </c>
      <c r="AJ107" s="13">
        <f>AI107*VLOOKUP('Données projet'!$B$10,Paramètres!$A$1:$I$89,3,0)*VLOOKUP('Données projet'!$B$10,Paramètres!$A$1:$I$89,5,0)</f>
        <v>242.93880000000027</v>
      </c>
      <c r="AK107" s="13">
        <f t="shared" si="89"/>
        <v>59.071379046151783</v>
      </c>
      <c r="AL107" s="20">
        <f t="shared" si="58"/>
        <v>526.0010618387148</v>
      </c>
      <c r="AM107" s="59">
        <f t="shared" si="59"/>
        <v>819.33439517204806</v>
      </c>
      <c r="AN107" s="59">
        <f ca="1">AVERAGE(OFFSET($AM$3,0,0,'Données projet'!$E$10+1,1))-AVERAGE(OFFSET($H$3,0,0,'Données projet'!$E$10+1,1))</f>
        <v>215.7418266360167</v>
      </c>
      <c r="AO107" s="59">
        <f t="shared" si="90"/>
        <v>155.78420008229949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49.20627037237913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49.20627037237913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4.583333333333333</v>
      </c>
      <c r="BD107" s="12">
        <f>IF('Données projet'!$A$88&gt;35,BD106+BC107-BL106,IF(A107&lt;'Données projet'!$A$88,$BA$205^A107,IF(A107='Données projet'!$A$88,'Données projet'!$B$88,BD106+BC107-BL106)))</f>
        <v>179.1666666666666</v>
      </c>
      <c r="BE107" s="13">
        <f>BD107*VLOOKUP('Données projet'!$B$11,Paramètres!$A$1:$I$89,3,0)*VLOOKUP('Données projet'!$B$11,Paramètres!$A$1:$I$89,5,0)</f>
        <v>181.67499999999995</v>
      </c>
      <c r="BF107" s="13">
        <f t="shared" si="91"/>
        <v>45.694641677373617</v>
      </c>
      <c r="BG107" s="20">
        <f t="shared" si="61"/>
        <v>396.00212592142566</v>
      </c>
      <c r="BH107" s="59">
        <f t="shared" si="62"/>
        <v>689.33545925475892</v>
      </c>
      <c r="BI107" s="59">
        <f ca="1">AVERAGE(OFFSET($BH$3,0,0,'Données projet'!$E$11+1,1))-AVERAGE(OFFSET($H$3,0,0,'Données projet'!$E$11+1,1))</f>
        <v>179.53921263314447</v>
      </c>
      <c r="BJ107" s="59">
        <f t="shared" si="92"/>
        <v>120.81513023281337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43.39291197808361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43.39291197808361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500.00000000000045</v>
      </c>
      <c r="BZ107" s="13">
        <f>BY107*VLOOKUP('Données projet'!$B$12,Paramètres!$A$1:$I$89,3,0)*VLOOKUP('Données projet'!$B$12,Paramètres!$A$1:$I$89,5,0)</f>
        <v>234.00000000000023</v>
      </c>
      <c r="CA107" s="13">
        <f t="shared" si="93"/>
        <v>57.146705242557189</v>
      </c>
      <c r="CB107" s="20">
        <f t="shared" si="64"/>
        <v>507.08051163078744</v>
      </c>
      <c r="CC107" s="59">
        <f t="shared" si="65"/>
        <v>800.4138449641207</v>
      </c>
      <c r="CD107" s="59">
        <f ca="1">AVERAGE(OFFSET($CC$3,0,0,'Données projet'!$E$12+1,1))-AVERAGE(OFFSET($H$3,0,0,'Données projet'!$E$12+1,1))</f>
        <v>310.06530483941287</v>
      </c>
      <c r="CE107" s="59">
        <f t="shared" si="94"/>
        <v>170.13425794309376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104.91730368907847</v>
      </c>
      <c r="CL107" s="21">
        <f>EXP(-LN(2)/25)*CL106+(1-EXP(-LN(2)/25))/(LN(2)/25)*Calculateur!CG107*Calculateur!CI107*VLOOKUP('Données projet'!$B$12,Paramètres!$A$1:$I$89,3,0)*0.475*44/12</f>
        <v>21.533505714390561</v>
      </c>
      <c r="CM107" s="21">
        <f>EXP(-LN(2)/2)*CM106+(1-EXP(-LN(2)/2))/(LN(2)/2)*CG107*CJ107*VLOOKUP('Données projet'!$B$12,Paramètres!$A$1:$I$89,3,0)*0.475*44/12</f>
        <v>1.8388236288071345</v>
      </c>
      <c r="CN107" s="22">
        <f t="shared" si="66"/>
        <v>128.28963303227616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168.08890945052406</v>
      </c>
      <c r="CZ107" s="59">
        <f t="shared" si="96"/>
        <v>182.52462557642343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47.44226694416443</v>
      </c>
      <c r="DG107" s="21">
        <f>EXP(-LN(2)/25)*DG106+(1-EXP(-LN(2)/25))/(LN(2)/25)*Calculateur!DB107*Calculateur!DD107*VLOOKUP('Données projet'!$B$13,Paramètres!$A$1:$I$89,3,0)*0.475*44/12</f>
        <v>8.4295706802387311</v>
      </c>
      <c r="DH107" s="21">
        <f>EXP(-LN(2)/2)*DH106+(1-EXP(-LN(2)/2))/(LN(2)/2)*DB107*DE107*VLOOKUP('Données projet'!$B$13,Paramètres!$A$1:$I$89,3,0)*0.475*44/12</f>
        <v>1.3515338918101315E-5</v>
      </c>
      <c r="DI107" s="22">
        <f t="shared" si="69"/>
        <v>55.871851139742084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-2.2737367544323206E-13</v>
      </c>
      <c r="DP107" s="17">
        <f>DO107*VLOOKUP('Données projet'!$B$14,Paramètres!$A$1:$I$89,3,0)*VLOOKUP('Données projet'!$B$14,Paramètres!$A$1:$I$89,5,0)</f>
        <v>-1.2710188457276673E-13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355.23615781077405</v>
      </c>
      <c r="DU107" s="59">
        <f t="shared" si="98"/>
        <v>448.84541017639367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108.26769939919156</v>
      </c>
      <c r="EB107" s="21">
        <f>EXP(-LN(2)/25)*EB106+(1-EXP(-LN(2)/25))/(LN(2)/25)*Calculateur!DW107*Calculateur!DY107*VLOOKUP('Données projet'!$B$14,Paramètres!$A$1:$I$89,3,0)*0.475*44/12</f>
        <v>19.021181823340704</v>
      </c>
      <c r="EC107" s="21">
        <f>EXP(-LN(2)/2)*EC106+(1-EXP(-LN(2)/2))/(LN(2)/2)*DW107*DZ107*VLOOKUP('Données projet'!$B$14,Paramètres!$A$1:$I$89,3,0)*0.475*44/12</f>
        <v>1.3427937125041316E-5</v>
      </c>
      <c r="ED107" s="22">
        <f t="shared" si="72"/>
        <v>127.28889465046939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3.6666666666666665</v>
      </c>
      <c r="EJ107" s="12">
        <f>IF('Données projet'!$A$192&gt;35,EJ106+EI107-ER106,IF(A107&lt;'Données projet'!$A$192,$EG$205^A107,IF(A107='Données projet'!$A$192,'Données projet'!$B$192,EJ106+EI107-ER106)))</f>
        <v>143.33333333333334</v>
      </c>
      <c r="EK107" s="17">
        <f>EJ107*VLOOKUP('Données projet'!$B$15,Paramètres!$A$1:$I$89,3,0)*VLOOKUP('Données projet'!$B$15,Paramètres!$A$1:$I$89,5,0)</f>
        <v>154.28400000000002</v>
      </c>
      <c r="EL107" s="13">
        <f t="shared" si="99"/>
        <v>39.550538702560999</v>
      </c>
      <c r="EM107" s="20">
        <f t="shared" si="73"/>
        <v>337.59515490696043</v>
      </c>
      <c r="EN107" s="59">
        <f t="shared" si="74"/>
        <v>630.92848824029375</v>
      </c>
      <c r="EO107" s="59">
        <f ca="1">AVERAGE(OFFSET($EN$3,0,0,'Données projet'!$E$15+1,1))-AVERAGE(OFFSET($H$3,0,0,'Données projet'!$E$15+1,1))</f>
        <v>130.76477588601989</v>
      </c>
      <c r="EP107" s="59">
        <f t="shared" si="100"/>
        <v>94.034011511502172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36.850596018310995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36.850596018310995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-2.2737367544323206E-13</v>
      </c>
      <c r="FF107" s="17">
        <f>FE107*VLOOKUP('Données projet'!$B$16,Paramètres!$A$1:$I$89,3,0)*VLOOKUP('Données projet'!$B$16,Paramètres!$A$1:$I$89,5,0)</f>
        <v>-1.0345502232667058E-13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279.43442619866738</v>
      </c>
      <c r="FK107" s="59">
        <f t="shared" si="102"/>
        <v>355.95192241448217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88.124871603993071</v>
      </c>
      <c r="FR107" s="21">
        <f>EXP(-LN(2)/25)*FR106+(1-EXP(-LN(2)/25))/(LN(2)/25)*Calculateur!FM107*Calculateur!FO107*VLOOKUP('Données projet'!$B$16,Paramètres!$A$1:$I$89,3,0)*0.475*44/12</f>
        <v>15.482357298068024</v>
      </c>
      <c r="FS107" s="21">
        <f>EXP(-LN(2)/2)*FS106+(1-EXP(-LN(2)/2))/(LN(2)/2)*FM107*FP107*VLOOKUP('Données projet'!$B$16,Paramètres!$A$1:$I$89,3,0)*0.475*44/12</f>
        <v>1.0929716264568514E-5</v>
      </c>
      <c r="FT107" s="22">
        <f t="shared" si="78"/>
        <v>103.60723983177736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-6.7984728957526396E-14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227.89848316900191</v>
      </c>
      <c r="T108" s="59">
        <f t="shared" si="88"/>
        <v>239.85955661394541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58.780674819645384</v>
      </c>
      <c r="AA108" s="21">
        <f>EXP(-LN(2)/25)*AA107+(1-EXP(-LN(2)/25))/(LN(2)/25)*Calculateur!V108*Calculateur!X108*VLOOKUP('Données projet'!$B$9,Paramètres!$A$1:$I$89,3,0)*0.475*44/12</f>
        <v>9.9191888867114564</v>
      </c>
      <c r="AB108" s="21">
        <f>EXP(-LN(2)/2)*AB107+(1-EXP(-LN(2)/2))/(LN(2)/2)*V108*Y108*VLOOKUP('Données projet'!$B$9,Paramètres!$A$1:$I$89,3,0)*0.475*44/12</f>
        <v>1.2360173722750636E-5</v>
      </c>
      <c r="AC108" s="22">
        <f t="shared" si="57"/>
        <v>68.699876066530564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6.5</v>
      </c>
      <c r="AI108" s="13">
        <f>IF('Données projet'!$A$62&gt;35,AI107+AH108-AQ107,IF(A108&lt;'Données projet'!$A$62,$AF$205^A108,IF(A108='Données projet'!$A$62,'Données projet'!$B$62,AI107+AH108-AQ107)))</f>
        <v>275.00000000000028</v>
      </c>
      <c r="AJ108" s="13">
        <f>AI108*VLOOKUP('Données projet'!$B$10,Paramètres!$A$1:$I$89,3,0)*VLOOKUP('Données projet'!$B$10,Paramètres!$A$1:$I$89,5,0)</f>
        <v>248.82000000000022</v>
      </c>
      <c r="AK108" s="13">
        <f t="shared" si="89"/>
        <v>60.333192077890125</v>
      </c>
      <c r="AL108" s="20">
        <f t="shared" si="58"/>
        <v>538.4418095356591</v>
      </c>
      <c r="AM108" s="59">
        <f t="shared" si="59"/>
        <v>831.77514286899236</v>
      </c>
      <c r="AN108" s="59">
        <f ca="1">AVERAGE(OFFSET($AM$3,0,0,'Données projet'!$E$10+1,1))-AVERAGE(OFFSET($H$3,0,0,'Données projet'!$E$10+1,1))</f>
        <v>215.7418266360167</v>
      </c>
      <c r="AO108" s="59">
        <f t="shared" si="90"/>
        <v>155.78420008229949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48.241365423238179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48.241365423238179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4.583333333333333</v>
      </c>
      <c r="BD108" s="12">
        <f>IF('Données projet'!$A$88&gt;35,BD107+BC108-BL107,IF(A108&lt;'Données projet'!$A$88,$BA$205^A108,IF(A108='Données projet'!$A$88,'Données projet'!$B$88,BD107+BC108-BL107)))</f>
        <v>183.74999999999994</v>
      </c>
      <c r="BE108" s="13">
        <f>BD108*VLOOKUP('Données projet'!$B$11,Paramètres!$A$1:$I$89,3,0)*VLOOKUP('Données projet'!$B$11,Paramètres!$A$1:$I$89,5,0)</f>
        <v>186.32249999999996</v>
      </c>
      <c r="BF108" s="13">
        <f t="shared" si="91"/>
        <v>46.725987276254116</v>
      </c>
      <c r="BG108" s="20">
        <f t="shared" si="61"/>
        <v>405.89278200614257</v>
      </c>
      <c r="BH108" s="59">
        <f t="shared" si="62"/>
        <v>699.22611533947588</v>
      </c>
      <c r="BI108" s="59">
        <f ca="1">AVERAGE(OFFSET($BH$3,0,0,'Données projet'!$E$11+1,1))-AVERAGE(OFFSET($H$3,0,0,'Données projet'!$E$11+1,1))</f>
        <v>179.53921263314447</v>
      </c>
      <c r="BJ108" s="59">
        <f t="shared" si="92"/>
        <v>120.81513023281337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42.542003441256291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42.542003441256291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500.00000000000045</v>
      </c>
      <c r="BZ108" s="13">
        <f>BY108*VLOOKUP('Données projet'!$B$12,Paramètres!$A$1:$I$89,3,0)*VLOOKUP('Données projet'!$B$12,Paramètres!$A$1:$I$89,5,0)</f>
        <v>234.00000000000023</v>
      </c>
      <c r="CA108" s="13">
        <f t="shared" si="93"/>
        <v>57.146705242557189</v>
      </c>
      <c r="CB108" s="20">
        <f t="shared" si="64"/>
        <v>507.08051163078744</v>
      </c>
      <c r="CC108" s="59">
        <f t="shared" si="65"/>
        <v>800.4138449641207</v>
      </c>
      <c r="CD108" s="59">
        <f ca="1">AVERAGE(OFFSET($CC$3,0,0,'Données projet'!$E$12+1,1))-AVERAGE(OFFSET($H$3,0,0,'Données projet'!$E$12+1,1))</f>
        <v>310.06530483941287</v>
      </c>
      <c r="CE108" s="59">
        <f t="shared" si="94"/>
        <v>170.13425794309376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102.85993935697208</v>
      </c>
      <c r="CL108" s="21">
        <f>EXP(-LN(2)/25)*CL107+(1-EXP(-LN(2)/25))/(LN(2)/25)*Calculateur!CG108*Calculateur!CI108*VLOOKUP('Données projet'!$B$12,Paramètres!$A$1:$I$89,3,0)*0.475*44/12</f>
        <v>20.944670868232702</v>
      </c>
      <c r="CM108" s="21">
        <f>EXP(-LN(2)/2)*CM107+(1-EXP(-LN(2)/2))/(LN(2)/2)*CG108*CJ108*VLOOKUP('Données projet'!$B$12,Paramètres!$A$1:$I$89,3,0)*0.475*44/12</f>
        <v>1.3002446573355797</v>
      </c>
      <c r="CN108" s="22">
        <f t="shared" si="66"/>
        <v>125.10485488254037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168.08890945052406</v>
      </c>
      <c r="CZ108" s="59">
        <f t="shared" si="96"/>
        <v>182.52462557642343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46.51195302631492</v>
      </c>
      <c r="DG108" s="21">
        <f>EXP(-LN(2)/25)*DG107+(1-EXP(-LN(2)/25))/(LN(2)/25)*Calculateur!DB108*Calculateur!DD108*VLOOKUP('Données projet'!$B$13,Paramètres!$A$1:$I$89,3,0)*0.475*44/12</f>
        <v>8.1990636266957466</v>
      </c>
      <c r="DH108" s="21">
        <f>EXP(-LN(2)/2)*DH107+(1-EXP(-LN(2)/2))/(LN(2)/2)*DB108*DE108*VLOOKUP('Données projet'!$B$13,Paramètres!$A$1:$I$89,3,0)*0.475*44/12</f>
        <v>9.5567877990238965E-6</v>
      </c>
      <c r="DI108" s="22">
        <f t="shared" si="69"/>
        <v>54.711026209798469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-2.2737367544323206E-13</v>
      </c>
      <c r="DP108" s="17">
        <f>DO108*VLOOKUP('Données projet'!$B$14,Paramètres!$A$1:$I$89,3,0)*VLOOKUP('Données projet'!$B$14,Paramètres!$A$1:$I$89,5,0)</f>
        <v>-1.2710188457276673E-13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355.23615781077405</v>
      </c>
      <c r="DU108" s="59">
        <f t="shared" si="98"/>
        <v>448.84541017639367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106.14463585074945</v>
      </c>
      <c r="EB108" s="21">
        <f>EXP(-LN(2)/25)*EB107+(1-EXP(-LN(2)/25))/(LN(2)/25)*Calculateur!DW108*Calculateur!DY108*VLOOKUP('Données projet'!$B$14,Paramètres!$A$1:$I$89,3,0)*0.475*44/12</f>
        <v>18.501046606100974</v>
      </c>
      <c r="EC108" s="21">
        <f>EXP(-LN(2)/2)*EC107+(1-EXP(-LN(2)/2))/(LN(2)/2)*DW108*DZ108*VLOOKUP('Données projet'!$B$14,Paramètres!$A$1:$I$89,3,0)*0.475*44/12</f>
        <v>9.4949853984633079E-6</v>
      </c>
      <c r="ED108" s="22">
        <f t="shared" si="72"/>
        <v>124.64569195183581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3.6666666666666665</v>
      </c>
      <c r="EJ108" s="12">
        <f>IF('Données projet'!$A$192&gt;35,EJ107+EI108-ER107,IF(A108&lt;'Données projet'!$A$192,$EG$205^A108,IF(A108='Données projet'!$A$192,'Données projet'!$B$192,EJ107+EI108-ER107)))</f>
        <v>147</v>
      </c>
      <c r="EK108" s="17">
        <f>EJ108*VLOOKUP('Données projet'!$B$15,Paramètres!$A$1:$I$89,3,0)*VLOOKUP('Données projet'!$B$15,Paramètres!$A$1:$I$89,5,0)</f>
        <v>158.23079999999999</v>
      </c>
      <c r="EL108" s="13">
        <f t="shared" si="99"/>
        <v>40.443209539379019</v>
      </c>
      <c r="EM108" s="20">
        <f t="shared" si="73"/>
        <v>346.02389994775172</v>
      </c>
      <c r="EN108" s="59">
        <f t="shared" si="74"/>
        <v>639.35723328108497</v>
      </c>
      <c r="EO108" s="59">
        <f ca="1">AVERAGE(OFFSET($EN$3,0,0,'Données projet'!$E$15+1,1))-AVERAGE(OFFSET($H$3,0,0,'Données projet'!$E$15+1,1))</f>
        <v>130.76477588601989</v>
      </c>
      <c r="EP108" s="59">
        <f t="shared" si="100"/>
        <v>94.034011511502172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36.127978307036102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36.127978307036102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-2.2737367544323206E-13</v>
      </c>
      <c r="FF108" s="17">
        <f>FE108*VLOOKUP('Données projet'!$B$16,Paramètres!$A$1:$I$89,3,0)*VLOOKUP('Données projet'!$B$16,Paramètres!$A$1:$I$89,5,0)</f>
        <v>-1.0345502232667058E-13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279.43442619866738</v>
      </c>
      <c r="FK108" s="59">
        <f t="shared" si="102"/>
        <v>355.95192241448217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86.396796622702993</v>
      </c>
      <c r="FR108" s="21">
        <f>EXP(-LN(2)/25)*FR107+(1-EXP(-LN(2)/25))/(LN(2)/25)*Calculateur!FM108*Calculateur!FO108*VLOOKUP('Données projet'!$B$16,Paramètres!$A$1:$I$89,3,0)*0.475*44/12</f>
        <v>15.05899142357057</v>
      </c>
      <c r="FS108" s="21">
        <f>EXP(-LN(2)/2)*FS107+(1-EXP(-LN(2)/2))/(LN(2)/2)*FM108*FP108*VLOOKUP('Données projet'!$B$16,Paramètres!$A$1:$I$89,3,0)*0.475*44/12</f>
        <v>7.7284764871212974E-6</v>
      </c>
      <c r="FT108" s="22">
        <f t="shared" si="78"/>
        <v>101.45579577475006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-6.7984728957526396E-14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227.89848316900191</v>
      </c>
      <c r="T109" s="59">
        <f t="shared" si="88"/>
        <v>239.85955661394541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57.628021639103622</v>
      </c>
      <c r="AA109" s="21">
        <f>EXP(-LN(2)/25)*AA108+(1-EXP(-LN(2)/25))/(LN(2)/25)*Calculateur!V109*Calculateur!X109*VLOOKUP('Données projet'!$B$9,Paramètres!$A$1:$I$89,3,0)*0.475*44/12</f>
        <v>9.6479481449768585</v>
      </c>
      <c r="AB109" s="21">
        <f>EXP(-LN(2)/2)*AB108+(1-EXP(-LN(2)/2))/(LN(2)/2)*V109*Y109*VLOOKUP('Données projet'!$B$9,Paramètres!$A$1:$I$89,3,0)*0.475*44/12</f>
        <v>8.7399626560007482E-6</v>
      </c>
      <c r="AC109" s="22">
        <f t="shared" si="57"/>
        <v>67.275978524043126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6.5</v>
      </c>
      <c r="AI109" s="13">
        <f>IF('Données projet'!$A$62&gt;35,AI108+AH109-AQ108,IF(A109&lt;'Données projet'!$A$62,$AF$205^A109,IF(A109='Données projet'!$A$62,'Données projet'!$B$62,AI108+AH109-AQ108)))</f>
        <v>281.50000000000028</v>
      </c>
      <c r="AJ109" s="13">
        <f>AI109*VLOOKUP('Données projet'!$B$10,Paramètres!$A$1:$I$89,3,0)*VLOOKUP('Données projet'!$B$10,Paramètres!$A$1:$I$89,5,0)</f>
        <v>254.70120000000026</v>
      </c>
      <c r="AK109" s="13">
        <f t="shared" si="89"/>
        <v>61.591537947915228</v>
      </c>
      <c r="AL109" s="20">
        <f t="shared" si="58"/>
        <v>550.87651859261939</v>
      </c>
      <c r="AM109" s="59">
        <f t="shared" si="59"/>
        <v>844.20985192595276</v>
      </c>
      <c r="AN109" s="59">
        <f ca="1">AVERAGE(OFFSET($AM$3,0,0,'Données projet'!$E$10+1,1))-AVERAGE(OFFSET($H$3,0,0,'Données projet'!$E$10+1,1))</f>
        <v>215.7418266360167</v>
      </c>
      <c r="AO109" s="59">
        <f t="shared" si="90"/>
        <v>155.78420008229949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47.295381671615978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47.295381671615978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4.583333333333333</v>
      </c>
      <c r="BD109" s="12">
        <f>IF('Données projet'!$A$88&gt;35,BD108+BC109-BL108,IF(A109&lt;'Données projet'!$A$88,$BA$205^A109,IF(A109='Données projet'!$A$88,'Données projet'!$B$88,BD108+BC109-BL108)))</f>
        <v>188.33333333333329</v>
      </c>
      <c r="BE109" s="13">
        <f>BD109*VLOOKUP('Données projet'!$B$11,Paramètres!$A$1:$I$89,3,0)*VLOOKUP('Données projet'!$B$11,Paramètres!$A$1:$I$89,5,0)</f>
        <v>190.96999999999997</v>
      </c>
      <c r="BF109" s="13">
        <f t="shared" si="91"/>
        <v>47.754342479994186</v>
      </c>
      <c r="BG109" s="20">
        <f t="shared" si="61"/>
        <v>415.77822981932314</v>
      </c>
      <c r="BH109" s="59">
        <f t="shared" si="62"/>
        <v>709.11156315265646</v>
      </c>
      <c r="BI109" s="59">
        <f ca="1">AVERAGE(OFFSET($BH$3,0,0,'Données projet'!$E$11+1,1))-AVERAGE(OFFSET($H$3,0,0,'Données projet'!$E$11+1,1))</f>
        <v>179.53921263314447</v>
      </c>
      <c r="BJ109" s="59">
        <f t="shared" si="92"/>
        <v>120.81513023281337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41.707780701833194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41.707780701833194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500.00000000000045</v>
      </c>
      <c r="BZ109" s="13">
        <f>BY109*VLOOKUP('Données projet'!$B$12,Paramètres!$A$1:$I$89,3,0)*VLOOKUP('Données projet'!$B$12,Paramètres!$A$1:$I$89,5,0)</f>
        <v>234.00000000000023</v>
      </c>
      <c r="CA109" s="13">
        <f t="shared" si="93"/>
        <v>57.146705242557189</v>
      </c>
      <c r="CB109" s="20">
        <f t="shared" si="64"/>
        <v>507.08051163078744</v>
      </c>
      <c r="CC109" s="59">
        <f t="shared" si="65"/>
        <v>800.4138449641207</v>
      </c>
      <c r="CD109" s="59">
        <f ca="1">AVERAGE(OFFSET($CC$3,0,0,'Données projet'!$E$12+1,1))-AVERAGE(OFFSET($H$3,0,0,'Données projet'!$E$12+1,1))</f>
        <v>310.06530483941287</v>
      </c>
      <c r="CE109" s="59">
        <f t="shared" si="94"/>
        <v>170.13425794309376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100.84291868454996</v>
      </c>
      <c r="CL109" s="21">
        <f>EXP(-LN(2)/25)*CL108+(1-EXP(-LN(2)/25))/(LN(2)/25)*Calculateur!CG109*Calculateur!CI109*VLOOKUP('Données projet'!$B$12,Paramètres!$A$1:$I$89,3,0)*0.475*44/12</f>
        <v>20.371937741908507</v>
      </c>
      <c r="CM109" s="21">
        <f>EXP(-LN(2)/2)*CM108+(1-EXP(-LN(2)/2))/(LN(2)/2)*CG109*CJ109*VLOOKUP('Données projet'!$B$12,Paramètres!$A$1:$I$89,3,0)*0.475*44/12</f>
        <v>0.91941181440356723</v>
      </c>
      <c r="CN109" s="22">
        <f t="shared" si="66"/>
        <v>122.13426824086204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168.08890945052406</v>
      </c>
      <c r="CZ109" s="59">
        <f t="shared" si="96"/>
        <v>182.52462557642343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45.599881996958977</v>
      </c>
      <c r="DG109" s="21">
        <f>EXP(-LN(2)/25)*DG108+(1-EXP(-LN(2)/25))/(LN(2)/25)*Calculateur!DB109*Calculateur!DD109*VLOOKUP('Données projet'!$B$13,Paramètres!$A$1:$I$89,3,0)*0.475*44/12</f>
        <v>7.9748598006537348</v>
      </c>
      <c r="DH109" s="21">
        <f>EXP(-LN(2)/2)*DH108+(1-EXP(-LN(2)/2))/(LN(2)/2)*DB109*DE109*VLOOKUP('Données projet'!$B$13,Paramètres!$A$1:$I$89,3,0)*0.475*44/12</f>
        <v>6.7576694590506576E-6</v>
      </c>
      <c r="DI109" s="22">
        <f t="shared" si="69"/>
        <v>53.57474855528217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-2.2737367544323206E-13</v>
      </c>
      <c r="DP109" s="17">
        <f>DO109*VLOOKUP('Données projet'!$B$14,Paramètres!$A$1:$I$89,3,0)*VLOOKUP('Données projet'!$B$14,Paramètres!$A$1:$I$89,5,0)</f>
        <v>-1.2710188457276673E-13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355.23615781077405</v>
      </c>
      <c r="DU109" s="59">
        <f t="shared" si="98"/>
        <v>448.84541017639367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104.0632042835514</v>
      </c>
      <c r="EB109" s="21">
        <f>EXP(-LN(2)/25)*EB108+(1-EXP(-LN(2)/25))/(LN(2)/25)*Calculateur!DW109*Calculateur!DY109*VLOOKUP('Données projet'!$B$14,Paramètres!$A$1:$I$89,3,0)*0.475*44/12</f>
        <v>17.995134513729386</v>
      </c>
      <c r="EC109" s="21">
        <f>EXP(-LN(2)/2)*EC108+(1-EXP(-LN(2)/2))/(LN(2)/2)*DW109*DZ109*VLOOKUP('Données projet'!$B$14,Paramètres!$A$1:$I$89,3,0)*0.475*44/12</f>
        <v>6.7139685625206581E-6</v>
      </c>
      <c r="ED109" s="22">
        <f t="shared" si="72"/>
        <v>122.05834551124934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3.6666666666666665</v>
      </c>
      <c r="EJ109" s="12">
        <f>IF('Données projet'!$A$192&gt;35,EJ108+EI109-ER108,IF(A109&lt;'Données projet'!$A$192,$EG$205^A109,IF(A109='Données projet'!$A$192,'Données projet'!$B$192,EJ108+EI109-ER108)))</f>
        <v>150.66666666666666</v>
      </c>
      <c r="EK109" s="17">
        <f>EJ109*VLOOKUP('Données projet'!$B$15,Paramètres!$A$1:$I$89,3,0)*VLOOKUP('Données projet'!$B$15,Paramètres!$A$1:$I$89,5,0)</f>
        <v>162.17759999999998</v>
      </c>
      <c r="EL109" s="13">
        <f t="shared" si="99"/>
        <v>41.333292069682329</v>
      </c>
      <c r="EM109" s="20">
        <f t="shared" si="73"/>
        <v>354.44813702136338</v>
      </c>
      <c r="EN109" s="59">
        <f t="shared" si="74"/>
        <v>647.78147035469669</v>
      </c>
      <c r="EO109" s="59">
        <f ca="1">AVERAGE(OFFSET($EN$3,0,0,'Données projet'!$E$15+1,1))-AVERAGE(OFFSET($H$3,0,0,'Données projet'!$E$15+1,1))</f>
        <v>130.76477588601989</v>
      </c>
      <c r="EP109" s="59">
        <f t="shared" si="100"/>
        <v>94.034011511502172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35.419530688326027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35.419530688326027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-2.2737367544323206E-13</v>
      </c>
      <c r="FF109" s="17">
        <f>FE109*VLOOKUP('Données projet'!$B$16,Paramètres!$A$1:$I$89,3,0)*VLOOKUP('Données projet'!$B$16,Paramètres!$A$1:$I$89,5,0)</f>
        <v>-1.0345502232667058E-13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279.43442619866738</v>
      </c>
      <c r="FK109" s="59">
        <f t="shared" si="102"/>
        <v>355.95192241448217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84.702608137774348</v>
      </c>
      <c r="FR109" s="21">
        <f>EXP(-LN(2)/25)*FR108+(1-EXP(-LN(2)/25))/(LN(2)/25)*Calculateur!FM109*Calculateur!FO109*VLOOKUP('Données projet'!$B$16,Paramètres!$A$1:$I$89,3,0)*0.475*44/12</f>
        <v>14.647202511175092</v>
      </c>
      <c r="FS109" s="21">
        <f>EXP(-LN(2)/2)*FS108+(1-EXP(-LN(2)/2))/(LN(2)/2)*FM109*FP109*VLOOKUP('Données projet'!$B$16,Paramètres!$A$1:$I$89,3,0)*0.475*44/12</f>
        <v>5.4648581322842568E-6</v>
      </c>
      <c r="FT109" s="22">
        <f t="shared" si="78"/>
        <v>99.349816113807577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-6.7984728957526396E-14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227.89848316900191</v>
      </c>
      <c r="T110" s="59">
        <f t="shared" si="88"/>
        <v>239.85955661394541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56.497971284383262</v>
      </c>
      <c r="AA110" s="21">
        <f>EXP(-LN(2)/25)*AA109+(1-EXP(-LN(2)/25))/(LN(2)/25)*Calculateur!V110*Calculateur!X110*VLOOKUP('Données projet'!$B$9,Paramètres!$A$1:$I$89,3,0)*0.475*44/12</f>
        <v>9.3841244955889245</v>
      </c>
      <c r="AB110" s="21">
        <f>EXP(-LN(2)/2)*AB109+(1-EXP(-LN(2)/2))/(LN(2)/2)*V110*Y110*VLOOKUP('Données projet'!$B$9,Paramètres!$A$1:$I$89,3,0)*0.475*44/12</f>
        <v>6.1800868613753178E-6</v>
      </c>
      <c r="AC110" s="22">
        <f t="shared" si="57"/>
        <v>65.882101960059046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>
        <f>VLOOKUP(A110,'Données projet'!$A$61:$I$81,2,0)</f>
        <v>288</v>
      </c>
      <c r="AG110" s="12">
        <f>VLOOKUP(A110,'Données projet'!$A$61:$I$81,9,0)</f>
        <v>6.5</v>
      </c>
      <c r="AH110" s="12">
        <f t="array" ref="AH110">INDEX(AG:AG,MIN(IF(ISNUMBER(AG110:AG306),ROW(AG110:AG306),"")))</f>
        <v>6.5</v>
      </c>
      <c r="AI110" s="13">
        <f>IF('Données projet'!$A$62&gt;35,AI109+AH110-AQ109,IF(A110&lt;'Données projet'!$A$62,$AF$205^A110,IF(A110='Données projet'!$A$62,'Données projet'!$B$62,AI109+AH110-AQ109)))</f>
        <v>288.00000000000028</v>
      </c>
      <c r="AJ110" s="13">
        <f>AI110*VLOOKUP('Données projet'!$B$10,Paramètres!$A$1:$I$89,3,0)*VLOOKUP('Données projet'!$B$10,Paramètres!$A$1:$I$89,5,0)</f>
        <v>260.58240000000023</v>
      </c>
      <c r="AK110" s="13">
        <f t="shared" si="89"/>
        <v>62.846505929896907</v>
      </c>
      <c r="AL110" s="20">
        <f t="shared" si="58"/>
        <v>563.30534449457082</v>
      </c>
      <c r="AM110" s="59">
        <f t="shared" si="59"/>
        <v>856.63867782790408</v>
      </c>
      <c r="AN110" s="59">
        <f ca="1">AVERAGE(OFFSET($AM$3,0,0,'Données projet'!$E$10+1,1))-AVERAGE(OFFSET($H$3,0,0,'Données projet'!$E$10+1,1))</f>
        <v>215.7418266360167</v>
      </c>
      <c r="AO110" s="59">
        <f t="shared" si="90"/>
        <v>155.78420008229949</v>
      </c>
      <c r="AP110" s="15">
        <f>IF(ISNA(VLOOKUP(A110,'Données projet'!$A$61:$I$81,3,0)),0,VLOOKUP(A110,'Données projet'!$A$61:$I$81,3,0))</f>
        <v>10</v>
      </c>
      <c r="AQ110" s="15">
        <f>IF(ISNA(VLOOKUP(A110,'Données projet'!$A$61:$I$81,4,0)),0,VLOOKUP(A110,'Données projet'!$A$61:$I$81,4,0))</f>
        <v>46</v>
      </c>
      <c r="AR110" s="16">
        <f>IF(ISNA(VLOOKUP(A110,'Données projet'!$A$61:$I$81,5,0)),0%,VLOOKUP(A110,'Données projet'!$A$61:$I$81,5,0)*VLOOKUP('Données projet'!$B$10,Paramètres!$A$1:$I$89,7,0))</f>
        <v>0.38700000000000001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64.174035412913923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64.174035412913923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4.583333333333333</v>
      </c>
      <c r="BD110" s="12">
        <f>IF('Données projet'!$A$88&gt;35,BD109+BC110-BL109,IF(A110&lt;'Données projet'!$A$88,$BA$205^A110,IF(A110='Données projet'!$A$88,'Données projet'!$B$88,BD109+BC110-BL109)))</f>
        <v>192.91666666666663</v>
      </c>
      <c r="BE110" s="13">
        <f>BD110*VLOOKUP('Données projet'!$B$11,Paramètres!$A$1:$I$89,3,0)*VLOOKUP('Données projet'!$B$11,Paramètres!$A$1:$I$89,5,0)</f>
        <v>195.61749999999998</v>
      </c>
      <c r="BF110" s="13">
        <f t="shared" si="91"/>
        <v>48.779788435951872</v>
      </c>
      <c r="BG110" s="20">
        <f t="shared" si="61"/>
        <v>425.65861069261609</v>
      </c>
      <c r="BH110" s="59">
        <f t="shared" si="62"/>
        <v>718.99194402594935</v>
      </c>
      <c r="BI110" s="59">
        <f ca="1">AVERAGE(OFFSET($BH$3,0,0,'Données projet'!$E$11+1,1))-AVERAGE(OFFSET($H$3,0,0,'Données projet'!$E$11+1,1))</f>
        <v>179.53921263314447</v>
      </c>
      <c r="BJ110" s="59">
        <f t="shared" si="92"/>
        <v>120.81513023281337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40.889916561504556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40.889916561504556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500.00000000000045</v>
      </c>
      <c r="BZ110" s="13">
        <f>BY110*VLOOKUP('Données projet'!$B$12,Paramètres!$A$1:$I$89,3,0)*VLOOKUP('Données projet'!$B$12,Paramètres!$A$1:$I$89,5,0)</f>
        <v>234.00000000000023</v>
      </c>
      <c r="CA110" s="13">
        <f t="shared" si="93"/>
        <v>57.146705242557189</v>
      </c>
      <c r="CB110" s="20">
        <f t="shared" si="64"/>
        <v>507.08051163078744</v>
      </c>
      <c r="CC110" s="59">
        <f t="shared" si="65"/>
        <v>800.4138449641207</v>
      </c>
      <c r="CD110" s="59">
        <f ca="1">AVERAGE(OFFSET($CC$3,0,0,'Données projet'!$E$12+1,1))-AVERAGE(OFFSET($H$3,0,0,'Données projet'!$E$12+1,1))</f>
        <v>310.06530483941287</v>
      </c>
      <c r="CE110" s="59">
        <f t="shared" si="94"/>
        <v>170.13425794309376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98.865450557252913</v>
      </c>
      <c r="CL110" s="21">
        <f>EXP(-LN(2)/25)*CL109+(1-EXP(-LN(2)/25))/(LN(2)/25)*Calculateur!CG110*Calculateur!CI110*VLOOKUP('Données projet'!$B$12,Paramètres!$A$1:$I$89,3,0)*0.475*44/12</f>
        <v>19.814866033042374</v>
      </c>
      <c r="CM110" s="21">
        <f>EXP(-LN(2)/2)*CM109+(1-EXP(-LN(2)/2))/(LN(2)/2)*CG110*CJ110*VLOOKUP('Données projet'!$B$12,Paramètres!$A$1:$I$89,3,0)*0.475*44/12</f>
        <v>0.65012232866778985</v>
      </c>
      <c r="CN110" s="22">
        <f t="shared" si="66"/>
        <v>119.33043891896308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168.08890945052406</v>
      </c>
      <c r="CZ110" s="59">
        <f t="shared" si="96"/>
        <v>182.52462557642343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44.705696124180307</v>
      </c>
      <c r="DG110" s="21">
        <f>EXP(-LN(2)/25)*DG109+(1-EXP(-LN(2)/25))/(LN(2)/25)*Calculateur!DB110*Calculateur!DD110*VLOOKUP('Données projet'!$B$13,Paramètres!$A$1:$I$89,3,0)*0.475*44/12</f>
        <v>7.7567868400252085</v>
      </c>
      <c r="DH110" s="21">
        <f>EXP(-LN(2)/2)*DH109+(1-EXP(-LN(2)/2))/(LN(2)/2)*DB110*DE110*VLOOKUP('Données projet'!$B$13,Paramètres!$A$1:$I$89,3,0)*0.475*44/12</f>
        <v>4.7783938995119483E-6</v>
      </c>
      <c r="DI110" s="22">
        <f t="shared" si="69"/>
        <v>52.462487742599414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-2.2737367544323206E-13</v>
      </c>
      <c r="DP110" s="17">
        <f>DO110*VLOOKUP('Données projet'!$B$14,Paramètres!$A$1:$I$89,3,0)*VLOOKUP('Données projet'!$B$14,Paramètres!$A$1:$I$89,5,0)</f>
        <v>-1.2710188457276673E-13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355.23615781077405</v>
      </c>
      <c r="DU110" s="59">
        <f t="shared" si="98"/>
        <v>448.84541017639367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102.02258831983821</v>
      </c>
      <c r="EB110" s="21">
        <f>EXP(-LN(2)/25)*EB109+(1-EXP(-LN(2)/25))/(LN(2)/25)*Calculateur!DW110*Calculateur!DY110*VLOOKUP('Données projet'!$B$14,Paramètres!$A$1:$I$89,3,0)*0.475*44/12</f>
        <v>17.503056614128461</v>
      </c>
      <c r="EC110" s="21">
        <f>EXP(-LN(2)/2)*EC109+(1-EXP(-LN(2)/2))/(LN(2)/2)*DW110*DZ110*VLOOKUP('Données projet'!$B$14,Paramètres!$A$1:$I$89,3,0)*0.475*44/12</f>
        <v>4.7474926992316539E-6</v>
      </c>
      <c r="ED110" s="22">
        <f t="shared" si="72"/>
        <v>119.52564968145937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3.6666666666666665</v>
      </c>
      <c r="EJ110" s="12">
        <f>IF('Données projet'!$A$192&gt;35,EJ109+EI110-ER109,IF(A110&lt;'Données projet'!$A$192,$EG$205^A110,IF(A110='Données projet'!$A$192,'Données projet'!$B$192,EJ109+EI110-ER109)))</f>
        <v>154.33333333333331</v>
      </c>
      <c r="EK110" s="17">
        <f>EJ110*VLOOKUP('Données projet'!$B$15,Paramètres!$A$1:$I$89,3,0)*VLOOKUP('Données projet'!$B$15,Paramètres!$A$1:$I$89,5,0)</f>
        <v>166.12439999999998</v>
      </c>
      <c r="EL110" s="13">
        <f t="shared" si="99"/>
        <v>42.22085652975278</v>
      </c>
      <c r="EM110" s="20">
        <f t="shared" si="73"/>
        <v>362.86798845598605</v>
      </c>
      <c r="EN110" s="59">
        <f t="shared" si="74"/>
        <v>656.20132178931931</v>
      </c>
      <c r="EO110" s="59">
        <f ca="1">AVERAGE(OFFSET($EN$3,0,0,'Données projet'!$E$15+1,1))-AVERAGE(OFFSET($H$3,0,0,'Données projet'!$E$15+1,1))</f>
        <v>130.76477588601989</v>
      </c>
      <c r="EP110" s="59">
        <f t="shared" si="100"/>
        <v>94.034011511502172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34.724975295308475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34.724975295308475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-2.2737367544323206E-13</v>
      </c>
      <c r="FF110" s="17">
        <f>FE110*VLOOKUP('Données projet'!$B$16,Paramètres!$A$1:$I$89,3,0)*VLOOKUP('Données projet'!$B$16,Paramètres!$A$1:$I$89,5,0)</f>
        <v>-1.0345502232667058E-13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279.43442619866738</v>
      </c>
      <c r="FK110" s="59">
        <f t="shared" si="102"/>
        <v>355.95192241448217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83.041641655682213</v>
      </c>
      <c r="FR110" s="21">
        <f>EXP(-LN(2)/25)*FR109+(1-EXP(-LN(2)/25))/(LN(2)/25)*Calculateur!FM110*Calculateur!FO110*VLOOKUP('Données projet'!$B$16,Paramètres!$A$1:$I$89,3,0)*0.475*44/12</f>
        <v>14.246673988244105</v>
      </c>
      <c r="FS110" s="21">
        <f>EXP(-LN(2)/2)*FS109+(1-EXP(-LN(2)/2))/(LN(2)/2)*FM110*FP110*VLOOKUP('Données projet'!$B$16,Paramètres!$A$1:$I$89,3,0)*0.475*44/12</f>
        <v>3.8642382435606487E-6</v>
      </c>
      <c r="FT110" s="22">
        <f t="shared" si="78"/>
        <v>97.288319508164562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-6.7984728957526396E-14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227.89848316900191</v>
      </c>
      <c r="T111" s="59">
        <f t="shared" si="88"/>
        <v>239.85955661394541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55.390080527856313</v>
      </c>
      <c r="AA111" s="21">
        <f>EXP(-LN(2)/25)*AA110+(1-EXP(-LN(2)/25))/(LN(2)/25)*Calculateur!V111*Calculateur!X111*VLOOKUP('Données projet'!$B$9,Paramètres!$A$1:$I$89,3,0)*0.475*44/12</f>
        <v>9.1275151177673859</v>
      </c>
      <c r="AB111" s="21">
        <f>EXP(-LN(2)/2)*AB110+(1-EXP(-LN(2)/2))/(LN(2)/2)*V111*Y111*VLOOKUP('Données projet'!$B$9,Paramètres!$A$1:$I$89,3,0)*0.475*44/12</f>
        <v>4.3699813280003741E-6</v>
      </c>
      <c r="AC111" s="22">
        <f t="shared" si="57"/>
        <v>64.517600015605026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6.7</v>
      </c>
      <c r="AI111" s="13">
        <f>IF('Données projet'!$A$62&gt;35,AI110+AH111-AQ110,IF(A111&lt;'Données projet'!$A$62,$AF$205^A111,IF(A111='Données projet'!$A$62,'Données projet'!$B$62,AI110+AH111-AQ110)))</f>
        <v>248.70000000000027</v>
      </c>
      <c r="AJ111" s="13">
        <f>AI111*VLOOKUP('Données projet'!$B$10,Paramètres!$A$1:$I$89,3,0)*VLOOKUP('Données projet'!$B$10,Paramètres!$A$1:$I$89,5,0)</f>
        <v>225.02376000000024</v>
      </c>
      <c r="AK111" s="13">
        <f t="shared" si="89"/>
        <v>55.205336184590507</v>
      </c>
      <c r="AL111" s="20">
        <f t="shared" si="58"/>
        <v>488.06567585482873</v>
      </c>
      <c r="AM111" s="59">
        <f t="shared" si="59"/>
        <v>781.39900918816204</v>
      </c>
      <c r="AN111" s="59">
        <f ca="1">AVERAGE(OFFSET($AM$3,0,0,'Données projet'!$E$10+1,1))-AVERAGE(OFFSET($H$3,0,0,'Données projet'!$E$10+1,1))</f>
        <v>215.7418266360167</v>
      </c>
      <c r="AO111" s="59">
        <f t="shared" si="90"/>
        <v>155.78420008229949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62.915621720763305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62.915621720763305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4.583333333333333</v>
      </c>
      <c r="BD111" s="12">
        <f>IF('Données projet'!$A$88&gt;35,BD110+BC111-BL110,IF(A111&lt;'Données projet'!$A$88,$BA$205^A111,IF(A111='Données projet'!$A$88,'Données projet'!$B$88,BD110+BC111-BL110)))</f>
        <v>197.49999999999997</v>
      </c>
      <c r="BE111" s="13">
        <f>BD111*VLOOKUP('Données projet'!$B$11,Paramètres!$A$1:$I$89,3,0)*VLOOKUP('Données projet'!$B$11,Paramètres!$A$1:$I$89,5,0)</f>
        <v>200.26500000000001</v>
      </c>
      <c r="BF111" s="13">
        <f t="shared" si="91"/>
        <v>49.802402215745047</v>
      </c>
      <c r="BG111" s="20">
        <f t="shared" si="61"/>
        <v>435.53405885908927</v>
      </c>
      <c r="BH111" s="59">
        <f t="shared" si="62"/>
        <v>728.86739219242259</v>
      </c>
      <c r="BI111" s="59">
        <f ca="1">AVERAGE(OFFSET($BH$3,0,0,'Données projet'!$E$11+1,1))-AVERAGE(OFFSET($H$3,0,0,'Données projet'!$E$11+1,1))</f>
        <v>179.53921263314447</v>
      </c>
      <c r="BJ111" s="59">
        <f t="shared" si="92"/>
        <v>120.81513023281337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40.088090238119896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40.088090238119896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500.00000000000045</v>
      </c>
      <c r="BZ111" s="13">
        <f>BY111*VLOOKUP('Données projet'!$B$12,Paramètres!$A$1:$I$89,3,0)*VLOOKUP('Données projet'!$B$12,Paramètres!$A$1:$I$89,5,0)</f>
        <v>234.00000000000023</v>
      </c>
      <c r="CA111" s="13">
        <f t="shared" si="93"/>
        <v>57.146705242557189</v>
      </c>
      <c r="CB111" s="20">
        <f t="shared" si="64"/>
        <v>507.08051163078744</v>
      </c>
      <c r="CC111" s="59">
        <f t="shared" si="65"/>
        <v>800.4138449641207</v>
      </c>
      <c r="CD111" s="59">
        <f ca="1">AVERAGE(OFFSET($CC$3,0,0,'Données projet'!$E$12+1,1))-AVERAGE(OFFSET($H$3,0,0,'Données projet'!$E$12+1,1))</f>
        <v>310.06530483941287</v>
      </c>
      <c r="CE111" s="59">
        <f t="shared" si="94"/>
        <v>170.13425794309376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96.926759373795704</v>
      </c>
      <c r="CL111" s="21">
        <f>EXP(-LN(2)/25)*CL110+(1-EXP(-LN(2)/25))/(LN(2)/25)*Calculateur!CG111*Calculateur!CI111*VLOOKUP('Données projet'!$B$12,Paramètres!$A$1:$I$89,3,0)*0.475*44/12</f>
        <v>19.273027479350315</v>
      </c>
      <c r="CM111" s="21">
        <f>EXP(-LN(2)/2)*CM110+(1-EXP(-LN(2)/2))/(LN(2)/2)*CG111*CJ111*VLOOKUP('Données projet'!$B$12,Paramètres!$A$1:$I$89,3,0)*0.475*44/12</f>
        <v>0.45970590720178361</v>
      </c>
      <c r="CN111" s="22">
        <f t="shared" si="66"/>
        <v>116.6594927603478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168.08890945052406</v>
      </c>
      <c r="CZ111" s="59">
        <f t="shared" si="96"/>
        <v>182.52462557642343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43.829044690967294</v>
      </c>
      <c r="DG111" s="21">
        <f>EXP(-LN(2)/25)*DG110+(1-EXP(-LN(2)/25))/(LN(2)/25)*Calculateur!DB111*Calculateur!DD111*VLOOKUP('Données projet'!$B$13,Paramètres!$A$1:$I$89,3,0)*0.475*44/12</f>
        <v>7.5446770959730278</v>
      </c>
      <c r="DH111" s="21">
        <f>EXP(-LN(2)/2)*DH110+(1-EXP(-LN(2)/2))/(LN(2)/2)*DB111*DE111*VLOOKUP('Données projet'!$B$13,Paramètres!$A$1:$I$89,3,0)*0.475*44/12</f>
        <v>3.3788347295253288E-6</v>
      </c>
      <c r="DI111" s="22">
        <f t="shared" si="69"/>
        <v>51.373725165775049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-2.2737367544323206E-13</v>
      </c>
      <c r="DP111" s="17">
        <f>DO111*VLOOKUP('Données projet'!$B$14,Paramètres!$A$1:$I$89,3,0)*VLOOKUP('Données projet'!$B$14,Paramètres!$A$1:$I$89,5,0)</f>
        <v>-1.2710188457276673E-13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355.23615781077405</v>
      </c>
      <c r="DU111" s="59">
        <f t="shared" si="98"/>
        <v>448.84541017639367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100.02198759052058</v>
      </c>
      <c r="EB111" s="21">
        <f>EXP(-LN(2)/25)*EB110+(1-EXP(-LN(2)/25))/(LN(2)/25)*Calculateur!DW111*Calculateur!DY111*VLOOKUP('Données projet'!$B$14,Paramètres!$A$1:$I$89,3,0)*0.475*44/12</f>
        <v>17.024434610569376</v>
      </c>
      <c r="EC111" s="21">
        <f>EXP(-LN(2)/2)*EC110+(1-EXP(-LN(2)/2))/(LN(2)/2)*DW111*DZ111*VLOOKUP('Données projet'!$B$14,Paramètres!$A$1:$I$89,3,0)*0.475*44/12</f>
        <v>3.3569842812603291E-6</v>
      </c>
      <c r="ED111" s="22">
        <f t="shared" si="72"/>
        <v>117.04642555807423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3.6666666666666665</v>
      </c>
      <c r="EJ111" s="12">
        <f>IF('Données projet'!$A$192&gt;35,EJ110+EI111-ER110,IF(A111&lt;'Données projet'!$A$192,$EG$205^A111,IF(A111='Données projet'!$A$192,'Données projet'!$B$192,EJ110+EI111-ER110)))</f>
        <v>157.99999999999997</v>
      </c>
      <c r="EK111" s="17">
        <f>EJ111*VLOOKUP('Données projet'!$B$15,Paramètres!$A$1:$I$89,3,0)*VLOOKUP('Données projet'!$B$15,Paramètres!$A$1:$I$89,5,0)</f>
        <v>170.07119999999995</v>
      </c>
      <c r="EL111" s="13">
        <f t="shared" si="99"/>
        <v>43.105969628155904</v>
      </c>
      <c r="EM111" s="20">
        <f t="shared" si="73"/>
        <v>371.2835704357048</v>
      </c>
      <c r="EN111" s="59">
        <f t="shared" si="74"/>
        <v>664.61690376903812</v>
      </c>
      <c r="EO111" s="59">
        <f ca="1">AVERAGE(OFFSET($EN$3,0,0,'Données projet'!$E$15+1,1))-AVERAGE(OFFSET($H$3,0,0,'Données projet'!$E$15+1,1))</f>
        <v>130.76477588601989</v>
      </c>
      <c r="EP111" s="59">
        <f t="shared" si="100"/>
        <v>94.034011511502172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34.04403970991104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34.04403970991104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-2.2737367544323206E-13</v>
      </c>
      <c r="FF111" s="17">
        <f>FE111*VLOOKUP('Données projet'!$B$16,Paramètres!$A$1:$I$89,3,0)*VLOOKUP('Données projet'!$B$16,Paramètres!$A$1:$I$89,5,0)</f>
        <v>-1.0345502232667058E-13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279.43442619866738</v>
      </c>
      <c r="FK111" s="59">
        <f t="shared" si="102"/>
        <v>355.95192241448217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81.41324571321438</v>
      </c>
      <c r="FR111" s="21">
        <f>EXP(-LN(2)/25)*FR110+(1-EXP(-LN(2)/25))/(LN(2)/25)*Calculateur!FM111*Calculateur!FO111*VLOOKUP('Données projet'!$B$16,Paramètres!$A$1:$I$89,3,0)*0.475*44/12</f>
        <v>13.857097938835546</v>
      </c>
      <c r="FS111" s="21">
        <f>EXP(-LN(2)/2)*FS110+(1-EXP(-LN(2)/2))/(LN(2)/2)*FM111*FP111*VLOOKUP('Données projet'!$B$16,Paramètres!$A$1:$I$89,3,0)*0.475*44/12</f>
        <v>2.7324290661421284E-6</v>
      </c>
      <c r="FT111" s="22">
        <f t="shared" si="78"/>
        <v>95.270346384478998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-6.7984728957526396E-14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227.89848316900191</v>
      </c>
      <c r="T112" s="59">
        <f t="shared" si="88"/>
        <v>239.85955661394541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54.303914833318217</v>
      </c>
      <c r="AA112" s="21">
        <f>EXP(-LN(2)/25)*AA111+(1-EXP(-LN(2)/25))/(LN(2)/25)*Calculateur!V112*Calculateur!X112*VLOOKUP('Données projet'!$B$9,Paramètres!$A$1:$I$89,3,0)*0.475*44/12</f>
        <v>8.8779227368768776</v>
      </c>
      <c r="AB112" s="21">
        <f>EXP(-LN(2)/2)*AB111+(1-EXP(-LN(2)/2))/(LN(2)/2)*V112*Y112*VLOOKUP('Données projet'!$B$9,Paramètres!$A$1:$I$89,3,0)*0.475*44/12</f>
        <v>3.0900434306876589E-6</v>
      </c>
      <c r="AC112" s="22">
        <f t="shared" si="57"/>
        <v>63.181840660238521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6.7</v>
      </c>
      <c r="AI112" s="13">
        <f>IF('Données projet'!$A$62&gt;35,AI111+AH112-AQ111,IF(A112&lt;'Données projet'!$A$62,$AF$205^A112,IF(A112='Données projet'!$A$62,'Données projet'!$B$62,AI111+AH112-AQ111)))</f>
        <v>255.40000000000026</v>
      </c>
      <c r="AJ112" s="13">
        <f>AI112*VLOOKUP('Données projet'!$B$10,Paramètres!$A$1:$I$89,3,0)*VLOOKUP('Données projet'!$B$10,Paramètres!$A$1:$I$89,5,0)</f>
        <v>231.08592000000024</v>
      </c>
      <c r="AK112" s="13">
        <f t="shared" si="89"/>
        <v>56.517418417166077</v>
      </c>
      <c r="AL112" s="20">
        <f t="shared" si="58"/>
        <v>500.90914774323136</v>
      </c>
      <c r="AM112" s="59">
        <f t="shared" si="59"/>
        <v>794.24248107656467</v>
      </c>
      <c r="AN112" s="59">
        <f ca="1">AVERAGE(OFFSET($AM$3,0,0,'Données projet'!$E$10+1,1))-AVERAGE(OFFSET($H$3,0,0,'Données projet'!$E$10+1,1))</f>
        <v>215.7418266360167</v>
      </c>
      <c r="AO112" s="59">
        <f t="shared" si="90"/>
        <v>155.78420008229949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61.681884753559196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61.681884753559196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4.583333333333333</v>
      </c>
      <c r="BD112" s="12">
        <f>IF('Données projet'!$A$88&gt;35,BD111+BC112-BL111,IF(A112&lt;'Données projet'!$A$88,$BA$205^A112,IF(A112='Données projet'!$A$88,'Données projet'!$B$88,BD111+BC112-BL111)))</f>
        <v>202.08333333333331</v>
      </c>
      <c r="BE112" s="13">
        <f>BD112*VLOOKUP('Données projet'!$B$11,Paramètres!$A$1:$I$89,3,0)*VLOOKUP('Données projet'!$B$11,Paramètres!$A$1:$I$89,5,0)</f>
        <v>204.91249999999999</v>
      </c>
      <c r="BF112" s="13">
        <f t="shared" si="91"/>
        <v>50.822257109723651</v>
      </c>
      <c r="BG112" s="20">
        <f t="shared" si="61"/>
        <v>445.40470196610204</v>
      </c>
      <c r="BH112" s="59">
        <f t="shared" si="62"/>
        <v>738.7380352994353</v>
      </c>
      <c r="BI112" s="59">
        <f ca="1">AVERAGE(OFFSET($BH$3,0,0,'Données projet'!$E$11+1,1))-AVERAGE(OFFSET($H$3,0,0,'Données projet'!$E$11+1,1))</f>
        <v>179.53921263314447</v>
      </c>
      <c r="BJ112" s="59">
        <f t="shared" si="92"/>
        <v>120.81513023281337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39.301987239871046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39.301987239871046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500.00000000000045</v>
      </c>
      <c r="BZ112" s="13">
        <f>BY112*VLOOKUP('Données projet'!$B$12,Paramètres!$A$1:$I$89,3,0)*VLOOKUP('Données projet'!$B$12,Paramètres!$A$1:$I$89,5,0)</f>
        <v>234.00000000000023</v>
      </c>
      <c r="CA112" s="13">
        <f t="shared" si="93"/>
        <v>57.146705242557189</v>
      </c>
      <c r="CB112" s="20">
        <f t="shared" si="64"/>
        <v>507.08051163078744</v>
      </c>
      <c r="CC112" s="59">
        <f t="shared" si="65"/>
        <v>800.4138449641207</v>
      </c>
      <c r="CD112" s="59">
        <f ca="1">AVERAGE(OFFSET($CC$3,0,0,'Données projet'!$E$12+1,1))-AVERAGE(OFFSET($H$3,0,0,'Données projet'!$E$12+1,1))</f>
        <v>310.06530483941287</v>
      </c>
      <c r="CE112" s="59">
        <f t="shared" si="94"/>
        <v>170.13425794309376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95.026084741961228</v>
      </c>
      <c r="CL112" s="21">
        <f>EXP(-LN(2)/25)*CL111+(1-EXP(-LN(2)/25))/(LN(2)/25)*Calculateur!CG112*Calculateur!CI112*VLOOKUP('Données projet'!$B$12,Paramètres!$A$1:$I$89,3,0)*0.475*44/12</f>
        <v>18.746005529403014</v>
      </c>
      <c r="CM112" s="21">
        <f>EXP(-LN(2)/2)*CM111+(1-EXP(-LN(2)/2))/(LN(2)/2)*CG112*CJ112*VLOOKUP('Données projet'!$B$12,Paramètres!$A$1:$I$89,3,0)*0.475*44/12</f>
        <v>0.32506116433389493</v>
      </c>
      <c r="CN112" s="22">
        <f t="shared" si="66"/>
        <v>114.09715143569814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168.08890945052406</v>
      </c>
      <c r="CZ112" s="59">
        <f t="shared" si="96"/>
        <v>182.52462557642343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42.969583857655017</v>
      </c>
      <c r="DG112" s="21">
        <f>EXP(-LN(2)/25)*DG111+(1-EXP(-LN(2)/25))/(LN(2)/25)*Calculateur!DB112*Calculateur!DD112*VLOOKUP('Données projet'!$B$13,Paramètres!$A$1:$I$89,3,0)*0.475*44/12</f>
        <v>7.3383675040263201</v>
      </c>
      <c r="DH112" s="21">
        <f>EXP(-LN(2)/2)*DH111+(1-EXP(-LN(2)/2))/(LN(2)/2)*DB112*DE112*VLOOKUP('Données projet'!$B$13,Paramètres!$A$1:$I$89,3,0)*0.475*44/12</f>
        <v>2.3891969497559741E-6</v>
      </c>
      <c r="DI112" s="22">
        <f t="shared" si="69"/>
        <v>50.307953750878291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-2.2737367544323206E-13</v>
      </c>
      <c r="DP112" s="17">
        <f>DO112*VLOOKUP('Données projet'!$B$14,Paramètres!$A$1:$I$89,3,0)*VLOOKUP('Données projet'!$B$14,Paramètres!$A$1:$I$89,5,0)</f>
        <v>-1.2710188457276673E-13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355.23615781077405</v>
      </c>
      <c r="DU112" s="59">
        <f t="shared" si="98"/>
        <v>448.84541017639367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98.060617421258925</v>
      </c>
      <c r="EB112" s="21">
        <f>EXP(-LN(2)/25)*EB111+(1-EXP(-LN(2)/25))/(LN(2)/25)*Calculateur!DW112*Calculateur!DY112*VLOOKUP('Données projet'!$B$14,Paramètres!$A$1:$I$89,3,0)*0.475*44/12</f>
        <v>16.55890055086725</v>
      </c>
      <c r="EC112" s="21">
        <f>EXP(-LN(2)/2)*EC111+(1-EXP(-LN(2)/2))/(LN(2)/2)*DW112*DZ112*VLOOKUP('Données projet'!$B$14,Paramètres!$A$1:$I$89,3,0)*0.475*44/12</f>
        <v>2.373746349615827E-6</v>
      </c>
      <c r="ED112" s="22">
        <f t="shared" si="72"/>
        <v>114.61952034587253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3.6666666666666665</v>
      </c>
      <c r="EJ112" s="12">
        <f>IF('Données projet'!$A$192&gt;35,EJ111+EI112-ER111,IF(A112&lt;'Données projet'!$A$192,$EG$205^A112,IF(A112='Données projet'!$A$192,'Données projet'!$B$192,EJ111+EI112-ER111)))</f>
        <v>161.66666666666663</v>
      </c>
      <c r="EK112" s="17">
        <f>EJ112*VLOOKUP('Données projet'!$B$15,Paramètres!$A$1:$I$89,3,0)*VLOOKUP('Données projet'!$B$15,Paramètres!$A$1:$I$89,5,0)</f>
        <v>174.01799999999994</v>
      </c>
      <c r="EL112" s="13">
        <f t="shared" si="99"/>
        <v>43.988694800618916</v>
      </c>
      <c r="EM112" s="20">
        <f t="shared" si="73"/>
        <v>379.69499344441118</v>
      </c>
      <c r="EN112" s="59">
        <f t="shared" si="74"/>
        <v>673.0283267777445</v>
      </c>
      <c r="EO112" s="59">
        <f ca="1">AVERAGE(OFFSET($EN$3,0,0,'Données projet'!$E$15+1,1))-AVERAGE(OFFSET($H$3,0,0,'Données projet'!$E$15+1,1))</f>
        <v>130.76477588601989</v>
      </c>
      <c r="EP112" s="59">
        <f t="shared" si="100"/>
        <v>94.034011511502172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33.376456856013554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33.376456856013554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-2.2737367544323206E-13</v>
      </c>
      <c r="FF112" s="17">
        <f>FE112*VLOOKUP('Données projet'!$B$16,Paramètres!$A$1:$I$89,3,0)*VLOOKUP('Données projet'!$B$16,Paramètres!$A$1:$I$89,5,0)</f>
        <v>-1.0345502232667058E-13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279.43442619866738</v>
      </c>
      <c r="FK112" s="59">
        <f t="shared" si="102"/>
        <v>355.95192241448217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79.816781621954888</v>
      </c>
      <c r="FR112" s="21">
        <f>EXP(-LN(2)/25)*FR111+(1-EXP(-LN(2)/25))/(LN(2)/25)*Calculateur!FM112*Calculateur!FO112*VLOOKUP('Données projet'!$B$16,Paramètres!$A$1:$I$89,3,0)*0.475*44/12</f>
        <v>13.478174866984977</v>
      </c>
      <c r="FS112" s="21">
        <f>EXP(-LN(2)/2)*FS111+(1-EXP(-LN(2)/2))/(LN(2)/2)*FM112*FP112*VLOOKUP('Données projet'!$B$16,Paramètres!$A$1:$I$89,3,0)*0.475*44/12</f>
        <v>1.9321191217803243E-6</v>
      </c>
      <c r="FT112" s="22">
        <f t="shared" si="78"/>
        <v>93.294958421058979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-6.7984728957526396E-14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227.89848316900191</v>
      </c>
      <c r="T113" s="59">
        <f t="shared" si="88"/>
        <v>239.85955661394541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53.23904818555436</v>
      </c>
      <c r="AA113" s="21">
        <f>EXP(-LN(2)/25)*AA112+(1-EXP(-LN(2)/25))/(LN(2)/25)*Calculateur!V113*Calculateur!X113*VLOOKUP('Données projet'!$B$9,Paramètres!$A$1:$I$89,3,0)*0.475*44/12</f>
        <v>8.6351554727673125</v>
      </c>
      <c r="AB113" s="21">
        <f>EXP(-LN(2)/2)*AB112+(1-EXP(-LN(2)/2))/(LN(2)/2)*V113*Y113*VLOOKUP('Données projet'!$B$9,Paramètres!$A$1:$I$89,3,0)*0.475*44/12</f>
        <v>2.184990664000187E-6</v>
      </c>
      <c r="AC113" s="22">
        <f t="shared" si="57"/>
        <v>61.874205843312339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6.7</v>
      </c>
      <c r="AI113" s="13">
        <f>IF('Données projet'!$A$62&gt;35,AI112+AH113-AQ112,IF(A113&lt;'Données projet'!$A$62,$AF$205^A113,IF(A113='Données projet'!$A$62,'Données projet'!$B$62,AI112+AH113-AQ112)))</f>
        <v>262.10000000000025</v>
      </c>
      <c r="AJ113" s="13">
        <f>AI113*VLOOKUP('Données projet'!$B$10,Paramètres!$A$1:$I$89,3,0)*VLOOKUP('Données projet'!$B$10,Paramètres!$A$1:$I$89,5,0)</f>
        <v>237.14808000000022</v>
      </c>
      <c r="AK113" s="13">
        <f t="shared" si="89"/>
        <v>57.825499749857393</v>
      </c>
      <c r="AL113" s="20">
        <f t="shared" si="58"/>
        <v>513.74565139766867</v>
      </c>
      <c r="AM113" s="59">
        <f t="shared" si="59"/>
        <v>807.07898473100204</v>
      </c>
      <c r="AN113" s="59">
        <f ca="1">AVERAGE(OFFSET($AM$3,0,0,'Données projet'!$E$10+1,1))-AVERAGE(OFFSET($H$3,0,0,'Données projet'!$E$10+1,1))</f>
        <v>215.7418266360167</v>
      </c>
      <c r="AO113" s="59">
        <f t="shared" si="90"/>
        <v>155.78420008229949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60.472340615776716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60.472340615776716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4.583333333333333</v>
      </c>
      <c r="BD113" s="12">
        <f>IF('Données projet'!$A$88&gt;35,BD112+BC113-BL112,IF(A113&lt;'Données projet'!$A$88,$BA$205^A113,IF(A113='Données projet'!$A$88,'Données projet'!$B$88,BD112+BC113-BL112)))</f>
        <v>206.66666666666666</v>
      </c>
      <c r="BE113" s="13">
        <f>BD113*VLOOKUP('Données projet'!$B$11,Paramètres!$A$1:$I$89,3,0)*VLOOKUP('Données projet'!$B$11,Paramètres!$A$1:$I$89,5,0)</f>
        <v>209.56000000000003</v>
      </c>
      <c r="BF113" s="13">
        <f t="shared" si="91"/>
        <v>51.839422893973833</v>
      </c>
      <c r="BG113" s="20">
        <f t="shared" si="61"/>
        <v>455.2706615403377</v>
      </c>
      <c r="BH113" s="59">
        <f t="shared" si="62"/>
        <v>748.60399487367101</v>
      </c>
      <c r="BI113" s="59">
        <f ca="1">AVERAGE(OFFSET($BH$3,0,0,'Données projet'!$E$11+1,1))-AVERAGE(OFFSET($H$3,0,0,'Données projet'!$E$11+1,1))</f>
        <v>179.53921263314447</v>
      </c>
      <c r="BJ113" s="59">
        <f t="shared" si="92"/>
        <v>120.81513023281337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38.531299241942371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38.531299241942371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500.00000000000045</v>
      </c>
      <c r="BZ113" s="13">
        <f>BY113*VLOOKUP('Données projet'!$B$12,Paramètres!$A$1:$I$89,3,0)*VLOOKUP('Données projet'!$B$12,Paramètres!$A$1:$I$89,5,0)</f>
        <v>234.00000000000023</v>
      </c>
      <c r="CA113" s="13">
        <f t="shared" si="93"/>
        <v>57.146705242557189</v>
      </c>
      <c r="CB113" s="20">
        <f t="shared" si="64"/>
        <v>507.08051163078744</v>
      </c>
      <c r="CC113" s="59">
        <f t="shared" si="65"/>
        <v>800.4138449641207</v>
      </c>
      <c r="CD113" s="59">
        <f ca="1">AVERAGE(OFFSET($CC$3,0,0,'Données projet'!$E$12+1,1))-AVERAGE(OFFSET($H$3,0,0,'Données projet'!$E$12+1,1))</f>
        <v>310.06530483941287</v>
      </c>
      <c r="CE113" s="59">
        <f t="shared" si="94"/>
        <v>170.13425794309376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93.162681180359968</v>
      </c>
      <c r="CL113" s="21">
        <f>EXP(-LN(2)/25)*CL112+(1-EXP(-LN(2)/25))/(LN(2)/25)*Calculateur!CG113*Calculateur!CI113*VLOOKUP('Données projet'!$B$12,Paramètres!$A$1:$I$89,3,0)*0.475*44/12</f>
        <v>18.233395022391903</v>
      </c>
      <c r="CM113" s="21">
        <f>EXP(-LN(2)/2)*CM112+(1-EXP(-LN(2)/2))/(LN(2)/2)*CG113*CJ113*VLOOKUP('Données projet'!$B$12,Paramètres!$A$1:$I$89,3,0)*0.475*44/12</f>
        <v>0.22985295360089181</v>
      </c>
      <c r="CN113" s="22">
        <f t="shared" si="66"/>
        <v>111.62592915635277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168.08890945052406</v>
      </c>
      <c r="CZ113" s="59">
        <f t="shared" si="96"/>
        <v>182.52462557642343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42.126976527064649</v>
      </c>
      <c r="DG113" s="21">
        <f>EXP(-LN(2)/25)*DG112+(1-EXP(-LN(2)/25))/(LN(2)/25)*Calculateur!DB113*Calculateur!DD113*VLOOKUP('Données projet'!$B$13,Paramètres!$A$1:$I$89,3,0)*0.475*44/12</f>
        <v>7.1376994587207454</v>
      </c>
      <c r="DH113" s="21">
        <f>EXP(-LN(2)/2)*DH112+(1-EXP(-LN(2)/2))/(LN(2)/2)*DB113*DE113*VLOOKUP('Données projet'!$B$13,Paramètres!$A$1:$I$89,3,0)*0.475*44/12</f>
        <v>1.6894173647626644E-6</v>
      </c>
      <c r="DI113" s="22">
        <f t="shared" si="69"/>
        <v>49.264677675202762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-2.2737367544323206E-13</v>
      </c>
      <c r="DP113" s="17">
        <f>DO113*VLOOKUP('Données projet'!$B$14,Paramètres!$A$1:$I$89,3,0)*VLOOKUP('Données projet'!$B$14,Paramètres!$A$1:$I$89,5,0)</f>
        <v>-1.2710188457276673E-13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355.23615781077405</v>
      </c>
      <c r="DU113" s="59">
        <f t="shared" si="98"/>
        <v>448.84541017639367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96.137708524698809</v>
      </c>
      <c r="EB113" s="21">
        <f>EXP(-LN(2)/25)*EB112+(1-EXP(-LN(2)/25))/(LN(2)/25)*Calculateur!DW113*Calculateur!DY113*VLOOKUP('Données projet'!$B$14,Paramètres!$A$1:$I$89,3,0)*0.475*44/12</f>
        <v>16.10609654450905</v>
      </c>
      <c r="EC113" s="21">
        <f>EXP(-LN(2)/2)*EC112+(1-EXP(-LN(2)/2))/(LN(2)/2)*DW113*DZ113*VLOOKUP('Données projet'!$B$14,Paramètres!$A$1:$I$89,3,0)*0.475*44/12</f>
        <v>1.6784921406301645E-6</v>
      </c>
      <c r="ED113" s="22">
        <f t="shared" si="72"/>
        <v>112.24380674770001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3.6666666666666665</v>
      </c>
      <c r="EJ113" s="12">
        <f>IF('Données projet'!$A$192&gt;35,EJ112+EI113-ER112,IF(A113&lt;'Données projet'!$A$192,$EG$205^A113,IF(A113='Données projet'!$A$192,'Données projet'!$B$192,EJ112+EI113-ER112)))</f>
        <v>165.33333333333329</v>
      </c>
      <c r="EK113" s="17">
        <f>EJ113*VLOOKUP('Données projet'!$B$15,Paramètres!$A$1:$I$89,3,0)*VLOOKUP('Données projet'!$B$15,Paramètres!$A$1:$I$89,5,0)</f>
        <v>177.96479999999994</v>
      </c>
      <c r="EL113" s="13">
        <f t="shared" si="99"/>
        <v>44.869092441133283</v>
      </c>
      <c r="EM113" s="20">
        <f t="shared" si="73"/>
        <v>388.10236266830702</v>
      </c>
      <c r="EN113" s="59">
        <f t="shared" si="74"/>
        <v>681.43569600164028</v>
      </c>
      <c r="EO113" s="59">
        <f ca="1">AVERAGE(OFFSET($EN$3,0,0,'Données projet'!$E$15+1,1))-AVERAGE(OFFSET($H$3,0,0,'Données projet'!$E$15+1,1))</f>
        <v>130.76477588601989</v>
      </c>
      <c r="EP113" s="59">
        <f t="shared" si="100"/>
        <v>94.034011511502172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32.72196489469566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32.72196489469566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-2.2737367544323206E-13</v>
      </c>
      <c r="FF113" s="17">
        <f>FE113*VLOOKUP('Données projet'!$B$16,Paramètres!$A$1:$I$89,3,0)*VLOOKUP('Données projet'!$B$16,Paramètres!$A$1:$I$89,5,0)</f>
        <v>-1.0345502232667058E-13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279.43442619866738</v>
      </c>
      <c r="FK113" s="59">
        <f t="shared" si="102"/>
        <v>355.95192241448217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78.251623217778047</v>
      </c>
      <c r="FR113" s="21">
        <f>EXP(-LN(2)/25)*FR112+(1-EXP(-LN(2)/25))/(LN(2)/25)*Calculateur!FM113*Calculateur!FO113*VLOOKUP('Données projet'!$B$16,Paramètres!$A$1:$I$89,3,0)*0.475*44/12</f>
        <v>13.109613466460862</v>
      </c>
      <c r="FS113" s="21">
        <f>EXP(-LN(2)/2)*FS112+(1-EXP(-LN(2)/2))/(LN(2)/2)*FM113*FP113*VLOOKUP('Données projet'!$B$16,Paramètres!$A$1:$I$89,3,0)*0.475*44/12</f>
        <v>1.3662145330710642E-6</v>
      </c>
      <c r="FT113" s="22">
        <f t="shared" si="78"/>
        <v>91.361238050453437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-6.7984728957526396E-14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227.89848316900191</v>
      </c>
      <c r="T114" s="59">
        <f t="shared" si="88"/>
        <v>239.85955661394541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52.195062923248628</v>
      </c>
      <c r="AA114" s="21">
        <f>EXP(-LN(2)/25)*AA113+(1-EXP(-LN(2)/25))/(LN(2)/25)*Calculateur!V114*Calculateur!X114*VLOOKUP('Données projet'!$B$9,Paramètres!$A$1:$I$89,3,0)*0.475*44/12</f>
        <v>8.3990266922613994</v>
      </c>
      <c r="AB114" s="21">
        <f>EXP(-LN(2)/2)*AB113+(1-EXP(-LN(2)/2))/(LN(2)/2)*V114*Y114*VLOOKUP('Données projet'!$B$9,Paramètres!$A$1:$I$89,3,0)*0.475*44/12</f>
        <v>1.5450217153438294E-6</v>
      </c>
      <c r="AC114" s="22">
        <f t="shared" si="57"/>
        <v>60.594091160531747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6.7</v>
      </c>
      <c r="AI114" s="13">
        <f>IF('Données projet'!$A$62&gt;35,AI113+AH114-AQ113,IF(A114&lt;'Données projet'!$A$62,$AF$205^A114,IF(A114='Données projet'!$A$62,'Données projet'!$B$62,AI113+AH114-AQ113)))</f>
        <v>268.80000000000024</v>
      </c>
      <c r="AJ114" s="13">
        <f>AI114*VLOOKUP('Données projet'!$B$10,Paramètres!$A$1:$I$89,3,0)*VLOOKUP('Données projet'!$B$10,Paramètres!$A$1:$I$89,5,0)</f>
        <v>243.21024000000023</v>
      </c>
      <c r="AK114" s="13">
        <f t="shared" si="89"/>
        <v>59.129694216846787</v>
      </c>
      <c r="AL114" s="20">
        <f t="shared" si="58"/>
        <v>526.5753854276752</v>
      </c>
      <c r="AM114" s="59">
        <f t="shared" si="59"/>
        <v>819.90871876100846</v>
      </c>
      <c r="AN114" s="59">
        <f ca="1">AVERAGE(OFFSET($AM$3,0,0,'Données projet'!$E$10+1,1))-AVERAGE(OFFSET($H$3,0,0,'Données projet'!$E$10+1,1))</f>
        <v>215.7418266360167</v>
      </c>
      <c r="AO114" s="59">
        <f t="shared" si="90"/>
        <v>155.78420008229949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59.286514900787068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59.286514900787068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4.583333333333333</v>
      </c>
      <c r="BD114" s="12">
        <f>IF('Données projet'!$A$88&gt;35,BD113+BC114-BL113,IF(A114&lt;'Données projet'!$A$88,$BA$205^A114,IF(A114='Données projet'!$A$88,'Données projet'!$B$88,BD113+BC114-BL113)))</f>
        <v>211.25</v>
      </c>
      <c r="BE114" s="13">
        <f>BD114*VLOOKUP('Données projet'!$B$11,Paramètres!$A$1:$I$89,3,0)*VLOOKUP('Données projet'!$B$11,Paramètres!$A$1:$I$89,5,0)</f>
        <v>214.20750000000001</v>
      </c>
      <c r="BF114" s="13">
        <f t="shared" si="91"/>
        <v>52.853966072968603</v>
      </c>
      <c r="BG114" s="20">
        <f t="shared" si="61"/>
        <v>465.13205341042038</v>
      </c>
      <c r="BH114" s="59">
        <f t="shared" si="62"/>
        <v>758.4653867437537</v>
      </c>
      <c r="BI114" s="59">
        <f ca="1">AVERAGE(OFFSET($BH$3,0,0,'Données projet'!$E$11+1,1))-AVERAGE(OFFSET($H$3,0,0,'Données projet'!$E$11+1,1))</f>
        <v>179.53921263314447</v>
      </c>
      <c r="BJ114" s="59">
        <f t="shared" si="92"/>
        <v>120.81513023281337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37.775723965579814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37.775723965579814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500.00000000000045</v>
      </c>
      <c r="BZ114" s="13">
        <f>BY114*VLOOKUP('Données projet'!$B$12,Paramètres!$A$1:$I$89,3,0)*VLOOKUP('Données projet'!$B$12,Paramètres!$A$1:$I$89,5,0)</f>
        <v>234.00000000000023</v>
      </c>
      <c r="CA114" s="13">
        <f t="shared" si="93"/>
        <v>57.146705242557189</v>
      </c>
      <c r="CB114" s="20">
        <f t="shared" si="64"/>
        <v>507.08051163078744</v>
      </c>
      <c r="CC114" s="59">
        <f t="shared" si="65"/>
        <v>800.4138449641207</v>
      </c>
      <c r="CD114" s="59">
        <f ca="1">AVERAGE(OFFSET($CC$3,0,0,'Données projet'!$E$12+1,1))-AVERAGE(OFFSET($H$3,0,0,'Données projet'!$E$12+1,1))</f>
        <v>310.06530483941287</v>
      </c>
      <c r="CE114" s="59">
        <f t="shared" si="94"/>
        <v>170.13425794309376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91.335817826037768</v>
      </c>
      <c r="CL114" s="21">
        <f>EXP(-LN(2)/25)*CL113+(1-EXP(-LN(2)/25))/(LN(2)/25)*Calculateur!CG114*Calculateur!CI114*VLOOKUP('Données projet'!$B$12,Paramètres!$A$1:$I$89,3,0)*0.475*44/12</f>
        <v>17.734801876652025</v>
      </c>
      <c r="CM114" s="21">
        <f>EXP(-LN(2)/2)*CM113+(1-EXP(-LN(2)/2))/(LN(2)/2)*CG114*CJ114*VLOOKUP('Données projet'!$B$12,Paramètres!$A$1:$I$89,3,0)*0.475*44/12</f>
        <v>0.16253058216694746</v>
      </c>
      <c r="CN114" s="22">
        <f t="shared" si="66"/>
        <v>109.23315028485675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168.08890945052406</v>
      </c>
      <c r="CZ114" s="59">
        <f t="shared" si="96"/>
        <v>182.52462557642343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41.30089221228743</v>
      </c>
      <c r="DG114" s="21">
        <f>EXP(-LN(2)/25)*DG113+(1-EXP(-LN(2)/25))/(LN(2)/25)*Calculateur!DB114*Calculateur!DD114*VLOOKUP('Données projet'!$B$13,Paramètres!$A$1:$I$89,3,0)*0.475*44/12</f>
        <v>6.9425186916667254</v>
      </c>
      <c r="DH114" s="21">
        <f>EXP(-LN(2)/2)*DH113+(1-EXP(-LN(2)/2))/(LN(2)/2)*DB114*DE114*VLOOKUP('Données projet'!$B$13,Paramètres!$A$1:$I$89,3,0)*0.475*44/12</f>
        <v>1.1945984748779871E-6</v>
      </c>
      <c r="DI114" s="22">
        <f t="shared" si="69"/>
        <v>48.243412098552632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-2.2737367544323206E-13</v>
      </c>
      <c r="DP114" s="17">
        <f>DO114*VLOOKUP('Données projet'!$B$14,Paramètres!$A$1:$I$89,3,0)*VLOOKUP('Données projet'!$B$14,Paramètres!$A$1:$I$89,5,0)</f>
        <v>-1.2710188457276673E-13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355.23615781077405</v>
      </c>
      <c r="DU114" s="59">
        <f t="shared" si="98"/>
        <v>448.84541017639367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94.252506698741627</v>
      </c>
      <c r="EB114" s="21">
        <f>EXP(-LN(2)/25)*EB113+(1-EXP(-LN(2)/25))/(LN(2)/25)*Calculateur!DW114*Calculateur!DY114*VLOOKUP('Données projet'!$B$14,Paramètres!$A$1:$I$89,3,0)*0.475*44/12</f>
        <v>15.665674487516643</v>
      </c>
      <c r="EC114" s="21">
        <f>EXP(-LN(2)/2)*EC113+(1-EXP(-LN(2)/2))/(LN(2)/2)*DW114*DZ114*VLOOKUP('Données projet'!$B$14,Paramètres!$A$1:$I$89,3,0)*0.475*44/12</f>
        <v>1.1868731748079135E-6</v>
      </c>
      <c r="ED114" s="22">
        <f t="shared" si="72"/>
        <v>109.91818237313144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3.6666666666666665</v>
      </c>
      <c r="EJ114" s="12">
        <f>IF('Données projet'!$A$192&gt;35,EJ113+EI114-ER113,IF(A114&lt;'Données projet'!$A$192,$EG$205^A114,IF(A114='Données projet'!$A$192,'Données projet'!$B$192,EJ113+EI114-ER113)))</f>
        <v>168.99999999999994</v>
      </c>
      <c r="EK114" s="17">
        <f>EJ114*VLOOKUP('Données projet'!$B$15,Paramètres!$A$1:$I$89,3,0)*VLOOKUP('Données projet'!$B$15,Paramètres!$A$1:$I$89,5,0)</f>
        <v>181.91159999999994</v>
      </c>
      <c r="EL114" s="13">
        <f t="shared" si="99"/>
        <v>45.747220111978351</v>
      </c>
      <c r="EM114" s="20">
        <f t="shared" si="73"/>
        <v>396.50577836169549</v>
      </c>
      <c r="EN114" s="59">
        <f t="shared" si="74"/>
        <v>689.83911169502881</v>
      </c>
      <c r="EO114" s="59">
        <f ca="1">AVERAGE(OFFSET($EN$3,0,0,'Données projet'!$E$15+1,1))-AVERAGE(OFFSET($H$3,0,0,'Données projet'!$E$15+1,1))</f>
        <v>130.76477588601989</v>
      </c>
      <c r="EP114" s="59">
        <f t="shared" si="100"/>
        <v>94.034011511502172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32.080307121538532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32.080307121538532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-2.2737367544323206E-13</v>
      </c>
      <c r="FF114" s="17">
        <f>FE114*VLOOKUP('Données projet'!$B$16,Paramètres!$A$1:$I$89,3,0)*VLOOKUP('Données projet'!$B$16,Paramètres!$A$1:$I$89,5,0)</f>
        <v>-1.0345502232667058E-13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279.43442619866738</v>
      </c>
      <c r="FK114" s="59">
        <f t="shared" si="102"/>
        <v>355.95192241448217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76.717156615254751</v>
      </c>
      <c r="FR114" s="21">
        <f>EXP(-LN(2)/25)*FR113+(1-EXP(-LN(2)/25))/(LN(2)/25)*Calculateur!FM114*Calculateur!FO114*VLOOKUP('Données projet'!$B$16,Paramètres!$A$1:$I$89,3,0)*0.475*44/12</f>
        <v>12.75113039681588</v>
      </c>
      <c r="FS114" s="21">
        <f>EXP(-LN(2)/2)*FS113+(1-EXP(-LN(2)/2))/(LN(2)/2)*FM114*FP114*VLOOKUP('Données projet'!$B$16,Paramètres!$A$1:$I$89,3,0)*0.475*44/12</f>
        <v>9.6605956089016217E-7</v>
      </c>
      <c r="FT114" s="22">
        <f t="shared" si="78"/>
        <v>89.468287978130192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-6.7984728957526396E-14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227.89848316900191</v>
      </c>
      <c r="T115" s="59">
        <f t="shared" si="88"/>
        <v>239.85955661394541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51.171549575168576</v>
      </c>
      <c r="AA115" s="21">
        <f>EXP(-LN(2)/25)*AA114+(1-EXP(-LN(2)/25))/(LN(2)/25)*Calculateur!V115*Calculateur!X115*VLOOKUP('Données projet'!$B$9,Paramètres!$A$1:$I$89,3,0)*0.475*44/12</f>
        <v>8.1693548656758939</v>
      </c>
      <c r="AB115" s="21">
        <f>EXP(-LN(2)/2)*AB114+(1-EXP(-LN(2)/2))/(LN(2)/2)*V115*Y115*VLOOKUP('Données projet'!$B$9,Paramètres!$A$1:$I$89,3,0)*0.475*44/12</f>
        <v>1.0924953320000935E-6</v>
      </c>
      <c r="AC115" s="22">
        <f t="shared" si="57"/>
        <v>59.3409055333398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6.7</v>
      </c>
      <c r="AI115" s="13">
        <f>IF('Données projet'!$A$62&gt;35,AI114+AH115-AQ114,IF(A115&lt;'Données projet'!$A$62,$AF$205^A115,IF(A115='Données projet'!$A$62,'Données projet'!$B$62,AI114+AH115-AQ114)))</f>
        <v>275.50000000000023</v>
      </c>
      <c r="AJ115" s="13">
        <f>AI115*VLOOKUP('Données projet'!$B$10,Paramètres!$A$1:$I$89,3,0)*VLOOKUP('Données projet'!$B$10,Paramètres!$A$1:$I$89,5,0)</f>
        <v>249.2724000000002</v>
      </c>
      <c r="AK115" s="13">
        <f t="shared" si="89"/>
        <v>60.430109843567813</v>
      </c>
      <c r="AL115" s="20">
        <f t="shared" si="58"/>
        <v>539.39853797754756</v>
      </c>
      <c r="AM115" s="59">
        <f t="shared" si="59"/>
        <v>832.73187131088093</v>
      </c>
      <c r="AN115" s="59">
        <f ca="1">AVERAGE(OFFSET($AM$3,0,0,'Données projet'!$E$10+1,1))-AVERAGE(OFFSET($H$3,0,0,'Données projet'!$E$10+1,1))</f>
        <v>215.7418266360167</v>
      </c>
      <c r="AO115" s="59">
        <f t="shared" si="90"/>
        <v>155.78420008229949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58.1239425047861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58.1239425047861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4.583333333333333</v>
      </c>
      <c r="BD115" s="12">
        <f>IF('Données projet'!$A$88&gt;35,BD114+BC115-BL114,IF(A115&lt;'Données projet'!$A$88,$BA$205^A115,IF(A115='Données projet'!$A$88,'Données projet'!$B$88,BD114+BC115-BL114)))</f>
        <v>215.83333333333334</v>
      </c>
      <c r="BE115" s="13">
        <f>BD115*VLOOKUP('Données projet'!$B$11,Paramètres!$A$1:$I$89,3,0)*VLOOKUP('Données projet'!$B$11,Paramètres!$A$1:$I$89,5,0)</f>
        <v>218.85500000000005</v>
      </c>
      <c r="BF115" s="13">
        <f t="shared" si="91"/>
        <v>53.865950100565549</v>
      </c>
      <c r="BG115" s="20">
        <f t="shared" si="61"/>
        <v>474.98898809181838</v>
      </c>
      <c r="BH115" s="59">
        <f t="shared" si="62"/>
        <v>768.3223214251517</v>
      </c>
      <c r="BI115" s="59">
        <f ca="1">AVERAGE(OFFSET($BH$3,0,0,'Données projet'!$E$11+1,1))-AVERAGE(OFFSET($H$3,0,0,'Données projet'!$E$11+1,1))</f>
        <v>179.53921263314447</v>
      </c>
      <c r="BJ115" s="59">
        <f t="shared" si="92"/>
        <v>120.81513023281337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37.034965059531309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37.034965059531309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500.00000000000045</v>
      </c>
      <c r="BZ115" s="13">
        <f>BY115*VLOOKUP('Données projet'!$B$12,Paramètres!$A$1:$I$89,3,0)*VLOOKUP('Données projet'!$B$12,Paramètres!$A$1:$I$89,5,0)</f>
        <v>234.00000000000023</v>
      </c>
      <c r="CA115" s="13">
        <f t="shared" si="93"/>
        <v>57.146705242557189</v>
      </c>
      <c r="CB115" s="20">
        <f t="shared" si="64"/>
        <v>507.08051163078744</v>
      </c>
      <c r="CC115" s="59">
        <f t="shared" si="65"/>
        <v>800.4138449641207</v>
      </c>
      <c r="CD115" s="59">
        <f ca="1">AVERAGE(OFFSET($CC$3,0,0,'Données projet'!$E$12+1,1))-AVERAGE(OFFSET($H$3,0,0,'Données projet'!$E$12+1,1))</f>
        <v>310.06530483941287</v>
      </c>
      <c r="CE115" s="59">
        <f t="shared" si="94"/>
        <v>170.13425794309376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89.544778147817198</v>
      </c>
      <c r="CL115" s="21">
        <f>EXP(-LN(2)/25)*CL114+(1-EXP(-LN(2)/25))/(LN(2)/25)*Calculateur!CG115*Calculateur!CI115*VLOOKUP('Données projet'!$B$12,Paramètres!$A$1:$I$89,3,0)*0.475*44/12</f>
        <v>17.249842786702278</v>
      </c>
      <c r="CM115" s="21">
        <f>EXP(-LN(2)/2)*CM114+(1-EXP(-LN(2)/2))/(LN(2)/2)*CG115*CJ115*VLOOKUP('Données projet'!$B$12,Paramètres!$A$1:$I$89,3,0)*0.475*44/12</f>
        <v>0.1149264768004459</v>
      </c>
      <c r="CN115" s="22">
        <f t="shared" si="66"/>
        <v>106.90954741131992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168.08890945052406</v>
      </c>
      <c r="CZ115" s="59">
        <f t="shared" si="96"/>
        <v>182.52462557642343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40.491006907061312</v>
      </c>
      <c r="DG115" s="21">
        <f>EXP(-LN(2)/25)*DG114+(1-EXP(-LN(2)/25))/(LN(2)/25)*Calculateur!DB115*Calculateur!DD115*VLOOKUP('Données projet'!$B$13,Paramètres!$A$1:$I$89,3,0)*0.475*44/12</f>
        <v>6.752675152951908</v>
      </c>
      <c r="DH115" s="21">
        <f>EXP(-LN(2)/2)*DH114+(1-EXP(-LN(2)/2))/(LN(2)/2)*DB115*DE115*VLOOKUP('Données projet'!$B$13,Paramètres!$A$1:$I$89,3,0)*0.475*44/12</f>
        <v>8.447086823813322E-7</v>
      </c>
      <c r="DI115" s="22">
        <f t="shared" si="69"/>
        <v>47.243682904721901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-2.2737367544323206E-13</v>
      </c>
      <c r="DP115" s="17">
        <f>DO115*VLOOKUP('Données projet'!$B$14,Paramètres!$A$1:$I$89,3,0)*VLOOKUP('Données projet'!$B$14,Paramètres!$A$1:$I$89,5,0)</f>
        <v>-1.2710188457276673E-13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355.23615781077405</v>
      </c>
      <c r="DU115" s="59">
        <f t="shared" si="98"/>
        <v>448.84541017639367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92.404272530731888</v>
      </c>
      <c r="EB115" s="21">
        <f>EXP(-LN(2)/25)*EB114+(1-EXP(-LN(2)/25))/(LN(2)/25)*Calculateur!DW115*Calculateur!DY115*VLOOKUP('Données projet'!$B$14,Paramètres!$A$1:$I$89,3,0)*0.475*44/12</f>
        <v>15.237295794833484</v>
      </c>
      <c r="EC115" s="21">
        <f>EXP(-LN(2)/2)*EC114+(1-EXP(-LN(2)/2))/(LN(2)/2)*DW115*DZ115*VLOOKUP('Données projet'!$B$14,Paramètres!$A$1:$I$89,3,0)*0.475*44/12</f>
        <v>8.3924607031508227E-7</v>
      </c>
      <c r="ED115" s="22">
        <f t="shared" si="72"/>
        <v>107.64156916481144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3.6666666666666665</v>
      </c>
      <c r="EJ115" s="12">
        <f>IF('Données projet'!$A$192&gt;35,EJ114+EI115-ER114,IF(A115&lt;'Données projet'!$A$192,$EG$205^A115,IF(A115='Données projet'!$A$192,'Données projet'!$B$192,EJ114+EI115-ER114)))</f>
        <v>172.6666666666666</v>
      </c>
      <c r="EK115" s="17">
        <f>EJ115*VLOOKUP('Données projet'!$B$15,Paramètres!$A$1:$I$89,3,0)*VLOOKUP('Données projet'!$B$15,Paramètres!$A$1:$I$89,5,0)</f>
        <v>185.85839999999993</v>
      </c>
      <c r="EL115" s="13">
        <f t="shared" si="99"/>
        <v>46.623132735004027</v>
      </c>
      <c r="EM115" s="20">
        <f t="shared" si="73"/>
        <v>404.90533618013188</v>
      </c>
      <c r="EN115" s="59">
        <f t="shared" si="74"/>
        <v>698.2386695134652</v>
      </c>
      <c r="EO115" s="59">
        <f ca="1">AVERAGE(OFFSET($EN$3,0,0,'Données projet'!$E$15+1,1))-AVERAGE(OFFSET($H$3,0,0,'Données projet'!$E$15+1,1))</f>
        <v>130.76477588601989</v>
      </c>
      <c r="EP115" s="59">
        <f t="shared" si="100"/>
        <v>94.034011511502172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31.451231865940418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31.451231865940418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-2.2737367544323206E-13</v>
      </c>
      <c r="FF115" s="17">
        <f>FE115*VLOOKUP('Données projet'!$B$16,Paramètres!$A$1:$I$89,3,0)*VLOOKUP('Données projet'!$B$16,Paramètres!$A$1:$I$89,5,0)</f>
        <v>-1.0345502232667058E-13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279.43442619866738</v>
      </c>
      <c r="FK115" s="59">
        <f t="shared" si="102"/>
        <v>355.95192241448217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75.212779966874734</v>
      </c>
      <c r="FR115" s="21">
        <f>EXP(-LN(2)/25)*FR114+(1-EXP(-LN(2)/25))/(LN(2)/25)*Calculateur!FM115*Calculateur!FO115*VLOOKUP('Données projet'!$B$16,Paramètres!$A$1:$I$89,3,0)*0.475*44/12</f>
        <v>12.402450065562144</v>
      </c>
      <c r="FS115" s="21">
        <f>EXP(-LN(2)/2)*FS114+(1-EXP(-LN(2)/2))/(LN(2)/2)*FM115*FP115*VLOOKUP('Données projet'!$B$16,Paramètres!$A$1:$I$89,3,0)*0.475*44/12</f>
        <v>6.831072665355321E-7</v>
      </c>
      <c r="FT115" s="22">
        <f t="shared" si="78"/>
        <v>87.615230715544143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-6.7984728957526396E-14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227.89848316900191</v>
      </c>
      <c r="T116" s="59">
        <f t="shared" si="88"/>
        <v>239.85955661394541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50.168106699562877</v>
      </c>
      <c r="AA116" s="21">
        <f>EXP(-LN(2)/25)*AA115+(1-EXP(-LN(2)/25))/(LN(2)/25)*Calculateur!V116*Calculateur!X116*VLOOKUP('Données projet'!$B$9,Paramètres!$A$1:$I$89,3,0)*0.475*44/12</f>
        <v>7.9459634272662854</v>
      </c>
      <c r="AB116" s="21">
        <f>EXP(-LN(2)/2)*AB115+(1-EXP(-LN(2)/2))/(LN(2)/2)*V116*Y116*VLOOKUP('Données projet'!$B$9,Paramètres!$A$1:$I$89,3,0)*0.475*44/12</f>
        <v>7.7251085767191472E-7</v>
      </c>
      <c r="AC116" s="22">
        <f t="shared" si="57"/>
        <v>58.114070899340021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6.7</v>
      </c>
      <c r="AI116" s="13">
        <f>IF('Données projet'!$A$62&gt;35,AI115+AH116-AQ115,IF(A116&lt;'Données projet'!$A$62,$AF$205^A116,IF(A116='Données projet'!$A$62,'Données projet'!$B$62,AI115+AH116-AQ115)))</f>
        <v>282.20000000000022</v>
      </c>
      <c r="AJ116" s="13">
        <f>AI116*VLOOKUP('Données projet'!$B$10,Paramètres!$A$1:$I$89,3,0)*VLOOKUP('Données projet'!$B$10,Paramètres!$A$1:$I$89,5,0)</f>
        <v>255.33456000000018</v>
      </c>
      <c r="AK116" s="13">
        <f t="shared" si="89"/>
        <v>61.726849101638862</v>
      </c>
      <c r="AL116" s="20">
        <f t="shared" si="58"/>
        <v>552.21528751868789</v>
      </c>
      <c r="AM116" s="59">
        <f t="shared" si="59"/>
        <v>845.54862085202126</v>
      </c>
      <c r="AN116" s="59">
        <f ca="1">AVERAGE(OFFSET($AM$3,0,0,'Données projet'!$E$10+1,1))-AVERAGE(OFFSET($H$3,0,0,'Données projet'!$E$10+1,1))</f>
        <v>215.7418266360167</v>
      </c>
      <c r="AO116" s="59">
        <f t="shared" si="90"/>
        <v>155.78420008229949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56.984167444371572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56.984167444371572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4.583333333333333</v>
      </c>
      <c r="BD116" s="12">
        <f>IF('Données projet'!$A$88&gt;35,BD115+BC116-BL115,IF(A116&lt;'Données projet'!$A$88,$BA$205^A116,IF(A116='Données projet'!$A$88,'Données projet'!$B$88,BD115+BC116-BL115)))</f>
        <v>220.41666666666669</v>
      </c>
      <c r="BE116" s="13">
        <f>BD116*VLOOKUP('Données projet'!$B$11,Paramètres!$A$1:$I$89,3,0)*VLOOKUP('Données projet'!$B$11,Paramètres!$A$1:$I$89,5,0)</f>
        <v>223.50250000000003</v>
      </c>
      <c r="BF116" s="13">
        <f t="shared" si="91"/>
        <v>54.875435581703243</v>
      </c>
      <c r="BG116" s="20">
        <f t="shared" si="61"/>
        <v>484.84157113813313</v>
      </c>
      <c r="BH116" s="59">
        <f t="shared" si="62"/>
        <v>778.17490447146645</v>
      </c>
      <c r="BI116" s="59">
        <f ca="1">AVERAGE(OFFSET($BH$3,0,0,'Données projet'!$E$11+1,1))-AVERAGE(OFFSET($H$3,0,0,'Données projet'!$E$11+1,1))</f>
        <v>179.53921263314447</v>
      </c>
      <c r="BJ116" s="59">
        <f t="shared" si="92"/>
        <v>120.81513023281337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36.308731983812102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36.308731983812102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500.00000000000045</v>
      </c>
      <c r="BZ116" s="13">
        <f>BY116*VLOOKUP('Données projet'!$B$12,Paramètres!$A$1:$I$89,3,0)*VLOOKUP('Données projet'!$B$12,Paramètres!$A$1:$I$89,5,0)</f>
        <v>234.00000000000023</v>
      </c>
      <c r="CA116" s="13">
        <f t="shared" si="93"/>
        <v>57.146705242557189</v>
      </c>
      <c r="CB116" s="20">
        <f t="shared" si="64"/>
        <v>507.08051163078744</v>
      </c>
      <c r="CC116" s="59">
        <f t="shared" si="65"/>
        <v>800.4138449641207</v>
      </c>
      <c r="CD116" s="59">
        <f ca="1">AVERAGE(OFFSET($CC$3,0,0,'Données projet'!$E$12+1,1))-AVERAGE(OFFSET($H$3,0,0,'Données projet'!$E$12+1,1))</f>
        <v>310.06530483941287</v>
      </c>
      <c r="CE116" s="59">
        <f t="shared" si="94"/>
        <v>170.13425794309376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87.788859665260205</v>
      </c>
      <c r="CL116" s="21">
        <f>EXP(-LN(2)/25)*CL115+(1-EXP(-LN(2)/25))/(LN(2)/25)*Calculateur!CG116*Calculateur!CI116*VLOOKUP('Données projet'!$B$12,Paramètres!$A$1:$I$89,3,0)*0.475*44/12</f>
        <v>16.778144928570097</v>
      </c>
      <c r="CM116" s="21">
        <f>EXP(-LN(2)/2)*CM115+(1-EXP(-LN(2)/2))/(LN(2)/2)*CG116*CJ116*VLOOKUP('Données projet'!$B$12,Paramètres!$A$1:$I$89,3,0)*0.475*44/12</f>
        <v>8.1265291083473731E-2</v>
      </c>
      <c r="CN116" s="22">
        <f t="shared" si="66"/>
        <v>104.64826988491377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168.08890945052406</v>
      </c>
      <c r="CZ116" s="59">
        <f t="shared" si="96"/>
        <v>182.52462557642343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39.697002958689417</v>
      </c>
      <c r="DG116" s="21">
        <f>EXP(-LN(2)/25)*DG115+(1-EXP(-LN(2)/25))/(LN(2)/25)*Calculateur!DB116*Calculateur!DD116*VLOOKUP('Données projet'!$B$13,Paramètres!$A$1:$I$89,3,0)*0.475*44/12</f>
        <v>6.5680228957866849</v>
      </c>
      <c r="DH116" s="21">
        <f>EXP(-LN(2)/2)*DH115+(1-EXP(-LN(2)/2))/(LN(2)/2)*DB116*DE116*VLOOKUP('Données projet'!$B$13,Paramètres!$A$1:$I$89,3,0)*0.475*44/12</f>
        <v>5.9729923743899353E-7</v>
      </c>
      <c r="DI116" s="22">
        <f t="shared" si="69"/>
        <v>46.265026451775334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-2.2737367544323206E-13</v>
      </c>
      <c r="DP116" s="17">
        <f>DO116*VLOOKUP('Données projet'!$B$14,Paramètres!$A$1:$I$89,3,0)*VLOOKUP('Données projet'!$B$14,Paramètres!$A$1:$I$89,5,0)</f>
        <v>-1.2710188457276673E-13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355.23615781077405</v>
      </c>
      <c r="DU116" s="59">
        <f t="shared" si="98"/>
        <v>448.84541017639367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90.592281107445288</v>
      </c>
      <c r="EB116" s="21">
        <f>EXP(-LN(2)/25)*EB115+(1-EXP(-LN(2)/25))/(LN(2)/25)*Calculateur!DW116*Calculateur!DY116*VLOOKUP('Données projet'!$B$14,Paramètres!$A$1:$I$89,3,0)*0.475*44/12</f>
        <v>14.820631140029201</v>
      </c>
      <c r="EC116" s="21">
        <f>EXP(-LN(2)/2)*EC115+(1-EXP(-LN(2)/2))/(LN(2)/2)*DW116*DZ116*VLOOKUP('Données projet'!$B$14,Paramètres!$A$1:$I$89,3,0)*0.475*44/12</f>
        <v>5.9343658740395674E-7</v>
      </c>
      <c r="ED116" s="22">
        <f t="shared" si="72"/>
        <v>105.41291284091108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3.6666666666666665</v>
      </c>
      <c r="EJ116" s="12">
        <f>IF('Données projet'!$A$192&gt;35,EJ115+EI116-ER115,IF(A116&lt;'Données projet'!$A$192,$EG$205^A116,IF(A116='Données projet'!$A$192,'Données projet'!$B$192,EJ115+EI116-ER115)))</f>
        <v>176.33333333333326</v>
      </c>
      <c r="EK116" s="17">
        <f>EJ116*VLOOKUP('Données projet'!$B$15,Paramètres!$A$1:$I$89,3,0)*VLOOKUP('Données projet'!$B$15,Paramètres!$A$1:$I$89,5,0)</f>
        <v>189.80519999999993</v>
      </c>
      <c r="EL116" s="13">
        <f t="shared" si="99"/>
        <v>47.496882766206909</v>
      </c>
      <c r="EM116" s="20">
        <f t="shared" si="73"/>
        <v>413.30112748447686</v>
      </c>
      <c r="EN116" s="59">
        <f t="shared" si="74"/>
        <v>706.63446081781012</v>
      </c>
      <c r="EO116" s="59">
        <f ca="1">AVERAGE(OFFSET($EN$3,0,0,'Données projet'!$E$15+1,1))-AVERAGE(OFFSET($H$3,0,0,'Données projet'!$E$15+1,1))</f>
        <v>130.76477588601989</v>
      </c>
      <c r="EP116" s="59">
        <f t="shared" si="100"/>
        <v>94.034011511502172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30.834492392406567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30.834492392406567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-2.2737367544323206E-13</v>
      </c>
      <c r="FF116" s="17">
        <f>FE116*VLOOKUP('Données projet'!$B$16,Paramètres!$A$1:$I$89,3,0)*VLOOKUP('Données projet'!$B$16,Paramètres!$A$1:$I$89,5,0)</f>
        <v>-1.0345502232667058E-13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279.43442619866738</v>
      </c>
      <c r="FK116" s="59">
        <f t="shared" si="102"/>
        <v>355.95192241448217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73.737903226990298</v>
      </c>
      <c r="FR116" s="21">
        <f>EXP(-LN(2)/25)*FR115+(1-EXP(-LN(2)/25))/(LN(2)/25)*Calculateur!FM116*Calculateur!FO116*VLOOKUP('Données projet'!$B$16,Paramètres!$A$1:$I$89,3,0)*0.475*44/12</f>
        <v>12.063304416302845</v>
      </c>
      <c r="FS116" s="21">
        <f>EXP(-LN(2)/2)*FS115+(1-EXP(-LN(2)/2))/(LN(2)/2)*FM116*FP116*VLOOKUP('Données projet'!$B$16,Paramètres!$A$1:$I$89,3,0)*0.475*44/12</f>
        <v>4.8302978044508109E-7</v>
      </c>
      <c r="FT116" s="22">
        <f t="shared" si="78"/>
        <v>85.801208126322919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-6.7984728957526396E-14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227.89848316900191</v>
      </c>
      <c r="T117" s="59">
        <f t="shared" si="88"/>
        <v>239.85955661394541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49.184340726708086</v>
      </c>
      <c r="AA117" s="21">
        <f>EXP(-LN(2)/25)*AA116+(1-EXP(-LN(2)/25))/(LN(2)/25)*Calculateur!V117*Calculateur!X117*VLOOKUP('Données projet'!$B$9,Paramètres!$A$1:$I$89,3,0)*0.475*44/12</f>
        <v>7.7286806394876333</v>
      </c>
      <c r="AB117" s="21">
        <f>EXP(-LN(2)/2)*AB116+(1-EXP(-LN(2)/2))/(LN(2)/2)*V117*Y117*VLOOKUP('Données projet'!$B$9,Paramètres!$A$1:$I$89,3,0)*0.475*44/12</f>
        <v>5.4624766600004676E-7</v>
      </c>
      <c r="AC117" s="22">
        <f t="shared" si="57"/>
        <v>56.913021912443391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6.7</v>
      </c>
      <c r="AI117" s="13">
        <f>IF('Données projet'!$A$62&gt;35,AI116+AH117-AQ116,IF(A117&lt;'Données projet'!$A$62,$AF$205^A117,IF(A117='Données projet'!$A$62,'Données projet'!$B$62,AI116+AH117-AQ116)))</f>
        <v>288.9000000000002</v>
      </c>
      <c r="AJ117" s="13">
        <f>AI117*VLOOKUP('Données projet'!$B$10,Paramètres!$A$1:$I$89,3,0)*VLOOKUP('Données projet'!$B$10,Paramètres!$A$1:$I$89,5,0)</f>
        <v>261.39672000000019</v>
      </c>
      <c r="AK117" s="13">
        <f t="shared" si="89"/>
        <v>63.020009319376321</v>
      </c>
      <c r="AL117" s="20">
        <f t="shared" si="58"/>
        <v>565.02580356458077</v>
      </c>
      <c r="AM117" s="59">
        <f t="shared" si="59"/>
        <v>858.35913689791414</v>
      </c>
      <c r="AN117" s="59">
        <f ca="1">AVERAGE(OFFSET($AM$3,0,0,'Données projet'!$E$10+1,1))-AVERAGE(OFFSET($H$3,0,0,'Données projet'!$E$10+1,1))</f>
        <v>215.7418266360167</v>
      </c>
      <c r="AO117" s="59">
        <f t="shared" si="90"/>
        <v>155.78420008229949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55.86674267769763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55.86674267769763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>
        <f>VLOOKUP(A117,'Données projet'!$A$87:$I$107,2,0)</f>
        <v>225</v>
      </c>
      <c r="BB117" s="12">
        <f>VLOOKUP(A117,'Données projet'!$A$87:$I$107,9,0)</f>
        <v>4.583333333333333</v>
      </c>
      <c r="BC117" s="12">
        <f t="array" ref="BC117">INDEX(BB:BB,MIN(IF(ISNUMBER(BB117:BB313),ROW(BB117:BB313),"")))</f>
        <v>4.583333333333333</v>
      </c>
      <c r="BD117" s="12">
        <f>IF('Données projet'!$A$88&gt;35,BD116+BC117-BL116,IF(A117&lt;'Données projet'!$A$88,$BA$205^A117,IF(A117='Données projet'!$A$88,'Données projet'!$B$88,BD116+BC117-BL116)))</f>
        <v>225.00000000000003</v>
      </c>
      <c r="BE117" s="13">
        <f>BD117*VLOOKUP('Données projet'!$B$11,Paramètres!$A$1:$I$89,3,0)*VLOOKUP('Données projet'!$B$11,Paramètres!$A$1:$I$89,5,0)</f>
        <v>228.15000000000006</v>
      </c>
      <c r="BF117" s="13">
        <f t="shared" si="91"/>
        <v>55.882480456847702</v>
      </c>
      <c r="BG117" s="20">
        <f t="shared" si="61"/>
        <v>494.68990346234324</v>
      </c>
      <c r="BH117" s="59">
        <f t="shared" si="62"/>
        <v>788.02323679567655</v>
      </c>
      <c r="BI117" s="59">
        <f ca="1">AVERAGE(OFFSET($BH$3,0,0,'Données projet'!$E$11+1,1))-AVERAGE(OFFSET($H$3,0,0,'Données projet'!$E$11+1,1))</f>
        <v>179.53921263314447</v>
      </c>
      <c r="BJ117" s="59">
        <f t="shared" si="92"/>
        <v>120.81513023281337</v>
      </c>
      <c r="BK117" s="15">
        <f>IF(ISNA(VLOOKUP(A117,'Données projet'!$A$87:$I$107,3,0)),0,VLOOKUP(A117,'Données projet'!$A$87:$I$107,3,0))</f>
        <v>9</v>
      </c>
      <c r="BL117" s="15">
        <f>IF(ISNA(VLOOKUP(A117,'Données projet'!$A$87:$I$107,4,0)),0,VLOOKUP(A117,'Données projet'!$A$87:$I$107,4,0))</f>
        <v>37</v>
      </c>
      <c r="BM117" s="16">
        <f>IF(ISNA(VLOOKUP(A117,'Données projet'!$A$87:$I$107,5,0)),0%,VLOOKUP(A117,'Données projet'!$A$87:$I$107,5,0)*VLOOKUP('Données projet'!$B$11,Paramètres!$A$1:$I$89,7,0))</f>
        <v>0.38700000000000001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51.64757948538508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51.64757948538508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500.00000000000045</v>
      </c>
      <c r="BZ117" s="13">
        <f>BY117*VLOOKUP('Données projet'!$B$12,Paramètres!$A$1:$I$89,3,0)*VLOOKUP('Données projet'!$B$12,Paramètres!$A$1:$I$89,5,0)</f>
        <v>234.00000000000023</v>
      </c>
      <c r="CA117" s="13">
        <f t="shared" si="93"/>
        <v>57.146705242557189</v>
      </c>
      <c r="CB117" s="20">
        <f t="shared" si="64"/>
        <v>507.08051163078744</v>
      </c>
      <c r="CC117" s="59">
        <f t="shared" si="65"/>
        <v>800.4138449641207</v>
      </c>
      <c r="CD117" s="59">
        <f ca="1">AVERAGE(OFFSET($CC$3,0,0,'Données projet'!$E$12+1,1))-AVERAGE(OFFSET($H$3,0,0,'Données projet'!$E$12+1,1))</f>
        <v>310.06530483941287</v>
      </c>
      <c r="CE117" s="59">
        <f t="shared" si="94"/>
        <v>170.13425794309376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86.067373673141631</v>
      </c>
      <c r="CL117" s="21">
        <f>EXP(-LN(2)/25)*CL116+(1-EXP(-LN(2)/25))/(LN(2)/25)*Calculateur!CG117*Calculateur!CI117*VLOOKUP('Données projet'!$B$12,Paramètres!$A$1:$I$89,3,0)*0.475*44/12</f>
        <v>16.319345673174052</v>
      </c>
      <c r="CM117" s="21">
        <f>EXP(-LN(2)/2)*CM116+(1-EXP(-LN(2)/2))/(LN(2)/2)*CG117*CJ117*VLOOKUP('Données projet'!$B$12,Paramètres!$A$1:$I$89,3,0)*0.475*44/12</f>
        <v>5.7463238400222952E-2</v>
      </c>
      <c r="CN117" s="22">
        <f t="shared" si="66"/>
        <v>102.4441825847159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168.08890945052406</v>
      </c>
      <c r="CZ117" s="59">
        <f t="shared" si="96"/>
        <v>182.52462557642343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38.918568943450509</v>
      </c>
      <c r="DG117" s="21">
        <f>EXP(-LN(2)/25)*DG116+(1-EXP(-LN(2)/25))/(LN(2)/25)*Calculateur!DB117*Calculateur!DD117*VLOOKUP('Données projet'!$B$13,Paramètres!$A$1:$I$89,3,0)*0.475*44/12</f>
        <v>6.3884199643040853</v>
      </c>
      <c r="DH117" s="21">
        <f>EXP(-LN(2)/2)*DH116+(1-EXP(-LN(2)/2))/(LN(2)/2)*DB117*DE117*VLOOKUP('Données projet'!$B$13,Paramètres!$A$1:$I$89,3,0)*0.475*44/12</f>
        <v>4.223543411906661E-7</v>
      </c>
      <c r="DI117" s="22">
        <f t="shared" si="69"/>
        <v>45.306989330108934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-2.2737367544323206E-13</v>
      </c>
      <c r="DP117" s="17">
        <f>DO117*VLOOKUP('Données projet'!$B$14,Paramètres!$A$1:$I$89,3,0)*VLOOKUP('Données projet'!$B$14,Paramètres!$A$1:$I$89,5,0)</f>
        <v>-1.2710188457276673E-13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355.23615781077405</v>
      </c>
      <c r="DU117" s="59">
        <f t="shared" si="98"/>
        <v>448.84541017639367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88.815821730763702</v>
      </c>
      <c r="EB117" s="21">
        <f>EXP(-LN(2)/25)*EB116+(1-EXP(-LN(2)/25))/(LN(2)/25)*Calculateur!DW117*Calculateur!DY117*VLOOKUP('Données projet'!$B$14,Paramètres!$A$1:$I$89,3,0)*0.475*44/12</f>
        <v>14.415360202121985</v>
      </c>
      <c r="EC117" s="21">
        <f>EXP(-LN(2)/2)*EC116+(1-EXP(-LN(2)/2))/(LN(2)/2)*DW117*DZ117*VLOOKUP('Données projet'!$B$14,Paramètres!$A$1:$I$89,3,0)*0.475*44/12</f>
        <v>4.1962303515754113E-7</v>
      </c>
      <c r="ED117" s="22">
        <f t="shared" si="72"/>
        <v>103.23118235250872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>
        <f>VLOOKUP(A117,'Données projet'!$A$191:$I$211,2,0)</f>
        <v>180</v>
      </c>
      <c r="EH117" s="12">
        <f>VLOOKUP(A117,'Données projet'!$A$191:$I$211,9,0)</f>
        <v>3.6666666666666665</v>
      </c>
      <c r="EI117" s="12">
        <f t="array" ref="EI117">INDEX(EH:EH,MIN(IF(ISNUMBER(EH117:EH313),ROW(EH117:EH313),"")))</f>
        <v>3.6666666666666665</v>
      </c>
      <c r="EJ117" s="12">
        <f>IF('Données projet'!$A$192&gt;35,EJ116+EI117-ER116,IF(A117&lt;'Données projet'!$A$192,$EG$205^A117,IF(A117='Données projet'!$A$192,'Données projet'!$B$192,EJ116+EI117-ER116)))</f>
        <v>179.99999999999991</v>
      </c>
      <c r="EK117" s="17">
        <f>EJ117*VLOOKUP('Données projet'!$B$15,Paramètres!$A$1:$I$89,3,0)*VLOOKUP('Données projet'!$B$15,Paramètres!$A$1:$I$89,5,0)</f>
        <v>193.7519999999999</v>
      </c>
      <c r="EL117" s="13">
        <f t="shared" si="99"/>
        <v>48.36852035537607</v>
      </c>
      <c r="EM117" s="20">
        <f t="shared" si="73"/>
        <v>421.69323961894639</v>
      </c>
      <c r="EN117" s="59">
        <f t="shared" si="74"/>
        <v>715.02657295227971</v>
      </c>
      <c r="EO117" s="59">
        <f ca="1">AVERAGE(OFFSET($EN$3,0,0,'Données projet'!$E$15+1,1))-AVERAGE(OFFSET($H$3,0,0,'Données projet'!$E$15+1,1))</f>
        <v>130.76477588601989</v>
      </c>
      <c r="EP117" s="59">
        <f t="shared" si="100"/>
        <v>94.034011511502172</v>
      </c>
      <c r="EQ117" s="15">
        <f>IF(ISNA(VLOOKUP(A117,'Données projet'!$A$191:$I$211,3,0)),0,VLOOKUP(A117,'Données projet'!$A$191:$I$211,3,0))</f>
        <v>9</v>
      </c>
      <c r="ER117" s="15">
        <f>IF(ISNA(VLOOKUP(A117,'Données projet'!$A$191:$I$211,4,0)),0,VLOOKUP(A117,'Données projet'!$A$191:$I$211,4,0))</f>
        <v>29.6</v>
      </c>
      <c r="ES117" s="16">
        <f>IF(ISNA(VLOOKUP(A117,'Données projet'!$A$191:$I$211,5,0)),0%,VLOOKUP(A117,'Données projet'!$A$191:$I$211,5,0)*VLOOKUP('Données projet'!$B$15,Paramètres!$A$1:$I$89,7,0))</f>
        <v>0.38700000000000001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43.86071365528084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43.86071365528084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-2.2737367544323206E-13</v>
      </c>
      <c r="FF117" s="17">
        <f>FE117*VLOOKUP('Données projet'!$B$16,Paramètres!$A$1:$I$89,3,0)*VLOOKUP('Données projet'!$B$16,Paramètres!$A$1:$I$89,5,0)</f>
        <v>-1.0345502232667058E-13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279.43442619866738</v>
      </c>
      <c r="FK117" s="59">
        <f t="shared" si="102"/>
        <v>355.95192241448217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72.291947920389006</v>
      </c>
      <c r="FR117" s="21">
        <f>EXP(-LN(2)/25)*FR116+(1-EXP(-LN(2)/25))/(LN(2)/25)*Calculateur!FM117*Calculateur!FO117*VLOOKUP('Données projet'!$B$16,Paramètres!$A$1:$I$89,3,0)*0.475*44/12</f>
        <v>11.733432722657435</v>
      </c>
      <c r="FS117" s="21">
        <f>EXP(-LN(2)/2)*FS116+(1-EXP(-LN(2)/2))/(LN(2)/2)*FM117*FP117*VLOOKUP('Données projet'!$B$16,Paramètres!$A$1:$I$89,3,0)*0.475*44/12</f>
        <v>3.4155363326776605E-7</v>
      </c>
      <c r="FT117" s="22">
        <f t="shared" si="78"/>
        <v>84.025380984600076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-6.7984728957526396E-14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227.89848316900191</v>
      </c>
      <c r="T118" s="59">
        <f t="shared" si="88"/>
        <v>239.85955661394541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48.219865804542984</v>
      </c>
      <c r="AA118" s="21">
        <f>EXP(-LN(2)/25)*AA117+(1-EXP(-LN(2)/25))/(LN(2)/25)*Calculateur!V118*Calculateur!X118*VLOOKUP('Données projet'!$B$9,Paramètres!$A$1:$I$89,3,0)*0.475*44/12</f>
        <v>7.5173394609671931</v>
      </c>
      <c r="AB118" s="21">
        <f>EXP(-LN(2)/2)*AB117+(1-EXP(-LN(2)/2))/(LN(2)/2)*V118*Y118*VLOOKUP('Données projet'!$B$9,Paramètres!$A$1:$I$89,3,0)*0.475*44/12</f>
        <v>3.8625542883595736E-7</v>
      </c>
      <c r="AC118" s="22">
        <f t="shared" si="57"/>
        <v>55.737205651765606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6.7</v>
      </c>
      <c r="AI118" s="13">
        <f>IF('Données projet'!$A$62&gt;35,AI117+AH118-AQ117,IF(A118&lt;'Données projet'!$A$62,$AF$205^A118,IF(A118='Données projet'!$A$62,'Données projet'!$B$62,AI117+AH118-AQ117)))</f>
        <v>295.60000000000019</v>
      </c>
      <c r="AJ118" s="13">
        <f>AI118*VLOOKUP('Données projet'!$B$10,Paramètres!$A$1:$I$89,3,0)*VLOOKUP('Données projet'!$B$10,Paramètres!$A$1:$I$89,5,0)</f>
        <v>267.45888000000014</v>
      </c>
      <c r="AK118" s="13">
        <f t="shared" si="89"/>
        <v>64.30968305315244</v>
      </c>
      <c r="AL118" s="20">
        <f t="shared" si="58"/>
        <v>577.83024731757405</v>
      </c>
      <c r="AM118" s="59">
        <f t="shared" si="59"/>
        <v>871.16358065090731</v>
      </c>
      <c r="AN118" s="59">
        <f ca="1">AVERAGE(OFFSET($AM$3,0,0,'Données projet'!$E$10+1,1))-AVERAGE(OFFSET($H$3,0,0,'Données projet'!$E$10+1,1))</f>
        <v>215.7418266360167</v>
      </c>
      <c r="AO118" s="59">
        <f t="shared" si="90"/>
        <v>155.78420008229949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54.771229929136354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54.771229929136354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4.583333333333333</v>
      </c>
      <c r="BD118" s="12">
        <f>IF('Données projet'!$A$88&gt;35,BD117+BC118-BL117,IF(A118&lt;'Données projet'!$A$88,$BA$205^A118,IF(A118='Données projet'!$A$88,'Données projet'!$B$88,BD117+BC118-BL117)))</f>
        <v>192.58333333333337</v>
      </c>
      <c r="BE118" s="13">
        <f>BD118*VLOOKUP('Données projet'!$B$11,Paramètres!$A$1:$I$89,3,0)*VLOOKUP('Données projet'!$B$11,Paramètres!$A$1:$I$89,5,0)</f>
        <v>195.27950000000007</v>
      </c>
      <c r="BF118" s="13">
        <f t="shared" si="91"/>
        <v>48.705306953035773</v>
      </c>
      <c r="BG118" s="20">
        <f t="shared" si="61"/>
        <v>424.94020544320409</v>
      </c>
      <c r="BH118" s="59">
        <f t="shared" si="62"/>
        <v>718.27353877653741</v>
      </c>
      <c r="BI118" s="59">
        <f ca="1">AVERAGE(OFFSET($BH$3,0,0,'Données projet'!$E$11+1,1))-AVERAGE(OFFSET($H$3,0,0,'Données projet'!$E$11+1,1))</f>
        <v>179.53921263314447</v>
      </c>
      <c r="BJ118" s="59">
        <f t="shared" si="92"/>
        <v>120.81513023281337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50.634801953589609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50.634801953589609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500.00000000000045</v>
      </c>
      <c r="BZ118" s="13">
        <f>BY118*VLOOKUP('Données projet'!$B$12,Paramètres!$A$1:$I$89,3,0)*VLOOKUP('Données projet'!$B$12,Paramètres!$A$1:$I$89,5,0)</f>
        <v>234.00000000000023</v>
      </c>
      <c r="CA118" s="13">
        <f t="shared" si="93"/>
        <v>57.146705242557189</v>
      </c>
      <c r="CB118" s="20">
        <f t="shared" si="64"/>
        <v>507.08051163078744</v>
      </c>
      <c r="CC118" s="59">
        <f t="shared" si="65"/>
        <v>800.4138449641207</v>
      </c>
      <c r="CD118" s="59">
        <f ca="1">AVERAGE(OFFSET($CC$3,0,0,'Données projet'!$E$12+1,1))-AVERAGE(OFFSET($H$3,0,0,'Données projet'!$E$12+1,1))</f>
        <v>310.06530483941287</v>
      </c>
      <c r="CE118" s="59">
        <f t="shared" si="94"/>
        <v>170.13425794309376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84.379644971325718</v>
      </c>
      <c r="CL118" s="21">
        <f>EXP(-LN(2)/25)*CL117+(1-EXP(-LN(2)/25))/(LN(2)/25)*Calculateur!CG118*Calculateur!CI118*VLOOKUP('Données projet'!$B$12,Paramètres!$A$1:$I$89,3,0)*0.475*44/12</f>
        <v>15.873092307544017</v>
      </c>
      <c r="CM118" s="21">
        <f>EXP(-LN(2)/2)*CM117+(1-EXP(-LN(2)/2))/(LN(2)/2)*CG118*CJ118*VLOOKUP('Données projet'!$B$12,Paramètres!$A$1:$I$89,3,0)*0.475*44/12</f>
        <v>4.0632645541736866E-2</v>
      </c>
      <c r="CN118" s="22">
        <f t="shared" si="66"/>
        <v>100.29336992441146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168.08890945052406</v>
      </c>
      <c r="CZ118" s="59">
        <f t="shared" si="96"/>
        <v>182.52462557642343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38.155399544452571</v>
      </c>
      <c r="DG118" s="21">
        <f>EXP(-LN(2)/25)*DG117+(1-EXP(-LN(2)/25))/(LN(2)/25)*Calculateur!DB118*Calculateur!DD118*VLOOKUP('Données projet'!$B$13,Paramètres!$A$1:$I$89,3,0)*0.475*44/12</f>
        <v>6.213728284427785</v>
      </c>
      <c r="DH118" s="21">
        <f>EXP(-LN(2)/2)*DH117+(1-EXP(-LN(2)/2))/(LN(2)/2)*DB118*DE118*VLOOKUP('Données projet'!$B$13,Paramètres!$A$1:$I$89,3,0)*0.475*44/12</f>
        <v>2.9864961871949677E-7</v>
      </c>
      <c r="DI118" s="22">
        <f t="shared" si="69"/>
        <v>44.369128127529976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-2.2737367544323206E-13</v>
      </c>
      <c r="DP118" s="17">
        <f>DO118*VLOOKUP('Données projet'!$B$14,Paramètres!$A$1:$I$89,3,0)*VLOOKUP('Données projet'!$B$14,Paramètres!$A$1:$I$89,5,0)</f>
        <v>-1.2710188457276673E-13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355.23615781077405</v>
      </c>
      <c r="DU118" s="59">
        <f t="shared" si="98"/>
        <v>448.84541017639367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87.074197638925611</v>
      </c>
      <c r="EB118" s="21">
        <f>EXP(-LN(2)/25)*EB117+(1-EXP(-LN(2)/25))/(LN(2)/25)*Calculateur!DW118*Calculateur!DY118*VLOOKUP('Données projet'!$B$14,Paramètres!$A$1:$I$89,3,0)*0.475*44/12</f>
        <v>14.021171419324112</v>
      </c>
      <c r="EC118" s="21">
        <f>EXP(-LN(2)/2)*EC117+(1-EXP(-LN(2)/2))/(LN(2)/2)*DW118*DZ118*VLOOKUP('Données projet'!$B$14,Paramètres!$A$1:$I$89,3,0)*0.475*44/12</f>
        <v>2.9671829370197837E-7</v>
      </c>
      <c r="ED118" s="22">
        <f t="shared" si="72"/>
        <v>101.09536935496803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3.6666666666666665</v>
      </c>
      <c r="EJ118" s="12">
        <f>IF('Données projet'!$A$192&gt;35,EJ117+EI118-ER117,IF(A118&lt;'Données projet'!$A$192,$EG$205^A118,IF(A118='Données projet'!$A$192,'Données projet'!$B$192,EJ117+EI118-ER117)))</f>
        <v>154.06666666666658</v>
      </c>
      <c r="EK118" s="17">
        <f>EJ118*VLOOKUP('Données projet'!$B$15,Paramètres!$A$1:$I$89,3,0)*VLOOKUP('Données projet'!$B$15,Paramètres!$A$1:$I$89,5,0)</f>
        <v>165.8373599999999</v>
      </c>
      <c r="EL118" s="13">
        <f t="shared" si="99"/>
        <v>42.156389829400922</v>
      </c>
      <c r="EM118" s="20">
        <f t="shared" si="73"/>
        <v>362.25578095287307</v>
      </c>
      <c r="EN118" s="59">
        <f t="shared" si="74"/>
        <v>655.58911428620638</v>
      </c>
      <c r="EO118" s="59">
        <f ca="1">AVERAGE(OFFSET($EN$3,0,0,'Données projet'!$E$15+1,1))-AVERAGE(OFFSET($H$3,0,0,'Données projet'!$E$15+1,1))</f>
        <v>130.76477588601989</v>
      </c>
      <c r="EP118" s="59">
        <f t="shared" si="100"/>
        <v>94.034011511502172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43.000631812894532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43.000631812894532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-2.2737367544323206E-13</v>
      </c>
      <c r="FF118" s="17">
        <f>FE118*VLOOKUP('Données projet'!$B$16,Paramètres!$A$1:$I$89,3,0)*VLOOKUP('Données projet'!$B$16,Paramètres!$A$1:$I$89,5,0)</f>
        <v>-1.0345502232667058E-13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279.43442619866738</v>
      </c>
      <c r="FK118" s="59">
        <f t="shared" si="102"/>
        <v>355.95192241448217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70.874346915404516</v>
      </c>
      <c r="FR118" s="21">
        <f>EXP(-LN(2)/25)*FR117+(1-EXP(-LN(2)/25))/(LN(2)/25)*Calculateur!FM118*Calculateur!FO118*VLOOKUP('Données projet'!$B$16,Paramètres!$A$1:$I$89,3,0)*0.475*44/12</f>
        <v>11.412581387821957</v>
      </c>
      <c r="FS118" s="21">
        <f>EXP(-LN(2)/2)*FS117+(1-EXP(-LN(2)/2))/(LN(2)/2)*FM118*FP118*VLOOKUP('Données projet'!$B$16,Paramètres!$A$1:$I$89,3,0)*0.475*44/12</f>
        <v>2.4151489022254054E-7</v>
      </c>
      <c r="FT118" s="22">
        <f t="shared" si="78"/>
        <v>82.286928544741372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-6.7984728957526396E-14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227.89848316900191</v>
      </c>
      <c r="T119" s="59">
        <f t="shared" si="88"/>
        <v>239.85955661394541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47.274303647329923</v>
      </c>
      <c r="AA119" s="21">
        <f>EXP(-LN(2)/25)*AA118+(1-EXP(-LN(2)/25))/(LN(2)/25)*Calculateur!V119*Calculateur!X119*VLOOKUP('Données projet'!$B$9,Paramètres!$A$1:$I$89,3,0)*0.475*44/12</f>
        <v>7.3117774180873436</v>
      </c>
      <c r="AB119" s="21">
        <f>EXP(-LN(2)/2)*AB118+(1-EXP(-LN(2)/2))/(LN(2)/2)*V119*Y119*VLOOKUP('Données projet'!$B$9,Paramètres!$A$1:$I$89,3,0)*0.475*44/12</f>
        <v>2.7312383300002338E-7</v>
      </c>
      <c r="AC119" s="22">
        <f t="shared" si="57"/>
        <v>54.586081338541099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6.7</v>
      </c>
      <c r="AI119" s="13">
        <f>IF('Données projet'!$A$62&gt;35,AI118+AH119-AQ118,IF(A119&lt;'Données projet'!$A$62,$AF$205^A119,IF(A119='Données projet'!$A$62,'Données projet'!$B$62,AI118+AH119-AQ118)))</f>
        <v>302.30000000000018</v>
      </c>
      <c r="AJ119" s="13">
        <f>AI119*VLOOKUP('Données projet'!$B$10,Paramètres!$A$1:$I$89,3,0)*VLOOKUP('Données projet'!$B$10,Paramètres!$A$1:$I$89,5,0)</f>
        <v>273.52104000000014</v>
      </c>
      <c r="AK119" s="13">
        <f t="shared" si="89"/>
        <v>65.595958424136441</v>
      </c>
      <c r="AL119" s="20">
        <f t="shared" si="58"/>
        <v>590.62877225537125</v>
      </c>
      <c r="AM119" s="59">
        <f t="shared" si="59"/>
        <v>883.96210558870462</v>
      </c>
      <c r="AN119" s="59">
        <f ca="1">AVERAGE(OFFSET($AM$3,0,0,'Données projet'!$E$10+1,1))-AVERAGE(OFFSET($H$3,0,0,'Données projet'!$E$10+1,1))</f>
        <v>215.7418266360167</v>
      </c>
      <c r="AO119" s="59">
        <f t="shared" si="90"/>
        <v>155.78420008229949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53.697199517377562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53.697199517377562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4.583333333333333</v>
      </c>
      <c r="BD119" s="12">
        <f>IF('Données projet'!$A$88&gt;35,BD118+BC119-BL118,IF(A119&lt;'Données projet'!$A$88,$BA$205^A119,IF(A119='Données projet'!$A$88,'Données projet'!$B$88,BD118+BC119-BL118)))</f>
        <v>197.16666666666671</v>
      </c>
      <c r="BE119" s="13">
        <f>BD119*VLOOKUP('Données projet'!$B$11,Paramètres!$A$1:$I$89,3,0)*VLOOKUP('Données projet'!$B$11,Paramètres!$A$1:$I$89,5,0)</f>
        <v>199.92700000000005</v>
      </c>
      <c r="BF119" s="13">
        <f t="shared" si="91"/>
        <v>49.728124194021596</v>
      </c>
      <c r="BG119" s="20">
        <f t="shared" si="61"/>
        <v>434.81600797125435</v>
      </c>
      <c r="BH119" s="59">
        <f t="shared" si="62"/>
        <v>728.14934130458767</v>
      </c>
      <c r="BI119" s="59">
        <f ca="1">AVERAGE(OFFSET($BH$3,0,0,'Données projet'!$E$11+1,1))-AVERAGE(OFFSET($H$3,0,0,'Données projet'!$E$11+1,1))</f>
        <v>179.53921263314447</v>
      </c>
      <c r="BJ119" s="59">
        <f t="shared" si="92"/>
        <v>120.81513023281337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49.641884371459348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49.641884371459348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500.00000000000045</v>
      </c>
      <c r="BZ119" s="13">
        <f>BY119*VLOOKUP('Données projet'!$B$12,Paramètres!$A$1:$I$89,3,0)*VLOOKUP('Données projet'!$B$12,Paramètres!$A$1:$I$89,5,0)</f>
        <v>234.00000000000023</v>
      </c>
      <c r="CA119" s="13">
        <f t="shared" si="93"/>
        <v>57.146705242557189</v>
      </c>
      <c r="CB119" s="20">
        <f t="shared" si="64"/>
        <v>507.08051163078744</v>
      </c>
      <c r="CC119" s="59">
        <f t="shared" si="65"/>
        <v>800.4138449641207</v>
      </c>
      <c r="CD119" s="59">
        <f ca="1">AVERAGE(OFFSET($CC$3,0,0,'Données projet'!$E$12+1,1))-AVERAGE(OFFSET($H$3,0,0,'Données projet'!$E$12+1,1))</f>
        <v>310.06530483941287</v>
      </c>
      <c r="CE119" s="59">
        <f t="shared" si="94"/>
        <v>170.13425794309376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82.725011599939563</v>
      </c>
      <c r="CL119" s="21">
        <f>EXP(-LN(2)/25)*CL118+(1-EXP(-LN(2)/25))/(LN(2)/25)*Calculateur!CG119*Calculateur!CI119*VLOOKUP('Données projet'!$B$12,Paramètres!$A$1:$I$89,3,0)*0.475*44/12</f>
        <v>15.43904176366458</v>
      </c>
      <c r="CM119" s="21">
        <f>EXP(-LN(2)/2)*CM118+(1-EXP(-LN(2)/2))/(LN(2)/2)*CG119*CJ119*VLOOKUP('Données projet'!$B$12,Paramètres!$A$1:$I$89,3,0)*0.475*44/12</f>
        <v>2.8731619200111476E-2</v>
      </c>
      <c r="CN119" s="22">
        <f t="shared" si="66"/>
        <v>98.192784982804255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168.08890945052406</v>
      </c>
      <c r="CZ119" s="59">
        <f t="shared" si="96"/>
        <v>182.52462557642343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37.407195431881611</v>
      </c>
      <c r="DG119" s="21">
        <f>EXP(-LN(2)/25)*DG118+(1-EXP(-LN(2)/25))/(LN(2)/25)*Calculateur!DB119*Calculateur!DD119*VLOOKUP('Données projet'!$B$13,Paramètres!$A$1:$I$89,3,0)*0.475*44/12</f>
        <v>6.0438135577243388</v>
      </c>
      <c r="DH119" s="21">
        <f>EXP(-LN(2)/2)*DH118+(1-EXP(-LN(2)/2))/(LN(2)/2)*DB119*DE119*VLOOKUP('Données projet'!$B$13,Paramètres!$A$1:$I$89,3,0)*0.475*44/12</f>
        <v>2.1117717059533305E-7</v>
      </c>
      <c r="DI119" s="22">
        <f t="shared" si="69"/>
        <v>43.451009200783126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-2.2737367544323206E-13</v>
      </c>
      <c r="DP119" s="17">
        <f>DO119*VLOOKUP('Données projet'!$B$14,Paramètres!$A$1:$I$89,3,0)*VLOOKUP('Données projet'!$B$14,Paramètres!$A$1:$I$89,5,0)</f>
        <v>-1.2710188457276673E-13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355.23615781077405</v>
      </c>
      <c r="DU119" s="59">
        <f t="shared" si="98"/>
        <v>448.84541017639367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85.36672573324266</v>
      </c>
      <c r="EB119" s="21">
        <f>EXP(-LN(2)/25)*EB118+(1-EXP(-LN(2)/25))/(LN(2)/25)*Calculateur!DW119*Calculateur!DY119*VLOOKUP('Données projet'!$B$14,Paramètres!$A$1:$I$89,3,0)*0.475*44/12</f>
        <v>13.637761749521335</v>
      </c>
      <c r="EC119" s="21">
        <f>EXP(-LN(2)/2)*EC118+(1-EXP(-LN(2)/2))/(LN(2)/2)*DW119*DZ119*VLOOKUP('Données projet'!$B$14,Paramètres!$A$1:$I$89,3,0)*0.475*44/12</f>
        <v>2.0981151757877057E-7</v>
      </c>
      <c r="ED119" s="22">
        <f t="shared" si="72"/>
        <v>99.004487692575509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3.6666666666666665</v>
      </c>
      <c r="EJ119" s="12">
        <f>IF('Données projet'!$A$192&gt;35,EJ118+EI119-ER118,IF(A119&lt;'Données projet'!$A$192,$EG$205^A119,IF(A119='Données projet'!$A$192,'Données projet'!$B$192,EJ118+EI119-ER118)))</f>
        <v>157.73333333333323</v>
      </c>
      <c r="EK119" s="17">
        <f>EJ119*VLOOKUP('Données projet'!$B$15,Paramètres!$A$1:$I$89,3,0)*VLOOKUP('Données projet'!$B$15,Paramètres!$A$1:$I$89,5,0)</f>
        <v>169.7841599999999</v>
      </c>
      <c r="EL119" s="13">
        <f t="shared" si="99"/>
        <v>43.041679031598321</v>
      </c>
      <c r="EM119" s="20">
        <f t="shared" si="73"/>
        <v>370.6716696467002</v>
      </c>
      <c r="EN119" s="59">
        <f t="shared" si="74"/>
        <v>664.00500298003351</v>
      </c>
      <c r="EO119" s="59">
        <f ca="1">AVERAGE(OFFSET($EN$3,0,0,'Données projet'!$E$15+1,1))-AVERAGE(OFFSET($H$3,0,0,'Données projet'!$E$15+1,1))</f>
        <v>130.76477588601989</v>
      </c>
      <c r="EP119" s="59">
        <f t="shared" si="100"/>
        <v>94.034011511502172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42.157415650839297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42.157415650839297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-2.2737367544323206E-13</v>
      </c>
      <c r="FF119" s="17">
        <f>FE119*VLOOKUP('Données projet'!$B$16,Paramètres!$A$1:$I$89,3,0)*VLOOKUP('Données projet'!$B$16,Paramètres!$A$1:$I$89,5,0)</f>
        <v>-1.0345502232667058E-13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279.43442619866738</v>
      </c>
      <c r="FK119" s="59">
        <f t="shared" si="102"/>
        <v>355.95192241448217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69.484544201476538</v>
      </c>
      <c r="FR119" s="21">
        <f>EXP(-LN(2)/25)*FR118+(1-EXP(-LN(2)/25))/(LN(2)/25)*Calculateur!FM119*Calculateur!FO119*VLOOKUP('Données projet'!$B$16,Paramètres!$A$1:$I$89,3,0)*0.475*44/12</f>
        <v>11.100503749610395</v>
      </c>
      <c r="FS119" s="21">
        <f>EXP(-LN(2)/2)*FS118+(1-EXP(-LN(2)/2))/(LN(2)/2)*FM119*FP119*VLOOKUP('Données projet'!$B$16,Paramètres!$A$1:$I$89,3,0)*0.475*44/12</f>
        <v>1.7077681663388302E-7</v>
      </c>
      <c r="FT119" s="22">
        <f t="shared" si="78"/>
        <v>80.58504812186375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-6.7984728957526396E-14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227.89848316900191</v>
      </c>
      <c r="T120" s="59">
        <f t="shared" si="88"/>
        <v>239.85955661394541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46.347283387283838</v>
      </c>
      <c r="AA120" s="21">
        <f>EXP(-LN(2)/25)*AA119+(1-EXP(-LN(2)/25))/(LN(2)/25)*Calculateur!V120*Calculateur!X120*VLOOKUP('Données projet'!$B$9,Paramètres!$A$1:$I$89,3,0)*0.475*44/12</f>
        <v>7.1118364800800817</v>
      </c>
      <c r="AB120" s="21">
        <f>EXP(-LN(2)/2)*AB119+(1-EXP(-LN(2)/2))/(LN(2)/2)*V120*Y120*VLOOKUP('Données projet'!$B$9,Paramètres!$A$1:$I$89,3,0)*0.475*44/12</f>
        <v>1.9312771441797868E-7</v>
      </c>
      <c r="AC120" s="22">
        <f t="shared" si="57"/>
        <v>53.459120060491628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>
        <f>VLOOKUP(A120,'Données projet'!$A$61:$I$81,2,0)</f>
        <v>309</v>
      </c>
      <c r="AG120" s="12">
        <f>VLOOKUP(A120,'Données projet'!$A$61:$I$81,9,0)</f>
        <v>6.7</v>
      </c>
      <c r="AH120" s="12">
        <f t="array" ref="AH120">INDEX(AG:AG,MIN(IF(ISNUMBER(AG120:AG316),ROW(AG120:AG316),"")))</f>
        <v>6.7</v>
      </c>
      <c r="AI120" s="13">
        <f>IF('Données projet'!$A$62&gt;35,AI119+AH120-AQ119,IF(A120&lt;'Données projet'!$A$62,$AF$205^A120,IF(A120='Données projet'!$A$62,'Données projet'!$B$62,AI119+AH120-AQ119)))</f>
        <v>309.00000000000017</v>
      </c>
      <c r="AJ120" s="13">
        <f>AI120*VLOOKUP('Données projet'!$B$10,Paramètres!$A$1:$I$89,3,0)*VLOOKUP('Données projet'!$B$10,Paramètres!$A$1:$I$89,5,0)</f>
        <v>279.58320000000015</v>
      </c>
      <c r="AK120" s="13">
        <f t="shared" si="89"/>
        <v>66.878919424339628</v>
      </c>
      <c r="AL120" s="20">
        <f t="shared" si="58"/>
        <v>603.42152466405844</v>
      </c>
      <c r="AM120" s="59">
        <f t="shared" si="59"/>
        <v>896.75485799739181</v>
      </c>
      <c r="AN120" s="59">
        <f ca="1">AVERAGE(OFFSET($AM$3,0,0,'Données projet'!$E$10+1,1))-AVERAGE(OFFSET($H$3,0,0,'Données projet'!$E$10+1,1))</f>
        <v>215.7418266360167</v>
      </c>
      <c r="AO120" s="59">
        <f t="shared" si="90"/>
        <v>155.78420008229949</v>
      </c>
      <c r="AP120" s="15">
        <f>IF(ISNA(VLOOKUP(A120,'Données projet'!$A$61:$I$81,3,0)),0,VLOOKUP(A120,'Données projet'!$A$61:$I$81,3,0))</f>
        <v>11</v>
      </c>
      <c r="AQ120" s="15">
        <f>IF(ISNA(VLOOKUP(A120,'Données projet'!$A$61:$I$81,4,0)),0,VLOOKUP(A120,'Données projet'!$A$61:$I$81,4,0))</f>
        <v>45</v>
      </c>
      <c r="AR120" s="16">
        <f>IF(ISNA(VLOOKUP(A120,'Données projet'!$A$61:$I$81,5,0)),0%,VLOOKUP(A120,'Données projet'!$A$61:$I$81,5,0)*VLOOKUP('Données projet'!$B$10,Paramètres!$A$1:$I$89,7,0))</f>
        <v>0.38700000000000001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70.063228660475104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70.063228660475104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4.583333333333333</v>
      </c>
      <c r="BD120" s="12">
        <f>IF('Données projet'!$A$88&gt;35,BD119+BC120-BL119,IF(A120&lt;'Données projet'!$A$88,$BA$205^A120,IF(A120='Données projet'!$A$88,'Données projet'!$B$88,BD119+BC120-BL119)))</f>
        <v>201.75000000000006</v>
      </c>
      <c r="BE120" s="13">
        <f>BD120*VLOOKUP('Données projet'!$B$11,Paramètres!$A$1:$I$89,3,0)*VLOOKUP('Données projet'!$B$11,Paramètres!$A$1:$I$89,5,0)</f>
        <v>204.57450000000009</v>
      </c>
      <c r="BF120" s="13">
        <f t="shared" si="91"/>
        <v>50.748177340553916</v>
      </c>
      <c r="BG120" s="20">
        <f t="shared" si="61"/>
        <v>444.68699636813153</v>
      </c>
      <c r="BH120" s="59">
        <f t="shared" si="62"/>
        <v>738.02032970146479</v>
      </c>
      <c r="BI120" s="59">
        <f ca="1">AVERAGE(OFFSET($BH$3,0,0,'Données projet'!$E$11+1,1))-AVERAGE(OFFSET($H$3,0,0,'Données projet'!$E$11+1,1))</f>
        <v>179.53921263314447</v>
      </c>
      <c r="BJ120" s="59">
        <f t="shared" si="92"/>
        <v>120.81513023281337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48.668437297494734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48.668437297494734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500.00000000000045</v>
      </c>
      <c r="BZ120" s="13">
        <f>BY120*VLOOKUP('Données projet'!$B$12,Paramètres!$A$1:$I$89,3,0)*VLOOKUP('Données projet'!$B$12,Paramètres!$A$1:$I$89,5,0)</f>
        <v>234.00000000000023</v>
      </c>
      <c r="CA120" s="13">
        <f t="shared" si="93"/>
        <v>57.146705242557189</v>
      </c>
      <c r="CB120" s="20">
        <f t="shared" si="64"/>
        <v>507.08051163078744</v>
      </c>
      <c r="CC120" s="59">
        <f t="shared" si="65"/>
        <v>800.4138449641207</v>
      </c>
      <c r="CD120" s="59">
        <f ca="1">AVERAGE(OFFSET($CC$3,0,0,'Données projet'!$E$12+1,1))-AVERAGE(OFFSET($H$3,0,0,'Données projet'!$E$12+1,1))</f>
        <v>310.06530483941287</v>
      </c>
      <c r="CE120" s="59">
        <f t="shared" si="94"/>
        <v>170.13425794309376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81.102824579739575</v>
      </c>
      <c r="CL120" s="21">
        <f>EXP(-LN(2)/25)*CL119+(1-EXP(-LN(2)/25))/(LN(2)/25)*Calculateur!CG120*Calculateur!CI120*VLOOKUP('Données projet'!$B$12,Paramètres!$A$1:$I$89,3,0)*0.475*44/12</f>
        <v>15.016860354733252</v>
      </c>
      <c r="CM120" s="21">
        <f>EXP(-LN(2)/2)*CM119+(1-EXP(-LN(2)/2))/(LN(2)/2)*CG120*CJ120*VLOOKUP('Données projet'!$B$12,Paramètres!$A$1:$I$89,3,0)*0.475*44/12</f>
        <v>2.0316322770868433E-2</v>
      </c>
      <c r="CN120" s="22">
        <f t="shared" si="66"/>
        <v>96.140001257243696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168.08890945052406</v>
      </c>
      <c r="CZ120" s="59">
        <f t="shared" si="96"/>
        <v>182.52462557642343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36.673663145598717</v>
      </c>
      <c r="DG120" s="21">
        <f>EXP(-LN(2)/25)*DG119+(1-EXP(-LN(2)/25))/(LN(2)/25)*Calculateur!DB120*Calculateur!DD120*VLOOKUP('Données projet'!$B$13,Paramètres!$A$1:$I$89,3,0)*0.475*44/12</f>
        <v>5.8785451581580253</v>
      </c>
      <c r="DH120" s="21">
        <f>EXP(-LN(2)/2)*DH119+(1-EXP(-LN(2)/2))/(LN(2)/2)*DB120*DE120*VLOOKUP('Données projet'!$B$13,Paramètres!$A$1:$I$89,3,0)*0.475*44/12</f>
        <v>1.4932480935974838E-7</v>
      </c>
      <c r="DI120" s="22">
        <f t="shared" si="69"/>
        <v>42.552208453081555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-2.2737367544323206E-13</v>
      </c>
      <c r="DP120" s="17">
        <f>DO120*VLOOKUP('Données projet'!$B$14,Paramètres!$A$1:$I$89,3,0)*VLOOKUP('Données projet'!$B$14,Paramètres!$A$1:$I$89,5,0)</f>
        <v>-1.2710188457276673E-13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355.23615781077405</v>
      </c>
      <c r="DU120" s="59">
        <f t="shared" si="98"/>
        <v>448.84541017639367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83.692736310175121</v>
      </c>
      <c r="EB120" s="21">
        <f>EXP(-LN(2)/25)*EB119+(1-EXP(-LN(2)/25))/(LN(2)/25)*Calculateur!DW120*Calculateur!DY120*VLOOKUP('Données projet'!$B$14,Paramètres!$A$1:$I$89,3,0)*0.475*44/12</f>
        <v>13.264836437301954</v>
      </c>
      <c r="EC120" s="21">
        <f>EXP(-LN(2)/2)*EC119+(1-EXP(-LN(2)/2))/(LN(2)/2)*DW120*DZ120*VLOOKUP('Données projet'!$B$14,Paramètres!$A$1:$I$89,3,0)*0.475*44/12</f>
        <v>1.4835914685098919E-7</v>
      </c>
      <c r="ED120" s="22">
        <f t="shared" si="72"/>
        <v>96.957572895836222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3.6666666666666665</v>
      </c>
      <c r="EJ120" s="12">
        <f>IF('Données projet'!$A$192&gt;35,EJ119+EI120-ER119,IF(A120&lt;'Données projet'!$A$192,$EG$205^A120,IF(A120='Données projet'!$A$192,'Données projet'!$B$192,EJ119+EI120-ER119)))</f>
        <v>161.39999999999989</v>
      </c>
      <c r="EK120" s="17">
        <f>EJ120*VLOOKUP('Données projet'!$B$15,Paramètres!$A$1:$I$89,3,0)*VLOOKUP('Données projet'!$B$15,Paramètres!$A$1:$I$89,5,0)</f>
        <v>173.73095999999987</v>
      </c>
      <c r="EL120" s="13">
        <f t="shared" si="99"/>
        <v>43.924575799570412</v>
      </c>
      <c r="EM120" s="20">
        <f t="shared" si="73"/>
        <v>379.08339151758491</v>
      </c>
      <c r="EN120" s="59">
        <f t="shared" si="74"/>
        <v>672.41672485091817</v>
      </c>
      <c r="EO120" s="59">
        <f ca="1">AVERAGE(OFFSET($EN$3,0,0,'Données projet'!$E$15+1,1))-AVERAGE(OFFSET($H$3,0,0,'Données projet'!$E$15+1,1))</f>
        <v>130.76477588601989</v>
      </c>
      <c r="EP120" s="59">
        <f t="shared" si="100"/>
        <v>94.034011511502172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41.33073444341089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41.33073444341089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-2.2737367544323206E-13</v>
      </c>
      <c r="FF120" s="17">
        <f>FE120*VLOOKUP('Données projet'!$B$16,Paramètres!$A$1:$I$89,3,0)*VLOOKUP('Données projet'!$B$16,Paramètres!$A$1:$I$89,5,0)</f>
        <v>-1.0345502232667058E-13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279.43442619866738</v>
      </c>
      <c r="FK120" s="59">
        <f t="shared" si="102"/>
        <v>355.95192241448217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68.121994671072727</v>
      </c>
      <c r="FR120" s="21">
        <f>EXP(-LN(2)/25)*FR119+(1-EXP(-LN(2)/25))/(LN(2)/25)*Calculateur!FM120*Calculateur!FO120*VLOOKUP('Données projet'!$B$16,Paramètres!$A$1:$I$89,3,0)*0.475*44/12</f>
        <v>10.796959890827177</v>
      </c>
      <c r="FS120" s="21">
        <f>EXP(-LN(2)/2)*FS119+(1-EXP(-LN(2)/2))/(LN(2)/2)*FM120*FP120*VLOOKUP('Données projet'!$B$16,Paramètres!$A$1:$I$89,3,0)*0.475*44/12</f>
        <v>1.2075744511127027E-7</v>
      </c>
      <c r="FT120" s="22">
        <f t="shared" si="78"/>
        <v>78.918954682657358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-6.7984728957526396E-14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227.89848316900191</v>
      </c>
      <c r="T121" s="59">
        <f t="shared" si="88"/>
        <v>239.85955661394541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45.438441429110732</v>
      </c>
      <c r="AA121" s="21">
        <f>EXP(-LN(2)/25)*AA120+(1-EXP(-LN(2)/25))/(LN(2)/25)*Calculateur!V121*Calculateur!X121*VLOOKUP('Données projet'!$B$9,Paramètres!$A$1:$I$89,3,0)*0.475*44/12</f>
        <v>6.9173629375370655</v>
      </c>
      <c r="AB121" s="21">
        <f>EXP(-LN(2)/2)*AB120+(1-EXP(-LN(2)/2))/(LN(2)/2)*V121*Y121*VLOOKUP('Données projet'!$B$9,Paramètres!$A$1:$I$89,3,0)*0.475*44/12</f>
        <v>1.3656191650001169E-7</v>
      </c>
      <c r="AC121" s="22">
        <f t="shared" si="57"/>
        <v>52.355804503209711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6.083333333333333</v>
      </c>
      <c r="AI121" s="13">
        <f>IF('Données projet'!$A$62&gt;35,AI120+AH121-AQ120,IF(A121&lt;'Données projet'!$A$62,$AF$205^A121,IF(A121='Données projet'!$A$62,'Données projet'!$B$62,AI120+AH121-AQ120)))</f>
        <v>270.08333333333348</v>
      </c>
      <c r="AJ121" s="13">
        <f>AI121*VLOOKUP('Données projet'!$B$10,Paramètres!$A$1:$I$89,3,0)*VLOOKUP('Données projet'!$B$10,Paramètres!$A$1:$I$89,5,0)</f>
        <v>244.37140000000011</v>
      </c>
      <c r="AK121" s="13">
        <f t="shared" si="89"/>
        <v>59.379068160174214</v>
      </c>
      <c r="AL121" s="20">
        <f t="shared" si="58"/>
        <v>529.03206537897029</v>
      </c>
      <c r="AM121" s="59">
        <f t="shared" si="59"/>
        <v>822.36539871230366</v>
      </c>
      <c r="AN121" s="59">
        <f ca="1">AVERAGE(OFFSET($AM$3,0,0,'Données projet'!$E$10+1,1))-AVERAGE(OFFSET($H$3,0,0,'Données projet'!$E$10+1,1))</f>
        <v>215.7418266360167</v>
      </c>
      <c r="AO121" s="59">
        <f t="shared" si="90"/>
        <v>155.78420008229949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68.689331480793001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68.689331480793001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4.583333333333333</v>
      </c>
      <c r="BD121" s="12">
        <f>IF('Données projet'!$A$88&gt;35,BD120+BC121-BL120,IF(A121&lt;'Données projet'!$A$88,$BA$205^A121,IF(A121='Données projet'!$A$88,'Données projet'!$B$88,BD120+BC121-BL120)))</f>
        <v>206.3333333333334</v>
      </c>
      <c r="BE121" s="13">
        <f>BD121*VLOOKUP('Données projet'!$B$11,Paramètres!$A$1:$I$89,3,0)*VLOOKUP('Données projet'!$B$11,Paramètres!$A$1:$I$89,5,0)</f>
        <v>209.22200000000007</v>
      </c>
      <c r="BF121" s="13">
        <f t="shared" si="91"/>
        <v>51.765536415842753</v>
      </c>
      <c r="BG121" s="20">
        <f t="shared" si="61"/>
        <v>454.55329259092628</v>
      </c>
      <c r="BH121" s="59">
        <f t="shared" si="62"/>
        <v>747.88662592425953</v>
      </c>
      <c r="BI121" s="59">
        <f ca="1">AVERAGE(OFFSET($BH$3,0,0,'Données projet'!$E$11+1,1))-AVERAGE(OFFSET($H$3,0,0,'Données projet'!$E$11+1,1))</f>
        <v>179.53921263314447</v>
      </c>
      <c r="BJ121" s="59">
        <f t="shared" si="92"/>
        <v>120.81513023281337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47.714078926906481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47.714078926906481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500.00000000000045</v>
      </c>
      <c r="BZ121" s="13">
        <f>BY121*VLOOKUP('Données projet'!$B$12,Paramètres!$A$1:$I$89,3,0)*VLOOKUP('Données projet'!$B$12,Paramètres!$A$1:$I$89,5,0)</f>
        <v>234.00000000000023</v>
      </c>
      <c r="CA121" s="13">
        <f t="shared" si="93"/>
        <v>57.146705242557189</v>
      </c>
      <c r="CB121" s="20">
        <f t="shared" si="64"/>
        <v>507.08051163078744</v>
      </c>
      <c r="CC121" s="59">
        <f t="shared" si="65"/>
        <v>800.4138449641207</v>
      </c>
      <c r="CD121" s="59">
        <f ca="1">AVERAGE(OFFSET($CC$3,0,0,'Données projet'!$E$12+1,1))-AVERAGE(OFFSET($H$3,0,0,'Données projet'!$E$12+1,1))</f>
        <v>310.06530483941287</v>
      </c>
      <c r="CE121" s="59">
        <f t="shared" si="94"/>
        <v>170.13425794309376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79.512447657569339</v>
      </c>
      <c r="CL121" s="21">
        <f>EXP(-LN(2)/25)*CL120+(1-EXP(-LN(2)/25))/(LN(2)/25)*Calculateur!CG121*Calculateur!CI121*VLOOKUP('Données projet'!$B$12,Paramètres!$A$1:$I$89,3,0)*0.475*44/12</f>
        <v>14.606223518630706</v>
      </c>
      <c r="CM121" s="21">
        <f>EXP(-LN(2)/2)*CM120+(1-EXP(-LN(2)/2))/(LN(2)/2)*CG121*CJ121*VLOOKUP('Données projet'!$B$12,Paramètres!$A$1:$I$89,3,0)*0.475*44/12</f>
        <v>1.4365809600055738E-2</v>
      </c>
      <c r="CN121" s="22">
        <f t="shared" si="66"/>
        <v>94.133036985800103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168.08890945052406</v>
      </c>
      <c r="CZ121" s="59">
        <f t="shared" si="96"/>
        <v>182.52462557642343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35.954514980039313</v>
      </c>
      <c r="DG121" s="21">
        <f>EXP(-LN(2)/25)*DG120+(1-EXP(-LN(2)/25))/(LN(2)/25)*Calculateur!DB121*Calculateur!DD121*VLOOKUP('Données projet'!$B$13,Paramètres!$A$1:$I$89,3,0)*0.475*44/12</f>
        <v>5.7177960316689393</v>
      </c>
      <c r="DH121" s="21">
        <f>EXP(-LN(2)/2)*DH120+(1-EXP(-LN(2)/2))/(LN(2)/2)*DB121*DE121*VLOOKUP('Données projet'!$B$13,Paramètres!$A$1:$I$89,3,0)*0.475*44/12</f>
        <v>1.0558858529766653E-7</v>
      </c>
      <c r="DI121" s="22">
        <f t="shared" si="69"/>
        <v>41.672311117296836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-2.2737367544323206E-13</v>
      </c>
      <c r="DP121" s="17">
        <f>DO121*VLOOKUP('Données projet'!$B$14,Paramètres!$A$1:$I$89,3,0)*VLOOKUP('Données projet'!$B$14,Paramètres!$A$1:$I$89,5,0)</f>
        <v>-1.2710188457276673E-13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355.23615781077405</v>
      </c>
      <c r="DU121" s="59">
        <f t="shared" si="98"/>
        <v>448.84541017639367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82.051572798661212</v>
      </c>
      <c r="EB121" s="21">
        <f>EXP(-LN(2)/25)*EB120+(1-EXP(-LN(2)/25))/(LN(2)/25)*Calculateur!DW121*Calculateur!DY121*VLOOKUP('Données projet'!$B$14,Paramètres!$A$1:$I$89,3,0)*0.475*44/12</f>
        <v>12.9021087873565</v>
      </c>
      <c r="EC121" s="21">
        <f>EXP(-LN(2)/2)*EC120+(1-EXP(-LN(2)/2))/(LN(2)/2)*DW121*DZ121*VLOOKUP('Données projet'!$B$14,Paramètres!$A$1:$I$89,3,0)*0.475*44/12</f>
        <v>1.0490575878938528E-7</v>
      </c>
      <c r="ED121" s="22">
        <f t="shared" si="72"/>
        <v>94.953681690923474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3.6666666666666665</v>
      </c>
      <c r="EJ121" s="12">
        <f>IF('Données projet'!$A$192&gt;35,EJ120+EI121-ER120,IF(A121&lt;'Données projet'!$A$192,$EG$205^A121,IF(A121='Données projet'!$A$192,'Données projet'!$B$192,EJ120+EI121-ER120)))</f>
        <v>165.06666666666655</v>
      </c>
      <c r="EK121" s="17">
        <f>EJ121*VLOOKUP('Données projet'!$B$15,Paramètres!$A$1:$I$89,3,0)*VLOOKUP('Données projet'!$B$15,Paramètres!$A$1:$I$89,5,0)</f>
        <v>177.67775999999986</v>
      </c>
      <c r="EL121" s="13">
        <f t="shared" si="99"/>
        <v>44.805140741204184</v>
      </c>
      <c r="EM121" s="20">
        <f t="shared" si="73"/>
        <v>387.49105212426372</v>
      </c>
      <c r="EN121" s="59">
        <f t="shared" si="74"/>
        <v>680.82438545759703</v>
      </c>
      <c r="EO121" s="59">
        <f ca="1">AVERAGE(OFFSET($EN$3,0,0,'Données projet'!$E$15+1,1))-AVERAGE(OFFSET($H$3,0,0,'Données projet'!$E$15+1,1))</f>
        <v>130.76477588601989</v>
      </c>
      <c r="EP121" s="59">
        <f t="shared" si="100"/>
        <v>94.034011511502172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40.520263950234408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40.520263950234408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-2.2737367544323206E-13</v>
      </c>
      <c r="FF121" s="17">
        <f>FE121*VLOOKUP('Données projet'!$B$16,Paramètres!$A$1:$I$89,3,0)*VLOOKUP('Données projet'!$B$16,Paramètres!$A$1:$I$89,5,0)</f>
        <v>-1.0345502232667058E-13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279.43442619866738</v>
      </c>
      <c r="FK121" s="59">
        <f t="shared" si="102"/>
        <v>355.95192241448217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66.786163905886994</v>
      </c>
      <c r="FR121" s="21">
        <f>EXP(-LN(2)/25)*FR120+(1-EXP(-LN(2)/25))/(LN(2)/25)*Calculateur!FM121*Calculateur!FO121*VLOOKUP('Données projet'!$B$16,Paramètres!$A$1:$I$89,3,0)*0.475*44/12</f>
        <v>10.501716454825063</v>
      </c>
      <c r="FS121" s="21">
        <f>EXP(-LN(2)/2)*FS120+(1-EXP(-LN(2)/2))/(LN(2)/2)*FM121*FP121*VLOOKUP('Données projet'!$B$16,Paramètres!$A$1:$I$89,3,0)*0.475*44/12</f>
        <v>8.5388408316941512E-8</v>
      </c>
      <c r="FT121" s="22">
        <f t="shared" si="78"/>
        <v>77.287880446100459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-6.7984728957526396E-14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227.89848316900191</v>
      </c>
      <c r="T122" s="59">
        <f t="shared" si="88"/>
        <v>239.85955661394541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44.547421307398544</v>
      </c>
      <c r="AA122" s="21">
        <f>EXP(-LN(2)/25)*AA121+(1-EXP(-LN(2)/25))/(LN(2)/25)*Calculateur!V122*Calculateur!X122*VLOOKUP('Données projet'!$B$9,Paramètres!$A$1:$I$89,3,0)*0.475*44/12</f>
        <v>6.7282072842418073</v>
      </c>
      <c r="AB122" s="21">
        <f>EXP(-LN(2)/2)*AB121+(1-EXP(-LN(2)/2))/(LN(2)/2)*V122*Y122*VLOOKUP('Données projet'!$B$9,Paramètres!$A$1:$I$89,3,0)*0.475*44/12</f>
        <v>9.656385720898934E-8</v>
      </c>
      <c r="AC122" s="22">
        <f t="shared" si="57"/>
        <v>51.275628688204208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6.083333333333333</v>
      </c>
      <c r="AI122" s="13">
        <f>IF('Données projet'!$A$62&gt;35,AI121+AH122-AQ121,IF(A122&lt;'Données projet'!$A$62,$AF$205^A122,IF(A122='Données projet'!$A$62,'Données projet'!$B$62,AI121+AH122-AQ121)))</f>
        <v>276.1666666666668</v>
      </c>
      <c r="AJ122" s="13">
        <f>AI122*VLOOKUP('Données projet'!$B$10,Paramètres!$A$1:$I$89,3,0)*VLOOKUP('Données projet'!$B$10,Paramètres!$A$1:$I$89,5,0)</f>
        <v>249.87560000000011</v>
      </c>
      <c r="AK122" s="13">
        <f t="shared" si="89"/>
        <v>60.559301693046741</v>
      </c>
      <c r="AL122" s="20">
        <f t="shared" si="58"/>
        <v>540.67412044872333</v>
      </c>
      <c r="AM122" s="59">
        <f t="shared" si="59"/>
        <v>834.0074537820567</v>
      </c>
      <c r="AN122" s="59">
        <f ca="1">AVERAGE(OFFSET($AM$3,0,0,'Données projet'!$E$10+1,1))-AVERAGE(OFFSET($H$3,0,0,'Données projet'!$E$10+1,1))</f>
        <v>215.7418266360167</v>
      </c>
      <c r="AO122" s="59">
        <f t="shared" si="90"/>
        <v>155.78420008229949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67.342375586809936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67.342375586809936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4.583333333333333</v>
      </c>
      <c r="BD122" s="12">
        <f>IF('Données projet'!$A$88&gt;35,BD121+BC122-BL121,IF(A122&lt;'Données projet'!$A$88,$BA$205^A122,IF(A122='Données projet'!$A$88,'Données projet'!$B$88,BD121+BC122-BL121)))</f>
        <v>210.91666666666674</v>
      </c>
      <c r="BE122" s="13">
        <f>BD122*VLOOKUP('Données projet'!$B$11,Paramètres!$A$1:$I$89,3,0)*VLOOKUP('Données projet'!$B$11,Paramètres!$A$1:$I$89,5,0)</f>
        <v>213.8695000000001</v>
      </c>
      <c r="BF122" s="13">
        <f t="shared" si="91"/>
        <v>52.780268154598112</v>
      </c>
      <c r="BG122" s="20">
        <f t="shared" si="61"/>
        <v>464.41501286925859</v>
      </c>
      <c r="BH122" s="59">
        <f t="shared" si="62"/>
        <v>757.74834620259185</v>
      </c>
      <c r="BI122" s="59">
        <f ca="1">AVERAGE(OFFSET($BH$3,0,0,'Données projet'!$E$11+1,1))-AVERAGE(OFFSET($H$3,0,0,'Données projet'!$E$11+1,1))</f>
        <v>179.53921263314447</v>
      </c>
      <c r="BJ122" s="59">
        <f t="shared" si="92"/>
        <v>120.81513023281337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46.778434941864333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46.778434941864333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500.00000000000045</v>
      </c>
      <c r="BZ122" s="13">
        <f>BY122*VLOOKUP('Données projet'!$B$12,Paramètres!$A$1:$I$89,3,0)*VLOOKUP('Données projet'!$B$12,Paramètres!$A$1:$I$89,5,0)</f>
        <v>234.00000000000023</v>
      </c>
      <c r="CA122" s="13">
        <f t="shared" si="93"/>
        <v>57.146705242557189</v>
      </c>
      <c r="CB122" s="20">
        <f t="shared" si="64"/>
        <v>507.08051163078744</v>
      </c>
      <c r="CC122" s="59">
        <f t="shared" si="65"/>
        <v>800.4138449641207</v>
      </c>
      <c r="CD122" s="59">
        <f ca="1">AVERAGE(OFFSET($CC$3,0,0,'Données projet'!$E$12+1,1))-AVERAGE(OFFSET($H$3,0,0,'Données projet'!$E$12+1,1))</f>
        <v>310.06530483941287</v>
      </c>
      <c r="CE122" s="59">
        <f t="shared" si="94"/>
        <v>170.13425794309376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77.95325705680871</v>
      </c>
      <c r="CL122" s="21">
        <f>EXP(-LN(2)/25)*CL121+(1-EXP(-LN(2)/25))/(LN(2)/25)*Calculateur!CG122*Calculateur!CI122*VLOOKUP('Données projet'!$B$12,Paramètres!$A$1:$I$89,3,0)*0.475*44/12</f>
        <v>14.206815568405839</v>
      </c>
      <c r="CM122" s="21">
        <f>EXP(-LN(2)/2)*CM121+(1-EXP(-LN(2)/2))/(LN(2)/2)*CG122*CJ122*VLOOKUP('Données projet'!$B$12,Paramètres!$A$1:$I$89,3,0)*0.475*44/12</f>
        <v>1.0158161385434216E-2</v>
      </c>
      <c r="CN122" s="22">
        <f t="shared" si="66"/>
        <v>92.170230786599987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168.08890945052406</v>
      </c>
      <c r="CZ122" s="59">
        <f t="shared" si="96"/>
        <v>182.52462557642343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35.249468871369466</v>
      </c>
      <c r="DG122" s="21">
        <f>EXP(-LN(2)/25)*DG121+(1-EXP(-LN(2)/25))/(LN(2)/25)*Calculateur!DB122*Calculateur!DD122*VLOOKUP('Données projet'!$B$13,Paramètres!$A$1:$I$89,3,0)*0.475*44/12</f>
        <v>5.561442598497127</v>
      </c>
      <c r="DH122" s="21">
        <f>EXP(-LN(2)/2)*DH121+(1-EXP(-LN(2)/2))/(LN(2)/2)*DB122*DE122*VLOOKUP('Données projet'!$B$13,Paramètres!$A$1:$I$89,3,0)*0.475*44/12</f>
        <v>7.4662404679874192E-8</v>
      </c>
      <c r="DI122" s="22">
        <f t="shared" si="69"/>
        <v>40.810911544528999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-2.2737367544323206E-13</v>
      </c>
      <c r="DP122" s="17">
        <f>DO122*VLOOKUP('Données projet'!$B$14,Paramètres!$A$1:$I$89,3,0)*VLOOKUP('Données projet'!$B$14,Paramètres!$A$1:$I$89,5,0)</f>
        <v>-1.2710188457276673E-13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355.23615781077405</v>
      </c>
      <c r="DU122" s="59">
        <f t="shared" si="98"/>
        <v>448.84541017639367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80.442591502597196</v>
      </c>
      <c r="EB122" s="21">
        <f>EXP(-LN(2)/25)*EB121+(1-EXP(-LN(2)/25))/(LN(2)/25)*Calculateur!DW122*Calculateur!DY122*VLOOKUP('Données projet'!$B$14,Paramètres!$A$1:$I$89,3,0)*0.475*44/12</f>
        <v>12.549299944073823</v>
      </c>
      <c r="EC122" s="21">
        <f>EXP(-LN(2)/2)*EC121+(1-EXP(-LN(2)/2))/(LN(2)/2)*DW122*DZ122*VLOOKUP('Données projet'!$B$14,Paramètres!$A$1:$I$89,3,0)*0.475*44/12</f>
        <v>7.4179573425494593E-8</v>
      </c>
      <c r="ED122" s="22">
        <f t="shared" si="72"/>
        <v>92.991891520850587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3.6666666666666665</v>
      </c>
      <c r="EJ122" s="12">
        <f>IF('Données projet'!$A$192&gt;35,EJ121+EI122-ER121,IF(A122&lt;'Données projet'!$A$192,$EG$205^A122,IF(A122='Données projet'!$A$192,'Données projet'!$B$192,EJ121+EI122-ER121)))</f>
        <v>168.73333333333321</v>
      </c>
      <c r="EK122" s="17">
        <f>EJ122*VLOOKUP('Données projet'!$B$15,Paramètres!$A$1:$I$89,3,0)*VLOOKUP('Données projet'!$B$15,Paramètres!$A$1:$I$89,5,0)</f>
        <v>181.62455999999986</v>
      </c>
      <c r="EL122" s="13">
        <f t="shared" si="99"/>
        <v>45.683431618058385</v>
      </c>
      <c r="EM122" s="20">
        <f t="shared" si="73"/>
        <v>395.89475206811812</v>
      </c>
      <c r="EN122" s="59">
        <f t="shared" si="74"/>
        <v>689.22808540145138</v>
      </c>
      <c r="EO122" s="59">
        <f ca="1">AVERAGE(OFFSET($EN$3,0,0,'Données projet'!$E$15+1,1))-AVERAGE(OFFSET($H$3,0,0,'Données projet'!$E$15+1,1))</f>
        <v>130.76477588601989</v>
      </c>
      <c r="EP122" s="59">
        <f t="shared" si="100"/>
        <v>94.034011511502172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39.725686289090923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39.725686289090923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-2.2737367544323206E-13</v>
      </c>
      <c r="FF122" s="17">
        <f>FE122*VLOOKUP('Données projet'!$B$16,Paramètres!$A$1:$I$89,3,0)*VLOOKUP('Données projet'!$B$16,Paramètres!$A$1:$I$89,5,0)</f>
        <v>-1.0345502232667058E-13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279.43442619866738</v>
      </c>
      <c r="FK122" s="59">
        <f t="shared" si="102"/>
        <v>355.95192241448217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65.476527967230226</v>
      </c>
      <c r="FR122" s="21">
        <f>EXP(-LN(2)/25)*FR121+(1-EXP(-LN(2)/25))/(LN(2)/25)*Calculateur!FM122*Calculateur!FO122*VLOOKUP('Données projet'!$B$16,Paramètres!$A$1:$I$89,3,0)*0.475*44/12</f>
        <v>10.214546466106606</v>
      </c>
      <c r="FS122" s="21">
        <f>EXP(-LN(2)/2)*FS121+(1-EXP(-LN(2)/2))/(LN(2)/2)*FM122*FP122*VLOOKUP('Données projet'!$B$16,Paramètres!$A$1:$I$89,3,0)*0.475*44/12</f>
        <v>6.0378722555635136E-8</v>
      </c>
      <c r="FT122" s="22">
        <f t="shared" si="78"/>
        <v>75.691074493715561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-6.7984728957526396E-14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227.89848316900191</v>
      </c>
      <c r="T123" s="59">
        <f t="shared" si="88"/>
        <v>239.85955661394541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43.673873546804515</v>
      </c>
      <c r="AA123" s="21">
        <f>EXP(-LN(2)/25)*AA122+(1-EXP(-LN(2)/25))/(LN(2)/25)*Calculateur!V123*Calculateur!X123*VLOOKUP('Données projet'!$B$9,Paramètres!$A$1:$I$89,3,0)*0.475*44/12</f>
        <v>6.5442241022331711</v>
      </c>
      <c r="AB123" s="21">
        <f>EXP(-LN(2)/2)*AB122+(1-EXP(-LN(2)/2))/(LN(2)/2)*V123*Y123*VLOOKUP('Données projet'!$B$9,Paramètres!$A$1:$I$89,3,0)*0.475*44/12</f>
        <v>6.8280958250005845E-8</v>
      </c>
      <c r="AC123" s="22">
        <f t="shared" si="57"/>
        <v>50.218097717318649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6.083333333333333</v>
      </c>
      <c r="AI123" s="13">
        <f>IF('Données projet'!$A$62&gt;35,AI122+AH123-AQ122,IF(A123&lt;'Données projet'!$A$62,$AF$205^A123,IF(A123='Données projet'!$A$62,'Données projet'!$B$62,AI122+AH123-AQ122)))</f>
        <v>282.25000000000011</v>
      </c>
      <c r="AJ123" s="13">
        <f>AI123*VLOOKUP('Données projet'!$B$10,Paramètres!$A$1:$I$89,3,0)*VLOOKUP('Données projet'!$B$10,Paramètres!$A$1:$I$89,5,0)</f>
        <v>255.37980000000007</v>
      </c>
      <c r="AK123" s="13">
        <f t="shared" si="89"/>
        <v>61.736512688009604</v>
      </c>
      <c r="AL123" s="20">
        <f t="shared" si="58"/>
        <v>552.31091126495016</v>
      </c>
      <c r="AM123" s="59">
        <f t="shared" si="59"/>
        <v>845.64424459828342</v>
      </c>
      <c r="AN123" s="59">
        <f ca="1">AVERAGE(OFFSET($AM$3,0,0,'Données projet'!$E$10+1,1))-AVERAGE(OFFSET($H$3,0,0,'Données projet'!$E$10+1,1))</f>
        <v>215.7418266360167</v>
      </c>
      <c r="AO123" s="59">
        <f t="shared" si="90"/>
        <v>155.78420008229949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66.021832676345909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66.021832676345909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4.583333333333333</v>
      </c>
      <c r="BD123" s="12">
        <f>IF('Données projet'!$A$88&gt;35,BD122+BC123-BL122,IF(A123&lt;'Données projet'!$A$88,$BA$205^A123,IF(A123='Données projet'!$A$88,'Données projet'!$B$88,BD122+BC123-BL122)))</f>
        <v>215.50000000000009</v>
      </c>
      <c r="BE123" s="13">
        <f>BD123*VLOOKUP('Données projet'!$B$11,Paramètres!$A$1:$I$89,3,0)*VLOOKUP('Données projet'!$B$11,Paramètres!$A$1:$I$89,5,0)</f>
        <v>218.51700000000011</v>
      </c>
      <c r="BF123" s="13">
        <f t="shared" si="91"/>
        <v>53.792436225519388</v>
      </c>
      <c r="BG123" s="20">
        <f t="shared" si="61"/>
        <v>474.27226809277977</v>
      </c>
      <c r="BH123" s="59">
        <f t="shared" si="62"/>
        <v>767.60560142611303</v>
      </c>
      <c r="BI123" s="59">
        <f ca="1">AVERAGE(OFFSET($BH$3,0,0,'Données projet'!$E$11+1,1))-AVERAGE(OFFSET($H$3,0,0,'Données projet'!$E$11+1,1))</f>
        <v>179.53921263314447</v>
      </c>
      <c r="BJ123" s="59">
        <f t="shared" si="92"/>
        <v>120.81513023281337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45.861138364682382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45.861138364682382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500.00000000000045</v>
      </c>
      <c r="BZ123" s="13">
        <f>BY123*VLOOKUP('Données projet'!$B$12,Paramètres!$A$1:$I$89,3,0)*VLOOKUP('Données projet'!$B$12,Paramètres!$A$1:$I$89,5,0)</f>
        <v>234.00000000000023</v>
      </c>
      <c r="CA123" s="13">
        <f t="shared" si="93"/>
        <v>57.146705242557189</v>
      </c>
      <c r="CB123" s="20">
        <f t="shared" si="64"/>
        <v>507.08051163078744</v>
      </c>
      <c r="CC123" s="59">
        <f t="shared" si="65"/>
        <v>800.4138449641207</v>
      </c>
      <c r="CD123" s="59">
        <f ca="1">AVERAGE(OFFSET($CC$3,0,0,'Données projet'!$E$12+1,1))-AVERAGE(OFFSET($H$3,0,0,'Données projet'!$E$12+1,1))</f>
        <v>310.06530483941287</v>
      </c>
      <c r="CE123" s="59">
        <f t="shared" si="94"/>
        <v>170.13425794309376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76.424641232716638</v>
      </c>
      <c r="CL123" s="21">
        <f>EXP(-LN(2)/25)*CL122+(1-EXP(-LN(2)/25))/(LN(2)/25)*Calculateur!CG123*Calculateur!CI123*VLOOKUP('Données projet'!$B$12,Paramètres!$A$1:$I$89,3,0)*0.475*44/12</f>
        <v>13.818329449583821</v>
      </c>
      <c r="CM123" s="21">
        <f>EXP(-LN(2)/2)*CM122+(1-EXP(-LN(2)/2))/(LN(2)/2)*CG123*CJ123*VLOOKUP('Données projet'!$B$12,Paramètres!$A$1:$I$89,3,0)*0.475*44/12</f>
        <v>7.182904800027869E-3</v>
      </c>
      <c r="CN123" s="22">
        <f t="shared" si="66"/>
        <v>90.250153587100499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168.08890945052406</v>
      </c>
      <c r="CZ123" s="59">
        <f t="shared" si="96"/>
        <v>182.52462557642343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34.558248286854969</v>
      </c>
      <c r="DG123" s="21">
        <f>EXP(-LN(2)/25)*DG122+(1-EXP(-LN(2)/25))/(LN(2)/25)*Calculateur!DB123*Calculateur!DD123*VLOOKUP('Données projet'!$B$13,Paramètres!$A$1:$I$89,3,0)*0.475*44/12</f>
        <v>5.409364658177668</v>
      </c>
      <c r="DH123" s="21">
        <f>EXP(-LN(2)/2)*DH122+(1-EXP(-LN(2)/2))/(LN(2)/2)*DB123*DE123*VLOOKUP('Données projet'!$B$13,Paramètres!$A$1:$I$89,3,0)*0.475*44/12</f>
        <v>5.2794292648833263E-8</v>
      </c>
      <c r="DI123" s="22">
        <f t="shared" si="69"/>
        <v>39.967612997826926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-2.2737367544323206E-13</v>
      </c>
      <c r="DP123" s="17">
        <f>DO123*VLOOKUP('Données projet'!$B$14,Paramètres!$A$1:$I$89,3,0)*VLOOKUP('Données projet'!$B$14,Paramètres!$A$1:$I$89,5,0)</f>
        <v>-1.2710188457276673E-13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355.23615781077405</v>
      </c>
      <c r="DU123" s="59">
        <f t="shared" si="98"/>
        <v>448.84541017639367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78.865161348367309</v>
      </c>
      <c r="EB123" s="21">
        <f>EXP(-LN(2)/25)*EB122+(1-EXP(-LN(2)/25))/(LN(2)/25)*Calculateur!DW123*Calculateur!DY123*VLOOKUP('Données projet'!$B$14,Paramètres!$A$1:$I$89,3,0)*0.475*44/12</f>
        <v>12.206138677164121</v>
      </c>
      <c r="EC123" s="21">
        <f>EXP(-LN(2)/2)*EC122+(1-EXP(-LN(2)/2))/(LN(2)/2)*DW123*DZ123*VLOOKUP('Données projet'!$B$14,Paramètres!$A$1:$I$89,3,0)*0.475*44/12</f>
        <v>5.2452879394692642E-8</v>
      </c>
      <c r="ED123" s="22">
        <f t="shared" si="72"/>
        <v>91.071300077984304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3.6666666666666665</v>
      </c>
      <c r="EJ123" s="12">
        <f>IF('Données projet'!$A$192&gt;35,EJ122+EI123-ER122,IF(A123&lt;'Données projet'!$A$192,$EG$205^A123,IF(A123='Données projet'!$A$192,'Données projet'!$B$192,EJ122+EI123-ER122)))</f>
        <v>172.39999999999986</v>
      </c>
      <c r="EK123" s="17">
        <f>EJ123*VLOOKUP('Données projet'!$B$15,Paramètres!$A$1:$I$89,3,0)*VLOOKUP('Données projet'!$B$15,Paramètres!$A$1:$I$89,5,0)</f>
        <v>185.57135999999986</v>
      </c>
      <c r="EL123" s="13">
        <f t="shared" si="99"/>
        <v>46.559503537937182</v>
      </c>
      <c r="EM123" s="20">
        <f t="shared" si="73"/>
        <v>404.2945873285737</v>
      </c>
      <c r="EN123" s="59">
        <f t="shared" si="74"/>
        <v>697.62792066190696</v>
      </c>
      <c r="EO123" s="59">
        <f ca="1">AVERAGE(OFFSET($EN$3,0,0,'Données projet'!$E$15+1,1))-AVERAGE(OFFSET($H$3,0,0,'Données projet'!$E$15+1,1))</f>
        <v>130.76477588601989</v>
      </c>
      <c r="EP123" s="59">
        <f t="shared" si="100"/>
        <v>94.034011511502172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38.946689811237945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38.946689811237945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-2.2737367544323206E-13</v>
      </c>
      <c r="FF123" s="17">
        <f>FE123*VLOOKUP('Données projet'!$B$16,Paramètres!$A$1:$I$89,3,0)*VLOOKUP('Données projet'!$B$16,Paramètres!$A$1:$I$89,5,0)</f>
        <v>-1.0345502232667058E-13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279.43442619866738</v>
      </c>
      <c r="FK123" s="59">
        <f t="shared" si="102"/>
        <v>355.95192241448217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64.192573190531476</v>
      </c>
      <c r="FR123" s="21">
        <f>EXP(-LN(2)/25)*FR122+(1-EXP(-LN(2)/25))/(LN(2)/25)*Calculateur!FM123*Calculateur!FO123*VLOOKUP('Données projet'!$B$16,Paramètres!$A$1:$I$89,3,0)*0.475*44/12</f>
        <v>9.9352291558312675</v>
      </c>
      <c r="FS123" s="21">
        <f>EXP(-LN(2)/2)*FS122+(1-EXP(-LN(2)/2))/(LN(2)/2)*FM123*FP123*VLOOKUP('Données projet'!$B$16,Paramètres!$A$1:$I$89,3,0)*0.475*44/12</f>
        <v>4.2694204158470756E-8</v>
      </c>
      <c r="FT123" s="22">
        <f t="shared" si="78"/>
        <v>74.127802389056953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-6.7984728957526396E-14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227.89848316900191</v>
      </c>
      <c r="T124" s="59">
        <f t="shared" si="88"/>
        <v>239.85955661394541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42.817455524984219</v>
      </c>
      <c r="AA124" s="21">
        <f>EXP(-LN(2)/25)*AA123+(1-EXP(-LN(2)/25))/(LN(2)/25)*Calculateur!V124*Calculateur!X124*VLOOKUP('Données projet'!$B$9,Paramètres!$A$1:$I$89,3,0)*0.475*44/12</f>
        <v>6.3652719500118167</v>
      </c>
      <c r="AB124" s="21">
        <f>EXP(-LN(2)/2)*AB123+(1-EXP(-LN(2)/2))/(LN(2)/2)*V124*Y124*VLOOKUP('Données projet'!$B$9,Paramètres!$A$1:$I$89,3,0)*0.475*44/12</f>
        <v>4.828192860449467E-8</v>
      </c>
      <c r="AC124" s="22">
        <f t="shared" si="57"/>
        <v>49.182727523277961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6.083333333333333</v>
      </c>
      <c r="AI124" s="13">
        <f>IF('Données projet'!$A$62&gt;35,AI123+AH124-AQ123,IF(A124&lt;'Données projet'!$A$62,$AF$205^A124,IF(A124='Données projet'!$A$62,'Données projet'!$B$62,AI123+AH124-AQ123)))</f>
        <v>288.33333333333343</v>
      </c>
      <c r="AJ124" s="13">
        <f>AI124*VLOOKUP('Données projet'!$B$10,Paramètres!$A$1:$I$89,3,0)*VLOOKUP('Données projet'!$B$10,Paramètres!$A$1:$I$89,5,0)</f>
        <v>260.88400000000007</v>
      </c>
      <c r="AK124" s="13">
        <f t="shared" si="89"/>
        <v>62.91077379286947</v>
      </c>
      <c r="AL124" s="20">
        <f t="shared" si="58"/>
        <v>563.94256435591444</v>
      </c>
      <c r="AM124" s="59">
        <f t="shared" si="59"/>
        <v>857.27589768924781</v>
      </c>
      <c r="AN124" s="59">
        <f ca="1">AVERAGE(OFFSET($AM$3,0,0,'Données projet'!$E$10+1,1))-AVERAGE(OFFSET($H$3,0,0,'Données projet'!$E$10+1,1))</f>
        <v>215.7418266360167</v>
      </c>
      <c r="AO124" s="59">
        <f t="shared" si="90"/>
        <v>155.78420008229949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64.727184806904432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64.727184806904432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4.583333333333333</v>
      </c>
      <c r="BD124" s="12">
        <f>IF('Données projet'!$A$88&gt;35,BD123+BC124-BL123,IF(A124&lt;'Données projet'!$A$88,$BA$205^A124,IF(A124='Données projet'!$A$88,'Données projet'!$B$88,BD123+BC124-BL123)))</f>
        <v>220.08333333333343</v>
      </c>
      <c r="BE124" s="13">
        <f>BD124*VLOOKUP('Données projet'!$B$11,Paramètres!$A$1:$I$89,3,0)*VLOOKUP('Données projet'!$B$11,Paramètres!$A$1:$I$89,5,0)</f>
        <v>223.16450000000012</v>
      </c>
      <c r="BF124" s="13">
        <f t="shared" si="91"/>
        <v>54.802101434322999</v>
      </c>
      <c r="BG124" s="20">
        <f t="shared" si="61"/>
        <v>484.12516416477951</v>
      </c>
      <c r="BH124" s="59">
        <f t="shared" si="62"/>
        <v>777.45849749811282</v>
      </c>
      <c r="BI124" s="59">
        <f ca="1">AVERAGE(OFFSET($BH$3,0,0,'Données projet'!$E$11+1,1))-AVERAGE(OFFSET($H$3,0,0,'Données projet'!$E$11+1,1))</f>
        <v>179.53921263314447</v>
      </c>
      <c r="BJ124" s="59">
        <f t="shared" si="92"/>
        <v>120.81513023281337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44.961829413883308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44.961829413883308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500.00000000000045</v>
      </c>
      <c r="BZ124" s="13">
        <f>BY124*VLOOKUP('Données projet'!$B$12,Paramètres!$A$1:$I$89,3,0)*VLOOKUP('Données projet'!$B$12,Paramètres!$A$1:$I$89,5,0)</f>
        <v>234.00000000000023</v>
      </c>
      <c r="CA124" s="13">
        <f t="shared" si="93"/>
        <v>57.146705242557189</v>
      </c>
      <c r="CB124" s="20">
        <f t="shared" si="64"/>
        <v>507.08051163078744</v>
      </c>
      <c r="CC124" s="59">
        <f t="shared" si="65"/>
        <v>800.4138449641207</v>
      </c>
      <c r="CD124" s="59">
        <f ca="1">AVERAGE(OFFSET($CC$3,0,0,'Données projet'!$E$12+1,1))-AVERAGE(OFFSET($H$3,0,0,'Données projet'!$E$12+1,1))</f>
        <v>310.06530483941287</v>
      </c>
      <c r="CE124" s="59">
        <f t="shared" si="94"/>
        <v>170.13425794309376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74.92600063257143</v>
      </c>
      <c r="CL124" s="21">
        <f>EXP(-LN(2)/25)*CL123+(1-EXP(-LN(2)/25))/(LN(2)/25)*Calculateur!CG124*Calculateur!CI124*VLOOKUP('Données projet'!$B$12,Paramètres!$A$1:$I$89,3,0)*0.475*44/12</f>
        <v>13.440466504110589</v>
      </c>
      <c r="CM124" s="21">
        <f>EXP(-LN(2)/2)*CM123+(1-EXP(-LN(2)/2))/(LN(2)/2)*CG124*CJ124*VLOOKUP('Données projet'!$B$12,Paramètres!$A$1:$I$89,3,0)*0.475*44/12</f>
        <v>5.0790806927171082E-3</v>
      </c>
      <c r="CN124" s="22">
        <f t="shared" si="66"/>
        <v>88.371546217374743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168.08890945052406</v>
      </c>
      <c r="CZ124" s="59">
        <f t="shared" si="96"/>
        <v>182.52462557642343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33.880582116399871</v>
      </c>
      <c r="DG124" s="21">
        <f>EXP(-LN(2)/25)*DG123+(1-EXP(-LN(2)/25))/(LN(2)/25)*Calculateur!DB124*Calculateur!DD124*VLOOKUP('Données projet'!$B$13,Paramètres!$A$1:$I$89,3,0)*0.475*44/12</f>
        <v>5.2614452971336751</v>
      </c>
      <c r="DH124" s="21">
        <f>EXP(-LN(2)/2)*DH123+(1-EXP(-LN(2)/2))/(LN(2)/2)*DB124*DE124*VLOOKUP('Données projet'!$B$13,Paramètres!$A$1:$I$89,3,0)*0.475*44/12</f>
        <v>3.7331202339937096E-8</v>
      </c>
      <c r="DI124" s="22">
        <f t="shared" si="69"/>
        <v>39.142027450864752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-2.2737367544323206E-13</v>
      </c>
      <c r="DP124" s="17">
        <f>DO124*VLOOKUP('Données projet'!$B$14,Paramètres!$A$1:$I$89,3,0)*VLOOKUP('Données projet'!$B$14,Paramètres!$A$1:$I$89,5,0)</f>
        <v>-1.2710188457276673E-13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355.23615781077405</v>
      </c>
      <c r="DU124" s="59">
        <f t="shared" si="98"/>
        <v>448.84541017639367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77.318663637324477</v>
      </c>
      <c r="EB124" s="21">
        <f>EXP(-LN(2)/25)*EB123+(1-EXP(-LN(2)/25))/(LN(2)/25)*Calculateur!DW124*Calculateur!DY124*VLOOKUP('Données projet'!$B$14,Paramètres!$A$1:$I$89,3,0)*0.475*44/12</f>
        <v>11.872361173144133</v>
      </c>
      <c r="EC124" s="21">
        <f>EXP(-LN(2)/2)*EC123+(1-EXP(-LN(2)/2))/(LN(2)/2)*DW124*DZ124*VLOOKUP('Données projet'!$B$14,Paramètres!$A$1:$I$89,3,0)*0.475*44/12</f>
        <v>3.7089786712747296E-8</v>
      </c>
      <c r="ED124" s="22">
        <f t="shared" si="72"/>
        <v>89.191024847558396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3.6666666666666665</v>
      </c>
      <c r="EJ124" s="12">
        <f>IF('Données projet'!$A$192&gt;35,EJ123+EI124-ER123,IF(A124&lt;'Données projet'!$A$192,$EG$205^A124,IF(A124='Données projet'!$A$192,'Données projet'!$B$192,EJ123+EI124-ER123)))</f>
        <v>176.06666666666652</v>
      </c>
      <c r="EK124" s="17">
        <f>EJ124*VLOOKUP('Données projet'!$B$15,Paramètres!$A$1:$I$89,3,0)*VLOOKUP('Données projet'!$B$15,Paramètres!$A$1:$I$89,5,0)</f>
        <v>189.51815999999982</v>
      </c>
      <c r="EL124" s="13">
        <f t="shared" si="99"/>
        <v>47.433409130618301</v>
      </c>
      <c r="EM124" s="20">
        <f t="shared" si="73"/>
        <v>412.69064956915986</v>
      </c>
      <c r="EN124" s="59">
        <f t="shared" si="74"/>
        <v>706.02398290249312</v>
      </c>
      <c r="EO124" s="59">
        <f ca="1">AVERAGE(OFFSET($EN$3,0,0,'Données projet'!$E$15+1,1))-AVERAGE(OFFSET($H$3,0,0,'Données projet'!$E$15+1,1))</f>
        <v>130.76477588601989</v>
      </c>
      <c r="EP124" s="59">
        <f t="shared" si="100"/>
        <v>94.034011511502172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38.182968979174731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38.182968979174731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-2.2737367544323206E-13</v>
      </c>
      <c r="FF124" s="17">
        <f>FE124*VLOOKUP('Données projet'!$B$16,Paramètres!$A$1:$I$89,3,0)*VLOOKUP('Données projet'!$B$16,Paramètres!$A$1:$I$89,5,0)</f>
        <v>-1.0345502232667058E-13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279.43442619866738</v>
      </c>
      <c r="FK124" s="59">
        <f t="shared" si="102"/>
        <v>355.95192241448217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62.933795983868706</v>
      </c>
      <c r="FR124" s="21">
        <f>EXP(-LN(2)/25)*FR123+(1-EXP(-LN(2)/25))/(LN(2)/25)*Calculateur!FM124*Calculateur!FO124*VLOOKUP('Données projet'!$B$16,Paramètres!$A$1:$I$89,3,0)*0.475*44/12</f>
        <v>9.6635497920940683</v>
      </c>
      <c r="FS124" s="21">
        <f>EXP(-LN(2)/2)*FS123+(1-EXP(-LN(2)/2))/(LN(2)/2)*FM124*FP124*VLOOKUP('Données projet'!$B$16,Paramètres!$A$1:$I$89,3,0)*0.475*44/12</f>
        <v>3.0189361277817568E-8</v>
      </c>
      <c r="FT124" s="22">
        <f t="shared" si="78"/>
        <v>72.597345806152134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-6.7984728957526396E-14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227.89848316900191</v>
      </c>
      <c r="T125" s="59">
        <f t="shared" si="88"/>
        <v>239.85955661394541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41.977831338208404</v>
      </c>
      <c r="AA125" s="21">
        <f>EXP(-LN(2)/25)*AA124+(1-EXP(-LN(2)/25))/(LN(2)/25)*Calculateur!V125*Calculateur!X125*VLOOKUP('Données projet'!$B$9,Paramètres!$A$1:$I$89,3,0)*0.475*44/12</f>
        <v>6.1912132538036397</v>
      </c>
      <c r="AB125" s="21">
        <f>EXP(-LN(2)/2)*AB124+(1-EXP(-LN(2)/2))/(LN(2)/2)*V125*Y125*VLOOKUP('Données projet'!$B$9,Paramètres!$A$1:$I$89,3,0)*0.475*44/12</f>
        <v>3.4140479125002923E-8</v>
      </c>
      <c r="AC125" s="22">
        <f t="shared" si="57"/>
        <v>48.16904462615252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6.083333333333333</v>
      </c>
      <c r="AI125" s="13">
        <f>IF('Données projet'!$A$62&gt;35,AI124+AH125-AQ124,IF(A125&lt;'Données projet'!$A$62,$AF$205^A125,IF(A125='Données projet'!$A$62,'Données projet'!$B$62,AI124+AH125-AQ124)))</f>
        <v>294.41666666666674</v>
      </c>
      <c r="AJ125" s="13">
        <f>AI125*VLOOKUP('Données projet'!$B$10,Paramètres!$A$1:$I$89,3,0)*VLOOKUP('Données projet'!$B$10,Paramètres!$A$1:$I$89,5,0)</f>
        <v>266.3882000000001</v>
      </c>
      <c r="AK125" s="13">
        <f t="shared" si="89"/>
        <v>64.082154414794047</v>
      </c>
      <c r="AL125" s="20">
        <f t="shared" si="58"/>
        <v>575.56920060576647</v>
      </c>
      <c r="AM125" s="59">
        <f t="shared" si="59"/>
        <v>868.90253393909984</v>
      </c>
      <c r="AN125" s="59">
        <f ca="1">AVERAGE(OFFSET($AM$3,0,0,'Données projet'!$E$10+1,1))-AVERAGE(OFFSET($H$3,0,0,'Données projet'!$E$10+1,1))</f>
        <v>215.7418266360167</v>
      </c>
      <c r="AO125" s="59">
        <f t="shared" si="90"/>
        <v>155.78420008229949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63.457924192525475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63.457924192525475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4.583333333333333</v>
      </c>
      <c r="BD125" s="12">
        <f>IF('Données projet'!$A$88&gt;35,BD124+BC125-BL124,IF(A125&lt;'Données projet'!$A$88,$BA$205^A125,IF(A125='Données projet'!$A$88,'Données projet'!$B$88,BD124+BC125-BL124)))</f>
        <v>224.66666666666677</v>
      </c>
      <c r="BE125" s="13">
        <f>BD125*VLOOKUP('Données projet'!$B$11,Paramètres!$A$1:$I$89,3,0)*VLOOKUP('Données projet'!$B$11,Paramètres!$A$1:$I$89,5,0)</f>
        <v>227.81200000000013</v>
      </c>
      <c r="BF125" s="13">
        <f t="shared" si="91"/>
        <v>55.809321909379769</v>
      </c>
      <c r="BG125" s="20">
        <f t="shared" si="61"/>
        <v>493.9738023255033</v>
      </c>
      <c r="BH125" s="59">
        <f t="shared" si="62"/>
        <v>787.30713565883661</v>
      </c>
      <c r="BI125" s="59">
        <f ca="1">AVERAGE(OFFSET($BH$3,0,0,'Données projet'!$E$11+1,1))-AVERAGE(OFFSET($H$3,0,0,'Données projet'!$E$11+1,1))</f>
        <v>179.53921263314447</v>
      </c>
      <c r="BJ125" s="59">
        <f t="shared" si="92"/>
        <v>120.81513023281337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44.080155363085105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44.080155363085105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500.00000000000045</v>
      </c>
      <c r="BZ125" s="13">
        <f>BY125*VLOOKUP('Données projet'!$B$12,Paramètres!$A$1:$I$89,3,0)*VLOOKUP('Données projet'!$B$12,Paramètres!$A$1:$I$89,5,0)</f>
        <v>234.00000000000023</v>
      </c>
      <c r="CA125" s="13">
        <f t="shared" si="93"/>
        <v>57.146705242557189</v>
      </c>
      <c r="CB125" s="20">
        <f t="shared" si="64"/>
        <v>507.08051163078744</v>
      </c>
      <c r="CC125" s="59">
        <f t="shared" si="65"/>
        <v>800.4138449641207</v>
      </c>
      <c r="CD125" s="59">
        <f ca="1">AVERAGE(OFFSET($CC$3,0,0,'Données projet'!$E$12+1,1))-AVERAGE(OFFSET($H$3,0,0,'Données projet'!$E$12+1,1))</f>
        <v>310.06530483941287</v>
      </c>
      <c r="CE125" s="59">
        <f t="shared" si="94"/>
        <v>170.13425794309376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73.456747460514549</v>
      </c>
      <c r="CL125" s="21">
        <f>EXP(-LN(2)/25)*CL124+(1-EXP(-LN(2)/25))/(LN(2)/25)*Calculateur!CG125*Calculateur!CI125*VLOOKUP('Données projet'!$B$12,Paramètres!$A$1:$I$89,3,0)*0.475*44/12</f>
        <v>13.07293624075227</v>
      </c>
      <c r="CM125" s="21">
        <f>EXP(-LN(2)/2)*CM124+(1-EXP(-LN(2)/2))/(LN(2)/2)*CG125*CJ125*VLOOKUP('Données projet'!$B$12,Paramètres!$A$1:$I$89,3,0)*0.475*44/12</f>
        <v>3.5914524000139345E-3</v>
      </c>
      <c r="CN125" s="22">
        <f t="shared" si="66"/>
        <v>86.533275153666835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168.08890945052406</v>
      </c>
      <c r="CZ125" s="59">
        <f t="shared" si="96"/>
        <v>182.52462557642343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33.21620456621185</v>
      </c>
      <c r="DG125" s="21">
        <f>EXP(-LN(2)/25)*DG124+(1-EXP(-LN(2)/25))/(LN(2)/25)*Calculateur!DB125*Calculateur!DD125*VLOOKUP('Données projet'!$B$13,Paramètres!$A$1:$I$89,3,0)*0.475*44/12</f>
        <v>5.117570798796172</v>
      </c>
      <c r="DH125" s="21">
        <f>EXP(-LN(2)/2)*DH124+(1-EXP(-LN(2)/2))/(LN(2)/2)*DB125*DE125*VLOOKUP('Données projet'!$B$13,Paramètres!$A$1:$I$89,3,0)*0.475*44/12</f>
        <v>2.6397146324416631E-8</v>
      </c>
      <c r="DI125" s="22">
        <f t="shared" si="69"/>
        <v>38.333775391405169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-2.2737367544323206E-13</v>
      </c>
      <c r="DP125" s="17">
        <f>DO125*VLOOKUP('Données projet'!$B$14,Paramètres!$A$1:$I$89,3,0)*VLOOKUP('Données projet'!$B$14,Paramètres!$A$1:$I$89,5,0)</f>
        <v>-1.2710188457276673E-13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355.23615781077405</v>
      </c>
      <c r="DU125" s="59">
        <f t="shared" si="98"/>
        <v>448.84541017639367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75.802491803124724</v>
      </c>
      <c r="EB125" s="21">
        <f>EXP(-LN(2)/25)*EB124+(1-EXP(-LN(2)/25))/(LN(2)/25)*Calculateur!DW125*Calculateur!DY125*VLOOKUP('Données projet'!$B$14,Paramètres!$A$1:$I$89,3,0)*0.475*44/12</f>
        <v>11.547710832524167</v>
      </c>
      <c r="EC125" s="21">
        <f>EXP(-LN(2)/2)*EC124+(1-EXP(-LN(2)/2))/(LN(2)/2)*DW125*DZ125*VLOOKUP('Données projet'!$B$14,Paramètres!$A$1:$I$89,3,0)*0.475*44/12</f>
        <v>2.6226439697346321E-8</v>
      </c>
      <c r="ED125" s="22">
        <f t="shared" si="72"/>
        <v>87.350202661875329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3.6666666666666665</v>
      </c>
      <c r="EJ125" s="12">
        <f>IF('Données projet'!$A$192&gt;35,EJ124+EI125-ER124,IF(A125&lt;'Données projet'!$A$192,$EG$205^A125,IF(A125='Données projet'!$A$192,'Données projet'!$B$192,EJ124+EI125-ER124)))</f>
        <v>179.73333333333318</v>
      </c>
      <c r="EK125" s="17">
        <f>EJ125*VLOOKUP('Données projet'!$B$15,Paramètres!$A$1:$I$89,3,0)*VLOOKUP('Données projet'!$B$15,Paramètres!$A$1:$I$89,5,0)</f>
        <v>193.46495999999982</v>
      </c>
      <c r="EL125" s="13">
        <f t="shared" si="99"/>
        <v>48.305198708529971</v>
      </c>
      <c r="EM125" s="20">
        <f t="shared" si="73"/>
        <v>421.083026417356</v>
      </c>
      <c r="EN125" s="59">
        <f t="shared" si="74"/>
        <v>714.41635975068925</v>
      </c>
      <c r="EO125" s="59">
        <f ca="1">AVERAGE(OFFSET($EN$3,0,0,'Données projet'!$E$15+1,1))-AVERAGE(OFFSET($H$3,0,0,'Données projet'!$E$15+1,1))</f>
        <v>130.76477588601989</v>
      </c>
      <c r="EP125" s="59">
        <f t="shared" si="100"/>
        <v>94.034011511502172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37.434224246804561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37.434224246804561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-2.2737367544323206E-13</v>
      </c>
      <c r="FF125" s="17">
        <f>FE125*VLOOKUP('Données projet'!$B$16,Paramètres!$A$1:$I$89,3,0)*VLOOKUP('Données projet'!$B$16,Paramètres!$A$1:$I$89,5,0)</f>
        <v>-1.0345502232667058E-13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279.43442619866738</v>
      </c>
      <c r="FK125" s="59">
        <f t="shared" si="102"/>
        <v>355.95192241448217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61.699702630450304</v>
      </c>
      <c r="FR125" s="21">
        <f>EXP(-LN(2)/25)*FR124+(1-EXP(-LN(2)/25))/(LN(2)/25)*Calculateur!FM125*Calculateur!FO125*VLOOKUP('Données projet'!$B$16,Paramètres!$A$1:$I$89,3,0)*0.475*44/12</f>
        <v>9.3992995148452589</v>
      </c>
      <c r="FS125" s="21">
        <f>EXP(-LN(2)/2)*FS124+(1-EXP(-LN(2)/2))/(LN(2)/2)*FM125*FP125*VLOOKUP('Données projet'!$B$16,Paramètres!$A$1:$I$89,3,0)*0.475*44/12</f>
        <v>2.1347102079235378E-8</v>
      </c>
      <c r="FT125" s="22">
        <f t="shared" si="78"/>
        <v>71.099002166642663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-6.7984728957526396E-14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227.89848316900191</v>
      </c>
      <c r="T126" s="59">
        <f t="shared" si="88"/>
        <v>239.85955661394541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41.15467166961507</v>
      </c>
      <c r="AA126" s="21">
        <f>EXP(-LN(2)/25)*AA125+(1-EXP(-LN(2)/25))/(LN(2)/25)*Calculateur!V126*Calculateur!X126*VLOOKUP('Données projet'!$B$9,Paramètres!$A$1:$I$89,3,0)*0.475*44/12</f>
        <v>6.0219142017966245</v>
      </c>
      <c r="AB126" s="21">
        <f>EXP(-LN(2)/2)*AB125+(1-EXP(-LN(2)/2))/(LN(2)/2)*V126*Y126*VLOOKUP('Données projet'!$B$9,Paramètres!$A$1:$I$89,3,0)*0.475*44/12</f>
        <v>2.4140964302247335E-8</v>
      </c>
      <c r="AC126" s="22">
        <f t="shared" si="57"/>
        <v>47.176585895552662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6.083333333333333</v>
      </c>
      <c r="AI126" s="13">
        <f>IF('Données projet'!$A$62&gt;35,AI125+AH126-AQ125,IF(A126&lt;'Données projet'!$A$62,$AF$205^A126,IF(A126='Données projet'!$A$62,'Données projet'!$B$62,AI125+AH126-AQ125)))</f>
        <v>300.50000000000006</v>
      </c>
      <c r="AJ126" s="13">
        <f>AI126*VLOOKUP('Données projet'!$B$10,Paramètres!$A$1:$I$89,3,0)*VLOOKUP('Données projet'!$B$10,Paramètres!$A$1:$I$89,5,0)</f>
        <v>271.89240000000007</v>
      </c>
      <c r="AK126" s="13">
        <f t="shared" si="89"/>
        <v>65.250720928792603</v>
      </c>
      <c r="AL126" s="20">
        <f t="shared" si="58"/>
        <v>587.19093561764714</v>
      </c>
      <c r="AM126" s="59">
        <f t="shared" si="59"/>
        <v>880.52426895098051</v>
      </c>
      <c r="AN126" s="59">
        <f ca="1">AVERAGE(OFFSET($AM$3,0,0,'Données projet'!$E$10+1,1))-AVERAGE(OFFSET($H$3,0,0,'Données projet'!$E$10+1,1))</f>
        <v>215.7418266360167</v>
      </c>
      <c r="AO126" s="59">
        <f t="shared" si="90"/>
        <v>155.78420008229949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62.213553004621957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62.213553004621957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4.583333333333333</v>
      </c>
      <c r="BD126" s="12">
        <f>IF('Données projet'!$A$88&gt;35,BD125+BC126-BL125,IF(A126&lt;'Données projet'!$A$88,$BA$205^A126,IF(A126='Données projet'!$A$88,'Données projet'!$B$88,BD125+BC126-BL125)))</f>
        <v>229.25000000000011</v>
      </c>
      <c r="BE126" s="13">
        <f>BD126*VLOOKUP('Données projet'!$B$11,Paramètres!$A$1:$I$89,3,0)*VLOOKUP('Données projet'!$B$11,Paramètres!$A$1:$I$89,5,0)</f>
        <v>232.45950000000013</v>
      </c>
      <c r="BF126" s="13">
        <f t="shared" si="91"/>
        <v>56.814153271776291</v>
      </c>
      <c r="BG126" s="20">
        <f t="shared" si="61"/>
        <v>503.8182794483439</v>
      </c>
      <c r="BH126" s="59">
        <f t="shared" si="62"/>
        <v>797.15161278167716</v>
      </c>
      <c r="BI126" s="59">
        <f ca="1">AVERAGE(OFFSET($BH$3,0,0,'Données projet'!$E$11+1,1))-AVERAGE(OFFSET($H$3,0,0,'Données projet'!$E$11+1,1))</f>
        <v>179.53921263314447</v>
      </c>
      <c r="BJ126" s="59">
        <f t="shared" si="92"/>
        <v>120.81513023281337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43.215770402654982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43.215770402654982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500.00000000000045</v>
      </c>
      <c r="BZ126" s="13">
        <f>BY126*VLOOKUP('Données projet'!$B$12,Paramètres!$A$1:$I$89,3,0)*VLOOKUP('Données projet'!$B$12,Paramètres!$A$1:$I$89,5,0)</f>
        <v>234.00000000000023</v>
      </c>
      <c r="CA126" s="13">
        <f t="shared" si="93"/>
        <v>57.146705242557189</v>
      </c>
      <c r="CB126" s="20">
        <f t="shared" si="64"/>
        <v>507.08051163078744</v>
      </c>
      <c r="CC126" s="59">
        <f t="shared" si="65"/>
        <v>800.4138449641207</v>
      </c>
      <c r="CD126" s="59">
        <f ca="1">AVERAGE(OFFSET($CC$3,0,0,'Données projet'!$E$12+1,1))-AVERAGE(OFFSET($H$3,0,0,'Données projet'!$E$12+1,1))</f>
        <v>310.06530483941287</v>
      </c>
      <c r="CE126" s="59">
        <f t="shared" si="94"/>
        <v>170.13425794309376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72.016305447005763</v>
      </c>
      <c r="CL126" s="21">
        <f>EXP(-LN(2)/25)*CL125+(1-EXP(-LN(2)/25))/(LN(2)/25)*Calculateur!CG126*Calculateur!CI126*VLOOKUP('Données projet'!$B$12,Paramètres!$A$1:$I$89,3,0)*0.475*44/12</f>
        <v>12.715456111773062</v>
      </c>
      <c r="CM126" s="21">
        <f>EXP(-LN(2)/2)*CM125+(1-EXP(-LN(2)/2))/(LN(2)/2)*CG126*CJ126*VLOOKUP('Données projet'!$B$12,Paramètres!$A$1:$I$89,3,0)*0.475*44/12</f>
        <v>2.5395403463585541E-3</v>
      </c>
      <c r="CN126" s="22">
        <f t="shared" si="66"/>
        <v>84.73430109912519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168.08890945052406</v>
      </c>
      <c r="CZ126" s="59">
        <f t="shared" si="96"/>
        <v>182.52462557642343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32.564855054552723</v>
      </c>
      <c r="DG126" s="21">
        <f>EXP(-LN(2)/25)*DG125+(1-EXP(-LN(2)/25))/(LN(2)/25)*Calculateur!DB126*Calculateur!DD126*VLOOKUP('Données projet'!$B$13,Paramètres!$A$1:$I$89,3,0)*0.475*44/12</f>
        <v>4.9776305561817384</v>
      </c>
      <c r="DH126" s="21">
        <f>EXP(-LN(2)/2)*DH125+(1-EXP(-LN(2)/2))/(LN(2)/2)*DB126*DE126*VLOOKUP('Données projet'!$B$13,Paramètres!$A$1:$I$89,3,0)*0.475*44/12</f>
        <v>1.8665601169968548E-8</v>
      </c>
      <c r="DI126" s="22">
        <f t="shared" si="69"/>
        <v>37.542485629400062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-2.2737367544323206E-13</v>
      </c>
      <c r="DP126" s="17">
        <f>DO126*VLOOKUP('Données projet'!$B$14,Paramètres!$A$1:$I$89,3,0)*VLOOKUP('Données projet'!$B$14,Paramètres!$A$1:$I$89,5,0)</f>
        <v>-1.2710188457276673E-13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355.23615781077405</v>
      </c>
      <c r="DU126" s="59">
        <f t="shared" si="98"/>
        <v>448.84541017639367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74.316051173820128</v>
      </c>
      <c r="EB126" s="21">
        <f>EXP(-LN(2)/25)*EB125+(1-EXP(-LN(2)/25))/(LN(2)/25)*Calculateur!DW126*Calculateur!DY126*VLOOKUP('Données projet'!$B$14,Paramètres!$A$1:$I$89,3,0)*0.475*44/12</f>
        <v>11.231938072541073</v>
      </c>
      <c r="EC126" s="21">
        <f>EXP(-LN(2)/2)*EC125+(1-EXP(-LN(2)/2))/(LN(2)/2)*DW126*DZ126*VLOOKUP('Données projet'!$B$14,Paramètres!$A$1:$I$89,3,0)*0.475*44/12</f>
        <v>1.8544893356373648E-8</v>
      </c>
      <c r="ED126" s="22">
        <f t="shared" si="72"/>
        <v>85.547989264906093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3.6666666666666665</v>
      </c>
      <c r="EJ126" s="12">
        <f>IF('Données projet'!$A$192&gt;35,EJ125+EI126-ER125,IF(A126&lt;'Données projet'!$A$192,$EG$205^A126,IF(A126='Données projet'!$A$192,'Données projet'!$B$192,EJ125+EI126-ER125)))</f>
        <v>183.39999999999984</v>
      </c>
      <c r="EK126" s="17">
        <f>EJ126*VLOOKUP('Données projet'!$B$15,Paramètres!$A$1:$I$89,3,0)*VLOOKUP('Données projet'!$B$15,Paramètres!$A$1:$I$89,5,0)</f>
        <v>197.41175999999982</v>
      </c>
      <c r="EL126" s="13">
        <f t="shared" si="99"/>
        <v>49.174920413945806</v>
      </c>
      <c r="EM126" s="20">
        <f t="shared" si="73"/>
        <v>429.47180172095523</v>
      </c>
      <c r="EN126" s="59">
        <f t="shared" si="74"/>
        <v>722.80513505428848</v>
      </c>
      <c r="EO126" s="59">
        <f ca="1">AVERAGE(OFFSET($EN$3,0,0,'Données projet'!$E$15+1,1))-AVERAGE(OFFSET($H$3,0,0,'Données projet'!$E$15+1,1))</f>
        <v>130.76477588601989</v>
      </c>
      <c r="EP126" s="59">
        <f t="shared" si="100"/>
        <v>94.034011511502172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36.70016194194698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36.70016194194698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-2.2737367544323206E-13</v>
      </c>
      <c r="FF126" s="17">
        <f>FE126*VLOOKUP('Données projet'!$B$16,Paramètres!$A$1:$I$89,3,0)*VLOOKUP('Données projet'!$B$16,Paramètres!$A$1:$I$89,5,0)</f>
        <v>-1.0345502232667058E-13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279.43442619866738</v>
      </c>
      <c r="FK126" s="59">
        <f t="shared" si="102"/>
        <v>355.95192241448217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60.489809094969814</v>
      </c>
      <c r="FR126" s="21">
        <f>EXP(-LN(2)/25)*FR125+(1-EXP(-LN(2)/25))/(LN(2)/25)*Calculateur!FM126*Calculateur!FO126*VLOOKUP('Données projet'!$B$16,Paramètres!$A$1:$I$89,3,0)*0.475*44/12</f>
        <v>9.1422751753241354</v>
      </c>
      <c r="FS126" s="21">
        <f>EXP(-LN(2)/2)*FS125+(1-EXP(-LN(2)/2))/(LN(2)/2)*FM126*FP126*VLOOKUP('Données projet'!$B$16,Paramètres!$A$1:$I$89,3,0)*0.475*44/12</f>
        <v>1.5094680638908784E-8</v>
      </c>
      <c r="FT126" s="22">
        <f t="shared" si="78"/>
        <v>69.632084285388629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-6.7984728957526396E-14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227.89848316900191</v>
      </c>
      <c r="T127" s="59">
        <f t="shared" si="88"/>
        <v>239.85955661394541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40.347653660045033</v>
      </c>
      <c r="AA127" s="21">
        <f>EXP(-LN(2)/25)*AA126+(1-EXP(-LN(2)/25))/(LN(2)/25)*Calculateur!V127*Calculateur!X127*VLOOKUP('Données projet'!$B$9,Paramètres!$A$1:$I$89,3,0)*0.475*44/12</f>
        <v>5.8572446412697916</v>
      </c>
      <c r="AB127" s="21">
        <f>EXP(-LN(2)/2)*AB126+(1-EXP(-LN(2)/2))/(LN(2)/2)*V127*Y127*VLOOKUP('Données projet'!$B$9,Paramètres!$A$1:$I$89,3,0)*0.475*44/12</f>
        <v>1.7070239562501461E-8</v>
      </c>
      <c r="AC127" s="22">
        <f t="shared" si="57"/>
        <v>46.204898318385069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6.083333333333333</v>
      </c>
      <c r="AI127" s="13">
        <f>IF('Données projet'!$A$62&gt;35,AI126+AH127-AQ126,IF(A127&lt;'Données projet'!$A$62,$AF$205^A127,IF(A127='Données projet'!$A$62,'Données projet'!$B$62,AI126+AH127-AQ126)))</f>
        <v>306.58333333333337</v>
      </c>
      <c r="AJ127" s="13">
        <f>AI127*VLOOKUP('Données projet'!$B$10,Paramètres!$A$1:$I$89,3,0)*VLOOKUP('Données projet'!$B$10,Paramètres!$A$1:$I$89,5,0)</f>
        <v>277.39660000000003</v>
      </c>
      <c r="AK127" s="13">
        <f t="shared" si="89"/>
        <v>66.416536868837255</v>
      </c>
      <c r="AL127" s="20">
        <f t="shared" si="58"/>
        <v>598.80788004655824</v>
      </c>
      <c r="AM127" s="59">
        <f t="shared" si="59"/>
        <v>892.1412133798915</v>
      </c>
      <c r="AN127" s="59">
        <f ca="1">AVERAGE(OFFSET($AM$3,0,0,'Données projet'!$E$10+1,1))-AVERAGE(OFFSET($H$3,0,0,'Données projet'!$E$10+1,1))</f>
        <v>215.7418266360167</v>
      </c>
      <c r="AO127" s="59">
        <f t="shared" si="90"/>
        <v>155.78420008229949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60.993583176721742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60.993583176721742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4.583333333333333</v>
      </c>
      <c r="BD127" s="12">
        <f>IF('Données projet'!$A$88&gt;35,BD126+BC127-BL126,IF(A127&lt;'Données projet'!$A$88,$BA$205^A127,IF(A127='Données projet'!$A$88,'Données projet'!$B$88,BD126+BC127-BL126)))</f>
        <v>233.83333333333346</v>
      </c>
      <c r="BE127" s="13">
        <f>BD127*VLOOKUP('Données projet'!$B$11,Paramètres!$A$1:$I$89,3,0)*VLOOKUP('Données projet'!$B$11,Paramètres!$A$1:$I$89,5,0)</f>
        <v>237.10700000000014</v>
      </c>
      <c r="BF127" s="13">
        <f t="shared" si="91"/>
        <v>57.816648791392161</v>
      </c>
      <c r="BG127" s="20">
        <f t="shared" si="61"/>
        <v>513.65868831167484</v>
      </c>
      <c r="BH127" s="59">
        <f t="shared" si="62"/>
        <v>806.99202164500821</v>
      </c>
      <c r="BI127" s="59">
        <f ca="1">AVERAGE(OFFSET($BH$3,0,0,'Données projet'!$E$11+1,1))-AVERAGE(OFFSET($H$3,0,0,'Données projet'!$E$11+1,1))</f>
        <v>179.53921263314447</v>
      </c>
      <c r="BJ127" s="59">
        <f t="shared" si="92"/>
        <v>120.81513023281337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42.368335504076128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42.368335504076128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500.00000000000045</v>
      </c>
      <c r="BZ127" s="13">
        <f>BY127*VLOOKUP('Données projet'!$B$12,Paramètres!$A$1:$I$89,3,0)*VLOOKUP('Données projet'!$B$12,Paramètres!$A$1:$I$89,5,0)</f>
        <v>234.00000000000023</v>
      </c>
      <c r="CA127" s="13">
        <f t="shared" si="93"/>
        <v>57.146705242557189</v>
      </c>
      <c r="CB127" s="20">
        <f t="shared" si="64"/>
        <v>507.08051163078744</v>
      </c>
      <c r="CC127" s="59">
        <f t="shared" si="65"/>
        <v>800.4138449641207</v>
      </c>
      <c r="CD127" s="59">
        <f ca="1">AVERAGE(OFFSET($CC$3,0,0,'Données projet'!$E$12+1,1))-AVERAGE(OFFSET($H$3,0,0,'Données projet'!$E$12+1,1))</f>
        <v>310.06530483941287</v>
      </c>
      <c r="CE127" s="59">
        <f t="shared" si="94"/>
        <v>170.13425794309376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70.604109622799015</v>
      </c>
      <c r="CL127" s="21">
        <f>EXP(-LN(2)/25)*CL126+(1-EXP(-LN(2)/25))/(LN(2)/25)*Calculateur!CG127*Calculateur!CI127*VLOOKUP('Données projet'!$B$12,Paramètres!$A$1:$I$89,3,0)*0.475*44/12</f>
        <v>12.367751295719852</v>
      </c>
      <c r="CM127" s="21">
        <f>EXP(-LN(2)/2)*CM126+(1-EXP(-LN(2)/2))/(LN(2)/2)*CG127*CJ127*VLOOKUP('Données projet'!$B$12,Paramètres!$A$1:$I$89,3,0)*0.475*44/12</f>
        <v>1.7957262000069672E-3</v>
      </c>
      <c r="CN127" s="22">
        <f t="shared" si="66"/>
        <v>82.973656644718872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168.08890945052406</v>
      </c>
      <c r="CZ127" s="59">
        <f t="shared" si="96"/>
        <v>182.52462557642343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31.926278109533257</v>
      </c>
      <c r="DG127" s="21">
        <f>EXP(-LN(2)/25)*DG126+(1-EXP(-LN(2)/25))/(LN(2)/25)*Calculateur!DB127*Calculateur!DD127*VLOOKUP('Données projet'!$B$13,Paramètres!$A$1:$I$89,3,0)*0.475*44/12</f>
        <v>4.841516986860734</v>
      </c>
      <c r="DH127" s="21">
        <f>EXP(-LN(2)/2)*DH126+(1-EXP(-LN(2)/2))/(LN(2)/2)*DB127*DE127*VLOOKUP('Données projet'!$B$13,Paramètres!$A$1:$I$89,3,0)*0.475*44/12</f>
        <v>1.3198573162208316E-8</v>
      </c>
      <c r="DI127" s="22">
        <f t="shared" si="69"/>
        <v>36.767795109592562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-2.2737367544323206E-13</v>
      </c>
      <c r="DP127" s="17">
        <f>DO127*VLOOKUP('Données projet'!$B$14,Paramètres!$A$1:$I$89,3,0)*VLOOKUP('Données projet'!$B$14,Paramètres!$A$1:$I$89,5,0)</f>
        <v>-1.2710188457276673E-13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355.23615781077405</v>
      </c>
      <c r="DU127" s="59">
        <f t="shared" si="98"/>
        <v>448.84541017639367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72.858758738616928</v>
      </c>
      <c r="EB127" s="21">
        <f>EXP(-LN(2)/25)*EB126+(1-EXP(-LN(2)/25))/(LN(2)/25)*Calculateur!DW127*Calculateur!DY127*VLOOKUP('Données projet'!$B$14,Paramètres!$A$1:$I$89,3,0)*0.475*44/12</f>
        <v>10.924800135285485</v>
      </c>
      <c r="EC127" s="21">
        <f>EXP(-LN(2)/2)*EC126+(1-EXP(-LN(2)/2))/(LN(2)/2)*DW127*DZ127*VLOOKUP('Données projet'!$B$14,Paramètres!$A$1:$I$89,3,0)*0.475*44/12</f>
        <v>1.311321984867316E-8</v>
      </c>
      <c r="ED127" s="22">
        <f t="shared" si="72"/>
        <v>83.78355888701563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3.6666666666666665</v>
      </c>
      <c r="EJ127" s="12">
        <f>IF('Données projet'!$A$192&gt;35,EJ126+EI127-ER126,IF(A127&lt;'Données projet'!$A$192,$EG$205^A127,IF(A127='Données projet'!$A$192,'Données projet'!$B$192,EJ126+EI127-ER126)))</f>
        <v>187.06666666666649</v>
      </c>
      <c r="EK127" s="17">
        <f>EJ127*VLOOKUP('Données projet'!$B$15,Paramètres!$A$1:$I$89,3,0)*VLOOKUP('Données projet'!$B$15,Paramètres!$A$1:$I$89,5,0)</f>
        <v>201.35855999999981</v>
      </c>
      <c r="EL127" s="13">
        <f t="shared" si="99"/>
        <v>50.042620354075638</v>
      </c>
      <c r="EM127" s="20">
        <f t="shared" si="73"/>
        <v>437.85705578334802</v>
      </c>
      <c r="EN127" s="59">
        <f t="shared" si="74"/>
        <v>731.19038911668133</v>
      </c>
      <c r="EO127" s="59">
        <f ca="1">AVERAGE(OFFSET($EN$3,0,0,'Données projet'!$E$15+1,1))-AVERAGE(OFFSET($H$3,0,0,'Données projet'!$E$15+1,1))</f>
        <v>130.76477588601989</v>
      </c>
      <c r="EP127" s="59">
        <f t="shared" si="100"/>
        <v>94.034011511502172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35.980494151153863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35.980494151153863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-2.2737367544323206E-13</v>
      </c>
      <c r="FF127" s="17">
        <f>FE127*VLOOKUP('Données projet'!$B$16,Paramètres!$A$1:$I$89,3,0)*VLOOKUP('Données projet'!$B$16,Paramètres!$A$1:$I$89,5,0)</f>
        <v>-1.0345502232667058E-13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279.43442619866738</v>
      </c>
      <c r="FK127" s="59">
        <f t="shared" si="102"/>
        <v>355.95192241448217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59.30364083375791</v>
      </c>
      <c r="FR127" s="21">
        <f>EXP(-LN(2)/25)*FR126+(1-EXP(-LN(2)/25))/(LN(2)/25)*Calculateur!FM127*Calculateur!FO127*VLOOKUP('Données projet'!$B$16,Paramètres!$A$1:$I$89,3,0)*0.475*44/12</f>
        <v>8.8922791798835412</v>
      </c>
      <c r="FS127" s="21">
        <f>EXP(-LN(2)/2)*FS126+(1-EXP(-LN(2)/2))/(LN(2)/2)*FM127*FP127*VLOOKUP('Données projet'!$B$16,Paramètres!$A$1:$I$89,3,0)*0.475*44/12</f>
        <v>1.0673551039617689E-8</v>
      </c>
      <c r="FT127" s="22">
        <f t="shared" si="78"/>
        <v>68.195920024315001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-6.7984728957526396E-14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227.89848316900191</v>
      </c>
      <c r="T128" s="59">
        <f t="shared" si="88"/>
        <v>239.85955661394541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39.55646078141028</v>
      </c>
      <c r="AA128" s="21">
        <f>EXP(-LN(2)/25)*AA127+(1-EXP(-LN(2)/25))/(LN(2)/25)*Calculateur!V128*Calculateur!X128*VLOOKUP('Données projet'!$B$9,Paramètres!$A$1:$I$89,3,0)*0.475*44/12</f>
        <v>5.6970779785351606</v>
      </c>
      <c r="AB128" s="21">
        <f>EXP(-LN(2)/2)*AB127+(1-EXP(-LN(2)/2))/(LN(2)/2)*V128*Y128*VLOOKUP('Données projet'!$B$9,Paramètres!$A$1:$I$89,3,0)*0.475*44/12</f>
        <v>1.2070482151123668E-8</v>
      </c>
      <c r="AC128" s="22">
        <f t="shared" si="57"/>
        <v>45.253538772015922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6.083333333333333</v>
      </c>
      <c r="AI128" s="13">
        <f>IF('Données projet'!$A$62&gt;35,AI127+AH128-AQ127,IF(A128&lt;'Données projet'!$A$62,$AF$205^A128,IF(A128='Données projet'!$A$62,'Données projet'!$B$62,AI127+AH128-AQ127)))</f>
        <v>312.66666666666669</v>
      </c>
      <c r="AJ128" s="13">
        <f>AI128*VLOOKUP('Données projet'!$B$10,Paramètres!$A$1:$I$89,3,0)*VLOOKUP('Données projet'!$B$10,Paramètres!$A$1:$I$89,5,0)</f>
        <v>282.9008</v>
      </c>
      <c r="AK128" s="13">
        <f t="shared" si="89"/>
        <v>67.579663103386792</v>
      </c>
      <c r="AL128" s="20">
        <f t="shared" si="58"/>
        <v>610.4201399050653</v>
      </c>
      <c r="AM128" s="59">
        <f t="shared" si="59"/>
        <v>903.75347323839856</v>
      </c>
      <c r="AN128" s="59">
        <f ca="1">AVERAGE(OFFSET($AM$3,0,0,'Données projet'!$E$10+1,1))-AVERAGE(OFFSET($H$3,0,0,'Données projet'!$E$10+1,1))</f>
        <v>215.7418266360167</v>
      </c>
      <c r="AO128" s="59">
        <f t="shared" si="90"/>
        <v>155.78420008229949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59.797536213038534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59.797536213038534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4.583333333333333</v>
      </c>
      <c r="BD128" s="12">
        <f>IF('Données projet'!$A$88&gt;35,BD127+BC128-BL127,IF(A128&lt;'Données projet'!$A$88,$BA$205^A128,IF(A128='Données projet'!$A$88,'Données projet'!$B$88,BD127+BC128-BL127)))</f>
        <v>238.4166666666668</v>
      </c>
      <c r="BE128" s="13">
        <f>BD128*VLOOKUP('Données projet'!$B$11,Paramètres!$A$1:$I$89,3,0)*VLOOKUP('Données projet'!$B$11,Paramètres!$A$1:$I$89,5,0)</f>
        <v>241.75450000000015</v>
      </c>
      <c r="BF128" s="13">
        <f t="shared" si="91"/>
        <v>58.816859530394375</v>
      </c>
      <c r="BG128" s="20">
        <f t="shared" si="61"/>
        <v>523.49511784877052</v>
      </c>
      <c r="BH128" s="59">
        <f t="shared" si="62"/>
        <v>816.82845118210389</v>
      </c>
      <c r="BI128" s="59">
        <f ca="1">AVERAGE(OFFSET($BH$3,0,0,'Données projet'!$E$11+1,1))-AVERAGE(OFFSET($H$3,0,0,'Données projet'!$E$11+1,1))</f>
        <v>179.53921263314447</v>
      </c>
      <c r="BJ128" s="59">
        <f t="shared" si="92"/>
        <v>120.81513023281337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41.537518286974155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41.537518286974155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500.00000000000045</v>
      </c>
      <c r="BZ128" s="13">
        <f>BY128*VLOOKUP('Données projet'!$B$12,Paramètres!$A$1:$I$89,3,0)*VLOOKUP('Données projet'!$B$12,Paramètres!$A$1:$I$89,5,0)</f>
        <v>234.00000000000023</v>
      </c>
      <c r="CA128" s="13">
        <f t="shared" si="93"/>
        <v>57.146705242557189</v>
      </c>
      <c r="CB128" s="20">
        <f t="shared" si="64"/>
        <v>507.08051163078744</v>
      </c>
      <c r="CC128" s="59">
        <f t="shared" si="65"/>
        <v>800.4138449641207</v>
      </c>
      <c r="CD128" s="59">
        <f ca="1">AVERAGE(OFFSET($CC$3,0,0,'Données projet'!$E$12+1,1))-AVERAGE(OFFSET($H$3,0,0,'Données projet'!$E$12+1,1))</f>
        <v>310.06530483941287</v>
      </c>
      <c r="CE128" s="59">
        <f t="shared" si="94"/>
        <v>170.13425794309376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69.21960609735055</v>
      </c>
      <c r="CL128" s="21">
        <f>EXP(-LN(2)/25)*CL127+(1-EXP(-LN(2)/25))/(LN(2)/25)*Calculateur!CG128*Calculateur!CI128*VLOOKUP('Données projet'!$B$12,Paramètres!$A$1:$I$89,3,0)*0.475*44/12</f>
        <v>12.029554486146619</v>
      </c>
      <c r="CM128" s="21">
        <f>EXP(-LN(2)/2)*CM127+(1-EXP(-LN(2)/2))/(LN(2)/2)*CG128*CJ128*VLOOKUP('Données projet'!$B$12,Paramètres!$A$1:$I$89,3,0)*0.475*44/12</f>
        <v>1.2697701731792771E-3</v>
      </c>
      <c r="CN128" s="22">
        <f t="shared" si="66"/>
        <v>81.250430353670353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168.08890945052406</v>
      </c>
      <c r="CZ128" s="59">
        <f t="shared" si="96"/>
        <v>182.52462557642343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31.300223268912148</v>
      </c>
      <c r="DG128" s="21">
        <f>EXP(-LN(2)/25)*DG127+(1-EXP(-LN(2)/25))/(LN(2)/25)*Calculateur!DB128*Calculateur!DD128*VLOOKUP('Données projet'!$B$13,Paramètres!$A$1:$I$89,3,0)*0.475*44/12</f>
        <v>4.7091254502507143</v>
      </c>
      <c r="DH128" s="21">
        <f>EXP(-LN(2)/2)*DH127+(1-EXP(-LN(2)/2))/(LN(2)/2)*DB128*DE128*VLOOKUP('Données projet'!$B$13,Paramètres!$A$1:$I$89,3,0)*0.475*44/12</f>
        <v>9.3328005849842739E-9</v>
      </c>
      <c r="DI128" s="22">
        <f t="shared" si="69"/>
        <v>36.009348728495667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-2.2737367544323206E-13</v>
      </c>
      <c r="DP128" s="17">
        <f>DO128*VLOOKUP('Données projet'!$B$14,Paramètres!$A$1:$I$89,3,0)*VLOOKUP('Données projet'!$B$14,Paramètres!$A$1:$I$89,5,0)</f>
        <v>-1.2710188457276673E-13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355.23615781077405</v>
      </c>
      <c r="DU128" s="59">
        <f t="shared" si="98"/>
        <v>448.84541017639367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71.430042919207452</v>
      </c>
      <c r="EB128" s="21">
        <f>EXP(-LN(2)/25)*EB127+(1-EXP(-LN(2)/25))/(LN(2)/25)*Calculateur!DW128*Calculateur!DY128*VLOOKUP('Données projet'!$B$14,Paramètres!$A$1:$I$89,3,0)*0.475*44/12</f>
        <v>10.626060901075833</v>
      </c>
      <c r="EC128" s="21">
        <f>EXP(-LN(2)/2)*EC127+(1-EXP(-LN(2)/2))/(LN(2)/2)*DW128*DZ128*VLOOKUP('Données projet'!$B$14,Paramètres!$A$1:$I$89,3,0)*0.475*44/12</f>
        <v>9.2724466781868241E-9</v>
      </c>
      <c r="ED128" s="22">
        <f t="shared" si="72"/>
        <v>82.056103829555724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3.6666666666666665</v>
      </c>
      <c r="EJ128" s="12">
        <f>IF('Données projet'!$A$192&gt;35,EJ127+EI128-ER127,IF(A128&lt;'Données projet'!$A$192,$EG$205^A128,IF(A128='Données projet'!$A$192,'Données projet'!$B$192,EJ127+EI128-ER127)))</f>
        <v>190.73333333333315</v>
      </c>
      <c r="EK128" s="17">
        <f>EJ128*VLOOKUP('Données projet'!$B$15,Paramètres!$A$1:$I$89,3,0)*VLOOKUP('Données projet'!$B$15,Paramètres!$A$1:$I$89,5,0)</f>
        <v>205.30535999999978</v>
      </c>
      <c r="EL128" s="13">
        <f t="shared" si="99"/>
        <v>50.908342725265825</v>
      </c>
      <c r="EM128" s="20">
        <f t="shared" si="73"/>
        <v>446.23886557983752</v>
      </c>
      <c r="EN128" s="59">
        <f t="shared" si="74"/>
        <v>739.57219891317084</v>
      </c>
      <c r="EO128" s="59">
        <f ca="1">AVERAGE(OFFSET($EN$3,0,0,'Données projet'!$E$15+1,1))-AVERAGE(OFFSET($H$3,0,0,'Données projet'!$E$15+1,1))</f>
        <v>130.76477588601989</v>
      </c>
      <c r="EP128" s="59">
        <f t="shared" si="100"/>
        <v>94.034011511502172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35.27493860678419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35.27493860678419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-2.2737367544323206E-13</v>
      </c>
      <c r="FF128" s="17">
        <f>FE128*VLOOKUP('Données projet'!$B$16,Paramètres!$A$1:$I$89,3,0)*VLOOKUP('Données projet'!$B$16,Paramètres!$A$1:$I$89,5,0)</f>
        <v>-1.0345502232667058E-13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279.43442619866738</v>
      </c>
      <c r="FK128" s="59">
        <f t="shared" si="102"/>
        <v>355.95192241448217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58.140732608657174</v>
      </c>
      <c r="FR128" s="21">
        <f>EXP(-LN(2)/25)*FR127+(1-EXP(-LN(2)/25))/(LN(2)/25)*Calculateur!FM128*Calculateur!FO128*VLOOKUP('Données projet'!$B$16,Paramètres!$A$1:$I$89,3,0)*0.475*44/12</f>
        <v>8.6491193380849865</v>
      </c>
      <c r="FS128" s="21">
        <f>EXP(-LN(2)/2)*FS127+(1-EXP(-LN(2)/2))/(LN(2)/2)*FM128*FP128*VLOOKUP('Données projet'!$B$16,Paramètres!$A$1:$I$89,3,0)*0.475*44/12</f>
        <v>7.547340319454392E-9</v>
      </c>
      <c r="FT128" s="22">
        <f t="shared" si="78"/>
        <v>66.789851954289503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-6.7984728957526396E-14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227.89848316900191</v>
      </c>
      <c r="T129" s="59">
        <f t="shared" si="88"/>
        <v>239.85955661394541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38.780782712545552</v>
      </c>
      <c r="AA129" s="21">
        <f>EXP(-LN(2)/25)*AA128+(1-EXP(-LN(2)/25))/(LN(2)/25)*Calculateur!V129*Calculateur!X129*VLOOKUP('Données projet'!$B$9,Paramètres!$A$1:$I$89,3,0)*0.475*44/12</f>
        <v>5.5412910816158067</v>
      </c>
      <c r="AB129" s="21">
        <f>EXP(-LN(2)/2)*AB128+(1-EXP(-LN(2)/2))/(LN(2)/2)*V129*Y129*VLOOKUP('Données projet'!$B$9,Paramètres!$A$1:$I$89,3,0)*0.475*44/12</f>
        <v>8.5351197812507306E-9</v>
      </c>
      <c r="AC129" s="22">
        <f t="shared" si="57"/>
        <v>44.322073802696472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6.083333333333333</v>
      </c>
      <c r="AI129" s="13">
        <f>IF('Données projet'!$A$62&gt;35,AI128+AH129-AQ128,IF(A129&lt;'Données projet'!$A$62,$AF$205^A129,IF(A129='Données projet'!$A$62,'Données projet'!$B$62,AI128+AH129-AQ128)))</f>
        <v>318.75</v>
      </c>
      <c r="AJ129" s="13">
        <f>AI129*VLOOKUP('Données projet'!$B$10,Paramètres!$A$1:$I$89,3,0)*VLOOKUP('Données projet'!$B$10,Paramètres!$A$1:$I$89,5,0)</f>
        <v>288.40500000000003</v>
      </c>
      <c r="AK129" s="13">
        <f t="shared" si="89"/>
        <v>68.740157996864042</v>
      </c>
      <c r="AL129" s="20">
        <f t="shared" si="58"/>
        <v>622.02781684453828</v>
      </c>
      <c r="AM129" s="59">
        <f t="shared" si="59"/>
        <v>915.36115017787165</v>
      </c>
      <c r="AN129" s="59">
        <f ca="1">AVERAGE(OFFSET($AM$3,0,0,'Données projet'!$E$10+1,1))-AVERAGE(OFFSET($H$3,0,0,'Données projet'!$E$10+1,1))</f>
        <v>215.7418266360167</v>
      </c>
      <c r="AO129" s="59">
        <f t="shared" si="90"/>
        <v>155.78420008229949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58.624943000796542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58.624943000796542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>
        <f>VLOOKUP(A129,'Données projet'!$A$87:$I$107,2,0)</f>
        <v>243</v>
      </c>
      <c r="BB129" s="12">
        <f>VLOOKUP(A129,'Données projet'!$A$87:$I$107,9,0)</f>
        <v>4.583333333333333</v>
      </c>
      <c r="BC129" s="12">
        <f t="array" ref="BC129">INDEX(BB:BB,MIN(IF(ISNUMBER(BB129:BB325),ROW(BB129:BB325),"")))</f>
        <v>4.583333333333333</v>
      </c>
      <c r="BD129" s="12">
        <f>IF('Données projet'!$A$88&gt;35,BD128+BC129-BL128,IF(A129&lt;'Données projet'!$A$88,$BA$205^A129,IF(A129='Données projet'!$A$88,'Données projet'!$B$88,BD128+BC129-BL128)))</f>
        <v>243.00000000000014</v>
      </c>
      <c r="BE129" s="13">
        <f>BD129*VLOOKUP('Données projet'!$B$11,Paramètres!$A$1:$I$89,3,0)*VLOOKUP('Données projet'!$B$11,Paramètres!$A$1:$I$89,5,0)</f>
        <v>246.40200000000016</v>
      </c>
      <c r="BF129" s="13">
        <f t="shared" si="91"/>
        <v>59.814834475385524</v>
      </c>
      <c r="BG129" s="20">
        <f t="shared" si="61"/>
        <v>533.32765337796343</v>
      </c>
      <c r="BH129" s="59">
        <f t="shared" si="62"/>
        <v>826.6609867112968</v>
      </c>
      <c r="BI129" s="59">
        <f ca="1">AVERAGE(OFFSET($BH$3,0,0,'Données projet'!$E$11+1,1))-AVERAGE(OFFSET($H$3,0,0,'Données projet'!$E$11+1,1))</f>
        <v>179.53921263314447</v>
      </c>
      <c r="BJ129" s="59">
        <f t="shared" si="92"/>
        <v>120.81513023281337</v>
      </c>
      <c r="BK129" s="15">
        <f>IF(ISNA(VLOOKUP(A129,'Données projet'!$A$87:$I$107,3,0)),0,VLOOKUP(A129,'Données projet'!$A$87:$I$107,3,0))</f>
        <v>10</v>
      </c>
      <c r="BL129" s="15">
        <f>IF(ISNA(VLOOKUP(A129,'Données projet'!$A$87:$I$107,4,0)),0,VLOOKUP(A129,'Données projet'!$A$87:$I$107,4,0))</f>
        <v>38</v>
      </c>
      <c r="BM129" s="16">
        <f>IF(ISNA(VLOOKUP(A129,'Données projet'!$A$87:$I$107,5,0)),0%,VLOOKUP(A129,'Données projet'!$A$87:$I$107,5,0)*VLOOKUP('Données projet'!$B$11,Paramètres!$A$1:$I$89,7,0))</f>
        <v>0.38700000000000001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57.207638953782414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57.207638953782414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500.00000000000045</v>
      </c>
      <c r="BZ129" s="13">
        <f>BY129*VLOOKUP('Données projet'!$B$12,Paramètres!$A$1:$I$89,3,0)*VLOOKUP('Données projet'!$B$12,Paramètres!$A$1:$I$89,5,0)</f>
        <v>234.00000000000023</v>
      </c>
      <c r="CA129" s="13">
        <f t="shared" si="93"/>
        <v>57.146705242557189</v>
      </c>
      <c r="CB129" s="20">
        <f t="shared" si="64"/>
        <v>507.08051163078744</v>
      </c>
      <c r="CC129" s="59">
        <f t="shared" si="65"/>
        <v>800.4138449641207</v>
      </c>
      <c r="CD129" s="59">
        <f ca="1">AVERAGE(OFFSET($CC$3,0,0,'Données projet'!$E$12+1,1))-AVERAGE(OFFSET($H$3,0,0,'Données projet'!$E$12+1,1))</f>
        <v>310.06530483941287</v>
      </c>
      <c r="CE129" s="59">
        <f t="shared" si="94"/>
        <v>170.13425794309376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67.862251841572373</v>
      </c>
      <c r="CL129" s="21">
        <f>EXP(-LN(2)/25)*CL128+(1-EXP(-LN(2)/25))/(LN(2)/25)*Calculateur!CG129*Calculateur!CI129*VLOOKUP('Données projet'!$B$12,Paramètres!$A$1:$I$89,3,0)*0.475*44/12</f>
        <v>11.700605686116162</v>
      </c>
      <c r="CM129" s="21">
        <f>EXP(-LN(2)/2)*CM128+(1-EXP(-LN(2)/2))/(LN(2)/2)*CG129*CJ129*VLOOKUP('Données projet'!$B$12,Paramètres!$A$1:$I$89,3,0)*0.475*44/12</f>
        <v>8.9786310000348362E-4</v>
      </c>
      <c r="CN129" s="22">
        <f t="shared" si="66"/>
        <v>79.563755390788543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168.08890945052406</v>
      </c>
      <c r="CZ129" s="59">
        <f t="shared" si="96"/>
        <v>182.52462557642343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30.686444981859871</v>
      </c>
      <c r="DG129" s="21">
        <f>EXP(-LN(2)/25)*DG128+(1-EXP(-LN(2)/25))/(LN(2)/25)*Calculateur!DB129*Calculateur!DD129*VLOOKUP('Données projet'!$B$13,Paramètres!$A$1:$I$89,3,0)*0.475*44/12</f>
        <v>4.580354167171464</v>
      </c>
      <c r="DH129" s="21">
        <f>EXP(-LN(2)/2)*DH128+(1-EXP(-LN(2)/2))/(LN(2)/2)*DB129*DE129*VLOOKUP('Données projet'!$B$13,Paramètres!$A$1:$I$89,3,0)*0.475*44/12</f>
        <v>6.5992865811041578E-9</v>
      </c>
      <c r="DI129" s="22">
        <f t="shared" si="69"/>
        <v>35.266799155630622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-2.2737367544323206E-13</v>
      </c>
      <c r="DP129" s="17">
        <f>DO129*VLOOKUP('Données projet'!$B$14,Paramètres!$A$1:$I$89,3,0)*VLOOKUP('Données projet'!$B$14,Paramètres!$A$1:$I$89,5,0)</f>
        <v>-1.2710188457276673E-13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355.23615781077405</v>
      </c>
      <c r="DU129" s="59">
        <f t="shared" si="98"/>
        <v>448.84541017639367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70.029343345585986</v>
      </c>
      <c r="EB129" s="21">
        <f>EXP(-LN(2)/25)*EB128+(1-EXP(-LN(2)/25))/(LN(2)/25)*Calculateur!DW129*Calculateur!DY129*VLOOKUP('Données projet'!$B$14,Paramètres!$A$1:$I$89,3,0)*0.475*44/12</f>
        <v>10.335490706935659</v>
      </c>
      <c r="EC129" s="21">
        <f>EXP(-LN(2)/2)*EC128+(1-EXP(-LN(2)/2))/(LN(2)/2)*DW129*DZ129*VLOOKUP('Données projet'!$B$14,Paramètres!$A$1:$I$89,3,0)*0.475*44/12</f>
        <v>6.5566099243365802E-9</v>
      </c>
      <c r="ED129" s="22">
        <f t="shared" si="72"/>
        <v>80.364834059078248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>
        <f>VLOOKUP(A129,'Données projet'!$A$191:$I$211,2,0)</f>
        <v>194.4</v>
      </c>
      <c r="EH129" s="12">
        <f>VLOOKUP(A129,'Données projet'!$A$191:$I$211,9,0)</f>
        <v>3.6666666666666665</v>
      </c>
      <c r="EI129" s="12">
        <f t="array" ref="EI129">INDEX(EH:EH,MIN(IF(ISNUMBER(EH129:EH325),ROW(EH129:EH325),"")))</f>
        <v>3.6666666666666665</v>
      </c>
      <c r="EJ129" s="12">
        <f>IF('Données projet'!$A$192&gt;35,EJ128+EI129-ER128,IF(A129&lt;'Données projet'!$A$192,$EG$205^A129,IF(A129='Données projet'!$A$192,'Données projet'!$B$192,EJ128+EI129-ER128)))</f>
        <v>194.39999999999981</v>
      </c>
      <c r="EK129" s="17">
        <f>EJ129*VLOOKUP('Données projet'!$B$15,Paramètres!$A$1:$I$89,3,0)*VLOOKUP('Données projet'!$B$15,Paramètres!$A$1:$I$89,5,0)</f>
        <v>209.25215999999978</v>
      </c>
      <c r="EL129" s="13">
        <f t="shared" si="99"/>
        <v>51.772129927379012</v>
      </c>
      <c r="EM129" s="20">
        <f t="shared" si="73"/>
        <v>454.61730495685134</v>
      </c>
      <c r="EN129" s="59">
        <f t="shared" si="74"/>
        <v>747.95063829018466</v>
      </c>
      <c r="EO129" s="59">
        <f ca="1">AVERAGE(OFFSET($EN$3,0,0,'Données projet'!$E$15+1,1))-AVERAGE(OFFSET($H$3,0,0,'Données projet'!$E$15+1,1))</f>
        <v>130.76477588601989</v>
      </c>
      <c r="EP129" s="59">
        <f t="shared" si="100"/>
        <v>94.034011511502172</v>
      </c>
      <c r="EQ129" s="15">
        <f>IF(ISNA(VLOOKUP(A129,'Données projet'!$A$191:$I$211,3,0)),0,VLOOKUP(A129,'Données projet'!$A$191:$I$211,3,0))</f>
        <v>10</v>
      </c>
      <c r="ER129" s="15">
        <f>IF(ISNA(VLOOKUP(A129,'Données projet'!$A$191:$I$211,4,0)),0,VLOOKUP(A129,'Données projet'!$A$191:$I$211,4,0))</f>
        <v>30.400000000000002</v>
      </c>
      <c r="ES129" s="16">
        <f>IF(ISNA(VLOOKUP(A129,'Données projet'!$A$191:$I$211,5,0)),0%,VLOOKUP(A129,'Données projet'!$A$191:$I$211,5,0)*VLOOKUP('Données projet'!$B$15,Paramètres!$A$1:$I$89,7,0))</f>
        <v>0.38700000000000001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48.582487234596741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48.582487234596741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-2.2737367544323206E-13</v>
      </c>
      <c r="FF129" s="17">
        <f>FE129*VLOOKUP('Données projet'!$B$16,Paramètres!$A$1:$I$89,3,0)*VLOOKUP('Données projet'!$B$16,Paramètres!$A$1:$I$89,5,0)</f>
        <v>-1.0345502232667058E-13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279.43442619866738</v>
      </c>
      <c r="FK129" s="59">
        <f t="shared" si="102"/>
        <v>355.95192241448217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57.00062830454668</v>
      </c>
      <c r="FR129" s="21">
        <f>EXP(-LN(2)/25)*FR128+(1-EXP(-LN(2)/25))/(LN(2)/25)*Calculateur!FM129*Calculateur!FO129*VLOOKUP('Données projet'!$B$16,Paramètres!$A$1:$I$89,3,0)*0.475*44/12</f>
        <v>8.4126087149476341</v>
      </c>
      <c r="FS129" s="21">
        <f>EXP(-LN(2)/2)*FS128+(1-EXP(-LN(2)/2))/(LN(2)/2)*FM129*FP129*VLOOKUP('Données projet'!$B$16,Paramètres!$A$1:$I$89,3,0)*0.475*44/12</f>
        <v>5.3367755198088445E-9</v>
      </c>
      <c r="FT129" s="22">
        <f t="shared" si="78"/>
        <v>65.413237024831091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-6.7984728957526396E-14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227.89848316900191</v>
      </c>
      <c r="T130" s="59">
        <f t="shared" si="88"/>
        <v>239.85955661394541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38.020315217494357</v>
      </c>
      <c r="AA130" s="21">
        <f>EXP(-LN(2)/25)*AA129+(1-EXP(-LN(2)/25))/(LN(2)/25)*Calculateur!V130*Calculateur!X130*VLOOKUP('Données projet'!$B$9,Paramètres!$A$1:$I$89,3,0)*0.475*44/12</f>
        <v>5.3897641855851894</v>
      </c>
      <c r="AB130" s="21">
        <f>EXP(-LN(2)/2)*AB129+(1-EXP(-LN(2)/2))/(LN(2)/2)*V130*Y130*VLOOKUP('Données projet'!$B$9,Paramètres!$A$1:$I$89,3,0)*0.475*44/12</f>
        <v>6.0352410755618338E-9</v>
      </c>
      <c r="AC130" s="22">
        <f t="shared" si="57"/>
        <v>43.410079409114793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6.083333333333333</v>
      </c>
      <c r="AI130" s="13">
        <f>IF('Données projet'!$A$62&gt;35,AI129+AH130-AQ129,IF(A130&lt;'Données projet'!$A$62,$AF$205^A130,IF(A130='Données projet'!$A$62,'Données projet'!$B$62,AI129+AH130-AQ129)))</f>
        <v>324.83333333333331</v>
      </c>
      <c r="AJ130" s="13">
        <f>AI130*VLOOKUP('Données projet'!$B$10,Paramètres!$A$1:$I$89,3,0)*VLOOKUP('Données projet'!$B$10,Paramètres!$A$1:$I$89,5,0)</f>
        <v>293.90919999999994</v>
      </c>
      <c r="AK130" s="13">
        <f t="shared" si="89"/>
        <v>69.898077558457686</v>
      </c>
      <c r="AL130" s="20">
        <f t="shared" si="58"/>
        <v>633.63100841431367</v>
      </c>
      <c r="AM130" s="59">
        <f t="shared" si="59"/>
        <v>926.96434174764704</v>
      </c>
      <c r="AN130" s="59">
        <f ca="1">AVERAGE(OFFSET($AM$3,0,0,'Données projet'!$E$10+1,1))-AVERAGE(OFFSET($H$3,0,0,'Données projet'!$E$10+1,1))</f>
        <v>215.7418266360167</v>
      </c>
      <c r="AO130" s="59">
        <f t="shared" si="90"/>
        <v>155.78420008229949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57.475343626235372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57.475343626235372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4.75</v>
      </c>
      <c r="BD130" s="12">
        <f>IF('Données projet'!$A$88&gt;35,BD129+BC130-BL129,IF(A130&lt;'Données projet'!$A$88,$BA$205^A130,IF(A130='Données projet'!$A$88,'Données projet'!$B$88,BD129+BC130-BL129)))</f>
        <v>209.75000000000014</v>
      </c>
      <c r="BE130" s="13">
        <f>BD130*VLOOKUP('Données projet'!$B$11,Paramètres!$A$1:$I$89,3,0)*VLOOKUP('Données projet'!$B$11,Paramètres!$A$1:$I$89,5,0)</f>
        <v>212.68650000000014</v>
      </c>
      <c r="BF130" s="13">
        <f t="shared" si="91"/>
        <v>52.522218508546104</v>
      </c>
      <c r="BG130" s="20">
        <f t="shared" si="61"/>
        <v>461.90518473571797</v>
      </c>
      <c r="BH130" s="59">
        <f t="shared" si="62"/>
        <v>755.23851806905122</v>
      </c>
      <c r="BI130" s="59">
        <f ca="1">AVERAGE(OFFSET($BH$3,0,0,'Données projet'!$E$11+1,1))-AVERAGE(OFFSET($H$3,0,0,'Données projet'!$E$11+1,1))</f>
        <v>179.53921263314447</v>
      </c>
      <c r="BJ130" s="59">
        <f t="shared" si="92"/>
        <v>120.81513023281337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56.085832047113087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56.085832047113087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500.00000000000045</v>
      </c>
      <c r="BZ130" s="13">
        <f>BY130*VLOOKUP('Données projet'!$B$12,Paramètres!$A$1:$I$89,3,0)*VLOOKUP('Données projet'!$B$12,Paramètres!$A$1:$I$89,5,0)</f>
        <v>234.00000000000023</v>
      </c>
      <c r="CA130" s="13">
        <f t="shared" si="93"/>
        <v>57.146705242557189</v>
      </c>
      <c r="CB130" s="20">
        <f t="shared" si="64"/>
        <v>507.08051163078744</v>
      </c>
      <c r="CC130" s="59">
        <f t="shared" si="65"/>
        <v>800.4138449641207</v>
      </c>
      <c r="CD130" s="59">
        <f ca="1">AVERAGE(OFFSET($CC$3,0,0,'Données projet'!$E$12+1,1))-AVERAGE(OFFSET($H$3,0,0,'Données projet'!$E$12+1,1))</f>
        <v>310.06530483941287</v>
      </c>
      <c r="CE130" s="59">
        <f t="shared" si="94"/>
        <v>170.13425794309376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66.53151447484565</v>
      </c>
      <c r="CL130" s="21">
        <f>EXP(-LN(2)/25)*CL129+(1-EXP(-LN(2)/25))/(LN(2)/25)*Calculateur!CG130*Calculateur!CI130*VLOOKUP('Données projet'!$B$12,Paramètres!$A$1:$I$89,3,0)*0.475*44/12</f>
        <v>11.380652008321205</v>
      </c>
      <c r="CM130" s="21">
        <f>EXP(-LN(2)/2)*CM129+(1-EXP(-LN(2)/2))/(LN(2)/2)*CG130*CJ130*VLOOKUP('Données projet'!$B$12,Paramètres!$A$1:$I$89,3,0)*0.475*44/12</f>
        <v>6.3488508658963853E-4</v>
      </c>
      <c r="CN130" s="22">
        <f t="shared" si="66"/>
        <v>77.91280136825344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168.08890945052406</v>
      </c>
      <c r="CZ130" s="59">
        <f t="shared" si="96"/>
        <v>182.52462557642343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30.084702512648899</v>
      </c>
      <c r="DG130" s="21">
        <f>EXP(-LN(2)/25)*DG129+(1-EXP(-LN(2)/25))/(LN(2)/25)*Calculateur!DB130*Calculateur!DD130*VLOOKUP('Données projet'!$B$13,Paramètres!$A$1:$I$89,3,0)*0.475*44/12</f>
        <v>4.4551041415998034</v>
      </c>
      <c r="DH130" s="21">
        <f>EXP(-LN(2)/2)*DH129+(1-EXP(-LN(2)/2))/(LN(2)/2)*DB130*DE130*VLOOKUP('Données projet'!$B$13,Paramètres!$A$1:$I$89,3,0)*0.475*44/12</f>
        <v>4.666400292492137E-9</v>
      </c>
      <c r="DI130" s="22">
        <f t="shared" si="69"/>
        <v>34.539806658915097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-2.2737367544323206E-13</v>
      </c>
      <c r="DP130" s="17">
        <f>DO130*VLOOKUP('Données projet'!$B$14,Paramètres!$A$1:$I$89,3,0)*VLOOKUP('Données projet'!$B$14,Paramètres!$A$1:$I$89,5,0)</f>
        <v>-1.2710188457276673E-13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355.23615781077405</v>
      </c>
      <c r="DU130" s="59">
        <f t="shared" si="98"/>
        <v>448.84541017639367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68.656110636260863</v>
      </c>
      <c r="EB130" s="21">
        <f>EXP(-LN(2)/25)*EB129+(1-EXP(-LN(2)/25))/(LN(2)/25)*Calculateur!DW130*Calculateur!DY130*VLOOKUP('Données projet'!$B$14,Paramètres!$A$1:$I$89,3,0)*0.475*44/12</f>
        <v>10.052866170034669</v>
      </c>
      <c r="EC130" s="21">
        <f>EXP(-LN(2)/2)*EC129+(1-EXP(-LN(2)/2))/(LN(2)/2)*DW130*DZ130*VLOOKUP('Données projet'!$B$14,Paramètres!$A$1:$I$89,3,0)*0.475*44/12</f>
        <v>4.636223339093412E-9</v>
      </c>
      <c r="ED130" s="22">
        <f t="shared" si="72"/>
        <v>78.708976810931759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3.800000000000002</v>
      </c>
      <c r="EJ130" s="12">
        <f>IF('Données projet'!$A$192&gt;35,EJ129+EI130-ER129,IF(A130&lt;'Données projet'!$A$192,$EG$205^A130,IF(A130='Données projet'!$A$192,'Données projet'!$B$192,EJ129+EI130-ER129)))</f>
        <v>167.79999999999981</v>
      </c>
      <c r="EK130" s="17">
        <f>EJ130*VLOOKUP('Données projet'!$B$15,Paramètres!$A$1:$I$89,3,0)*VLOOKUP('Données projet'!$B$15,Paramètres!$A$1:$I$89,5,0)</f>
        <v>180.61991999999981</v>
      </c>
      <c r="EL130" s="13">
        <f t="shared" si="99"/>
        <v>45.460079335630581</v>
      </c>
      <c r="EM130" s="20">
        <f t="shared" si="73"/>
        <v>393.75599884288954</v>
      </c>
      <c r="EN130" s="59">
        <f t="shared" si="74"/>
        <v>687.0893321762228</v>
      </c>
      <c r="EO130" s="59">
        <f ca="1">AVERAGE(OFFSET($EN$3,0,0,'Données projet'!$E$15+1,1))-AVERAGE(OFFSET($H$3,0,0,'Données projet'!$E$15+1,1))</f>
        <v>130.76477588601989</v>
      </c>
      <c r="EP130" s="59">
        <f t="shared" si="100"/>
        <v>94.034011511502172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47.629814292317555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47.629814292317555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-2.2737367544323206E-13</v>
      </c>
      <c r="FF130" s="17">
        <f>FE130*VLOOKUP('Données projet'!$B$16,Paramètres!$A$1:$I$89,3,0)*VLOOKUP('Données projet'!$B$16,Paramètres!$A$1:$I$89,5,0)</f>
        <v>-1.0345502232667058E-13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279.43442619866738</v>
      </c>
      <c r="FK130" s="59">
        <f t="shared" si="102"/>
        <v>355.95192241448217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55.882880750444833</v>
      </c>
      <c r="FR130" s="21">
        <f>EXP(-LN(2)/25)*FR129+(1-EXP(-LN(2)/25))/(LN(2)/25)*Calculateur!FM130*Calculateur!FO130*VLOOKUP('Données projet'!$B$16,Paramètres!$A$1:$I$89,3,0)*0.475*44/12</f>
        <v>8.1825654872375253</v>
      </c>
      <c r="FS130" s="21">
        <f>EXP(-LN(2)/2)*FS129+(1-EXP(-LN(2)/2))/(LN(2)/2)*FM130*FP130*VLOOKUP('Données projet'!$B$16,Paramètres!$A$1:$I$89,3,0)*0.475*44/12</f>
        <v>3.773670159727196E-9</v>
      </c>
      <c r="FT130" s="22">
        <f t="shared" si="78"/>
        <v>64.065446241456016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-6.7984728957526396E-14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227.89848316900191</v>
      </c>
      <c r="T131" s="59">
        <f t="shared" si="88"/>
        <v>239.85955661394541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37.274760026181745</v>
      </c>
      <c r="AA131" s="21">
        <f>EXP(-LN(2)/25)*AA130+(1-EXP(-LN(2)/25))/(LN(2)/25)*Calculateur!V131*Calculateur!X131*VLOOKUP('Données projet'!$B$9,Paramètres!$A$1:$I$89,3,0)*0.475*44/12</f>
        <v>5.2423808004949821</v>
      </c>
      <c r="AB131" s="21">
        <f>EXP(-LN(2)/2)*AB130+(1-EXP(-LN(2)/2))/(LN(2)/2)*V131*Y131*VLOOKUP('Données projet'!$B$9,Paramètres!$A$1:$I$89,3,0)*0.475*44/12</f>
        <v>4.2675598906253653E-9</v>
      </c>
      <c r="AC131" s="22">
        <f t="shared" si="57"/>
        <v>42.517140830944292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6.083333333333333</v>
      </c>
      <c r="AI131" s="13">
        <f>IF('Données projet'!$A$62&gt;35,AI130+AH131-AQ130,IF(A131&lt;'Données projet'!$A$62,$AF$205^A131,IF(A131='Données projet'!$A$62,'Données projet'!$B$62,AI130+AH131-AQ130)))</f>
        <v>330.91666666666663</v>
      </c>
      <c r="AJ131" s="13">
        <f>AI131*VLOOKUP('Données projet'!$B$10,Paramètres!$A$1:$I$89,3,0)*VLOOKUP('Données projet'!$B$10,Paramètres!$A$1:$I$89,5,0)</f>
        <v>299.41339999999997</v>
      </c>
      <c r="AK131" s="13">
        <f t="shared" si="89"/>
        <v>71.053475579462102</v>
      </c>
      <c r="AL131" s="20">
        <f t="shared" si="58"/>
        <v>645.22980830089637</v>
      </c>
      <c r="AM131" s="59">
        <f t="shared" si="59"/>
        <v>938.56314163422962</v>
      </c>
      <c r="AN131" s="59">
        <f ca="1">AVERAGE(OFFSET($AM$3,0,0,'Données projet'!$E$10+1,1))-AVERAGE(OFFSET($H$3,0,0,'Données projet'!$E$10+1,1))</f>
        <v>215.7418266360167</v>
      </c>
      <c r="AO131" s="59">
        <f t="shared" si="90"/>
        <v>155.78420008229949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56.348287194222969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56.348287194222969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4.75</v>
      </c>
      <c r="BD131" s="12">
        <f>IF('Données projet'!$A$88&gt;35,BD130+BC131-BL130,IF(A131&lt;'Données projet'!$A$88,$BA$205^A131,IF(A131='Données projet'!$A$88,'Données projet'!$B$88,BD130+BC131-BL130)))</f>
        <v>214.50000000000014</v>
      </c>
      <c r="BE131" s="13">
        <f>BD131*VLOOKUP('Données projet'!$B$11,Paramètres!$A$1:$I$89,3,0)*VLOOKUP('Données projet'!$B$11,Paramètres!$A$1:$I$89,5,0)</f>
        <v>217.50300000000016</v>
      </c>
      <c r="BF131" s="13">
        <f t="shared" si="91"/>
        <v>53.571815086086424</v>
      </c>
      <c r="BG131" s="20">
        <f t="shared" si="61"/>
        <v>472.12196960826742</v>
      </c>
      <c r="BH131" s="59">
        <f t="shared" si="62"/>
        <v>765.45530294160073</v>
      </c>
      <c r="BI131" s="59">
        <f ca="1">AVERAGE(OFFSET($BH$3,0,0,'Données projet'!$E$11+1,1))-AVERAGE(OFFSET($H$3,0,0,'Données projet'!$E$11+1,1))</f>
        <v>179.53921263314447</v>
      </c>
      <c r="BJ131" s="59">
        <f t="shared" si="92"/>
        <v>120.81513023281337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54.986023089648889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54.986023089648889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500.00000000000045</v>
      </c>
      <c r="BZ131" s="13">
        <f>BY131*VLOOKUP('Données projet'!$B$12,Paramètres!$A$1:$I$89,3,0)*VLOOKUP('Données projet'!$B$12,Paramètres!$A$1:$I$89,5,0)</f>
        <v>234.00000000000023</v>
      </c>
      <c r="CA131" s="13">
        <f t="shared" si="93"/>
        <v>57.146705242557189</v>
      </c>
      <c r="CB131" s="20">
        <f t="shared" si="64"/>
        <v>507.08051163078744</v>
      </c>
      <c r="CC131" s="59">
        <f t="shared" si="65"/>
        <v>800.4138449641207</v>
      </c>
      <c r="CD131" s="59">
        <f ca="1">AVERAGE(OFFSET($CC$3,0,0,'Données projet'!$E$12+1,1))-AVERAGE(OFFSET($H$3,0,0,'Données projet'!$E$12+1,1))</f>
        <v>310.06530483941287</v>
      </c>
      <c r="CE131" s="59">
        <f t="shared" si="94"/>
        <v>170.13425794309376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65.226872056210794</v>
      </c>
      <c r="CL131" s="21">
        <f>EXP(-LN(2)/25)*CL130+(1-EXP(-LN(2)/25))/(LN(2)/25)*Calculateur!CG131*Calculateur!CI131*VLOOKUP('Données projet'!$B$12,Paramètres!$A$1:$I$89,3,0)*0.475*44/12</f>
        <v>11.069447480671183</v>
      </c>
      <c r="CM131" s="21">
        <f>EXP(-LN(2)/2)*CM130+(1-EXP(-LN(2)/2))/(LN(2)/2)*CG131*CJ131*VLOOKUP('Données projet'!$B$12,Paramètres!$A$1:$I$89,3,0)*0.475*44/12</f>
        <v>4.4893155000174181E-4</v>
      </c>
      <c r="CN131" s="22">
        <f t="shared" si="66"/>
        <v>76.296768468431978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168.08890945052406</v>
      </c>
      <c r="CZ131" s="59">
        <f t="shared" si="96"/>
        <v>182.52462557642343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29.49475984623249</v>
      </c>
      <c r="DG131" s="21">
        <f>EXP(-LN(2)/25)*DG130+(1-EXP(-LN(2)/25))/(LN(2)/25)*Calculateur!DB131*Calculateur!DD131*VLOOKUP('Données projet'!$B$13,Paramètres!$A$1:$I$89,3,0)*0.475*44/12</f>
        <v>4.3332790845640119</v>
      </c>
      <c r="DH131" s="21">
        <f>EXP(-LN(2)/2)*DH130+(1-EXP(-LN(2)/2))/(LN(2)/2)*DB131*DE131*VLOOKUP('Données projet'!$B$13,Paramètres!$A$1:$I$89,3,0)*0.475*44/12</f>
        <v>3.2996432905520789E-9</v>
      </c>
      <c r="DI131" s="22">
        <f t="shared" si="69"/>
        <v>33.828038934096149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-2.2737367544323206E-13</v>
      </c>
      <c r="DP131" s="17">
        <f>DO131*VLOOKUP('Données projet'!$B$14,Paramètres!$A$1:$I$89,3,0)*VLOOKUP('Données projet'!$B$14,Paramètres!$A$1:$I$89,5,0)</f>
        <v>-1.2710188457276673E-13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355.23615781077405</v>
      </c>
      <c r="DU131" s="59">
        <f t="shared" si="98"/>
        <v>448.84541017639367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67.309806182776356</v>
      </c>
      <c r="EB131" s="21">
        <f>EXP(-LN(2)/25)*EB130+(1-EXP(-LN(2)/25))/(LN(2)/25)*Calculateur!DW131*Calculateur!DY131*VLOOKUP('Données projet'!$B$14,Paramètres!$A$1:$I$89,3,0)*0.475*44/12</f>
        <v>9.7779700159578145</v>
      </c>
      <c r="EC131" s="21">
        <f>EXP(-LN(2)/2)*EC130+(1-EXP(-LN(2)/2))/(LN(2)/2)*DW131*DZ131*VLOOKUP('Données projet'!$B$14,Paramètres!$A$1:$I$89,3,0)*0.475*44/12</f>
        <v>3.2783049621682901E-9</v>
      </c>
      <c r="ED131" s="22">
        <f t="shared" si="72"/>
        <v>77.087776202012478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3.800000000000002</v>
      </c>
      <c r="EJ131" s="12">
        <f>IF('Données projet'!$A$192&gt;35,EJ130+EI131-ER130,IF(A131&lt;'Données projet'!$A$192,$EG$205^A131,IF(A131='Données projet'!$A$192,'Données projet'!$B$192,EJ130+EI131-ER130)))</f>
        <v>171.59999999999982</v>
      </c>
      <c r="EK131" s="17">
        <f>EJ131*VLOOKUP('Données projet'!$B$15,Paramètres!$A$1:$I$89,3,0)*VLOOKUP('Données projet'!$B$15,Paramètres!$A$1:$I$89,5,0)</f>
        <v>184.7102399999998</v>
      </c>
      <c r="EL131" s="13">
        <f t="shared" si="99"/>
        <v>46.368547123936651</v>
      </c>
      <c r="EM131" s="20">
        <f t="shared" si="73"/>
        <v>402.46222090752264</v>
      </c>
      <c r="EN131" s="59">
        <f t="shared" si="74"/>
        <v>695.79555424085595</v>
      </c>
      <c r="EO131" s="59">
        <f ca="1">AVERAGE(OFFSET($EN$3,0,0,'Données projet'!$E$15+1,1))-AVERAGE(OFFSET($H$3,0,0,'Données projet'!$E$15+1,1))</f>
        <v>130.76477588601989</v>
      </c>
      <c r="EP131" s="59">
        <f t="shared" si="100"/>
        <v>94.034011511502172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46.695822685363346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46.695822685363346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-2.2737367544323206E-13</v>
      </c>
      <c r="FF131" s="17">
        <f>FE131*VLOOKUP('Données projet'!$B$16,Paramètres!$A$1:$I$89,3,0)*VLOOKUP('Données projet'!$B$16,Paramètres!$A$1:$I$89,5,0)</f>
        <v>-1.0345502232667058E-13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279.43442619866738</v>
      </c>
      <c r="FK131" s="59">
        <f t="shared" si="102"/>
        <v>355.95192241448217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54.787051544120231</v>
      </c>
      <c r="FR131" s="21">
        <f>EXP(-LN(2)/25)*FR130+(1-EXP(-LN(2)/25))/(LN(2)/25)*Calculateur!FM131*Calculateur!FO131*VLOOKUP('Données projet'!$B$16,Paramètres!$A$1:$I$89,3,0)*0.475*44/12</f>
        <v>7.9588128036865973</v>
      </c>
      <c r="FS131" s="21">
        <f>EXP(-LN(2)/2)*FS130+(1-EXP(-LN(2)/2))/(LN(2)/2)*FM131*FP131*VLOOKUP('Données projet'!$B$16,Paramètres!$A$1:$I$89,3,0)*0.475*44/12</f>
        <v>2.6683877599044223E-9</v>
      </c>
      <c r="FT131" s="22">
        <f t="shared" si="78"/>
        <v>62.745864350475216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-6.7984728957526396E-14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227.89848316900191</v>
      </c>
      <c r="T132" s="59">
        <f t="shared" si="88"/>
        <v>239.85955661394541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36.543824717427007</v>
      </c>
      <c r="AA132" s="21">
        <f>EXP(-LN(2)/25)*AA131+(1-EXP(-LN(2)/25))/(LN(2)/25)*Calculateur!V132*Calculateur!X132*VLOOKUP('Données projet'!$B$9,Paramètres!$A$1:$I$89,3,0)*0.475*44/12</f>
        <v>5.0990276218206221</v>
      </c>
      <c r="AB132" s="21">
        <f>EXP(-LN(2)/2)*AB131+(1-EXP(-LN(2)/2))/(LN(2)/2)*V132*Y132*VLOOKUP('Données projet'!$B$9,Paramètres!$A$1:$I$89,3,0)*0.475*44/12</f>
        <v>3.0176205377809169E-9</v>
      </c>
      <c r="AC132" s="22">
        <f t="shared" ref="AC132:AC153" si="111">SUM(Z132:AB132)</f>
        <v>41.64285234226525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>
        <f>VLOOKUP(A132,'Données projet'!$A$61:$I$81,2,0)</f>
        <v>337</v>
      </c>
      <c r="AG132" s="12">
        <f>VLOOKUP(A132,'Données projet'!$A$61:$I$81,9,0)</f>
        <v>6.083333333333333</v>
      </c>
      <c r="AH132" s="12">
        <f t="array" ref="AH132">INDEX(AG:AG,MIN(IF(ISNUMBER(AG132:AG328),ROW(AG132:AG328),"")))</f>
        <v>6.083333333333333</v>
      </c>
      <c r="AI132" s="13">
        <f>IF('Données projet'!$A$62&gt;35,AI131+AH132-AQ131,IF(A132&lt;'Données projet'!$A$62,$AF$205^A132,IF(A132='Données projet'!$A$62,'Données projet'!$B$62,AI131+AH132-AQ131)))</f>
        <v>336.99999999999994</v>
      </c>
      <c r="AJ132" s="13">
        <f>AI132*VLOOKUP('Données projet'!$B$10,Paramètres!$A$1:$I$89,3,0)*VLOOKUP('Données projet'!$B$10,Paramètres!$A$1:$I$89,5,0)</f>
        <v>304.91759999999994</v>
      </c>
      <c r="AK132" s="13">
        <f t="shared" si="89"/>
        <v>72.20640376023259</v>
      </c>
      <c r="AL132" s="20">
        <f t="shared" ref="AL132:AL153" si="112">(AJ132+AK132)*0.475*44/12</f>
        <v>656.82430654907159</v>
      </c>
      <c r="AM132" s="59">
        <f t="shared" ref="AM132:AM195" si="113">AL132+(AD132+AE132)*44/12</f>
        <v>950.15763988240496</v>
      </c>
      <c r="AN132" s="59">
        <f ca="1">AVERAGE(OFFSET($AM$3,0,0,'Données projet'!$E$10+1,1))-AVERAGE(OFFSET($H$3,0,0,'Données projet'!$E$10+1,1))</f>
        <v>215.7418266360167</v>
      </c>
      <c r="AO132" s="59">
        <f t="shared" si="90"/>
        <v>155.78420008229949</v>
      </c>
      <c r="AP132" s="15" t="str">
        <f>IF(ISNA(VLOOKUP(A132,'Données projet'!$A$61:$I$81,3,0)),0,VLOOKUP(A132,'Données projet'!$A$61:$I$81,3,0))</f>
        <v>CR</v>
      </c>
      <c r="AQ132" s="15">
        <f>IF(ISNA(VLOOKUP(A132,'Données projet'!$A$61:$I$81,4,0)),0,VLOOKUP(A132,'Données projet'!$A$61:$I$81,4,0))</f>
        <v>337</v>
      </c>
      <c r="AR132" s="16">
        <f>IF(ISNA(VLOOKUP(A132,'Données projet'!$A$61:$I$81,5,0)),0%,VLOOKUP(A132,'Données projet'!$A$61:$I$81,5,0)*VLOOKUP('Données projet'!$B$10,Paramètres!$A$1:$I$89,7,0))</f>
        <v>0.38700000000000001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185.69227577573872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185.69227577573872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4.75</v>
      </c>
      <c r="BD132" s="12">
        <f>IF('Données projet'!$A$88&gt;35,BD131+BC132-BL131,IF(A132&lt;'Données projet'!$A$88,$BA$205^A132,IF(A132='Données projet'!$A$88,'Données projet'!$B$88,BD131+BC132-BL131)))</f>
        <v>219.25000000000014</v>
      </c>
      <c r="BE132" s="13">
        <f>BD132*VLOOKUP('Données projet'!$B$11,Paramètres!$A$1:$I$89,3,0)*VLOOKUP('Données projet'!$B$11,Paramètres!$A$1:$I$89,5,0)</f>
        <v>222.31950000000018</v>
      </c>
      <c r="BF132" s="13">
        <f t="shared" si="91"/>
        <v>54.618709450406712</v>
      </c>
      <c r="BG132" s="20">
        <f t="shared" ref="BG132:BG153" si="115">(BE132+BF132)*0.475*44/12</f>
        <v>482.33404812612531</v>
      </c>
      <c r="BH132" s="59">
        <f t="shared" ref="BH132:BH195" si="116">BG132+(AY132+AZ132)*44/12</f>
        <v>775.66738145945862</v>
      </c>
      <c r="BI132" s="59">
        <f ca="1">AVERAGE(OFFSET($BH$3,0,0,'Données projet'!$E$11+1,1))-AVERAGE(OFFSET($H$3,0,0,'Données projet'!$E$11+1,1))</f>
        <v>179.53921263314447</v>
      </c>
      <c r="BJ132" s="59">
        <f t="shared" si="92"/>
        <v>120.81513023281337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53.907780715023343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53.907780715023343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500.00000000000045</v>
      </c>
      <c r="BZ132" s="13">
        <f>BY132*VLOOKUP('Données projet'!$B$12,Paramètres!$A$1:$I$89,3,0)*VLOOKUP('Données projet'!$B$12,Paramètres!$A$1:$I$89,5,0)</f>
        <v>234.00000000000023</v>
      </c>
      <c r="CA132" s="13">
        <f t="shared" si="93"/>
        <v>57.146705242557189</v>
      </c>
      <c r="CB132" s="20">
        <f t="shared" ref="CB132:CB153" si="118">(BZ132+CA132)*0.475*44/12</f>
        <v>507.08051163078744</v>
      </c>
      <c r="CC132" s="59">
        <f t="shared" ref="CC132:CC195" si="119">CB132+(BT132+BU132)*44/12</f>
        <v>800.4138449641207</v>
      </c>
      <c r="CD132" s="59">
        <f ca="1">AVERAGE(OFFSET($CC$3,0,0,'Données projet'!$E$12+1,1))-AVERAGE(OFFSET($H$3,0,0,'Données projet'!$E$12+1,1))</f>
        <v>310.06530483941287</v>
      </c>
      <c r="CE132" s="59">
        <f t="shared" si="94"/>
        <v>170.13425794309376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63.947812879652062</v>
      </c>
      <c r="CL132" s="21">
        <f>EXP(-LN(2)/25)*CL131+(1-EXP(-LN(2)/25))/(LN(2)/25)*Calculateur!CG132*Calculateur!CI132*VLOOKUP('Données projet'!$B$12,Paramètres!$A$1:$I$89,3,0)*0.475*44/12</f>
        <v>10.766752857195286</v>
      </c>
      <c r="CM132" s="21">
        <f>EXP(-LN(2)/2)*CM131+(1-EXP(-LN(2)/2))/(LN(2)/2)*CG132*CJ132*VLOOKUP('Données projet'!$B$12,Paramètres!$A$1:$I$89,3,0)*0.475*44/12</f>
        <v>3.1744254329481926E-4</v>
      </c>
      <c r="CN132" s="22">
        <f t="shared" ref="CN132:CN153" si="120">SUM(CK132:CM132)</f>
        <v>74.71488317939064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168.08890945052406</v>
      </c>
      <c r="CZ132" s="59">
        <f t="shared" si="96"/>
        <v>182.52462557642343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28.91638559567501</v>
      </c>
      <c r="DG132" s="21">
        <f>EXP(-LN(2)/25)*DG131+(1-EXP(-LN(2)/25))/(LN(2)/25)*Calculateur!DB132*Calculateur!DD132*VLOOKUP('Données projet'!$B$13,Paramètres!$A$1:$I$89,3,0)*0.475*44/12</f>
        <v>4.2147853401193656</v>
      </c>
      <c r="DH132" s="21">
        <f>EXP(-LN(2)/2)*DH131+(1-EXP(-LN(2)/2))/(LN(2)/2)*DB132*DE132*VLOOKUP('Données projet'!$B$13,Paramètres!$A$1:$I$89,3,0)*0.475*44/12</f>
        <v>2.3332001462460685E-9</v>
      </c>
      <c r="DI132" s="22">
        <f t="shared" ref="DI132:DI153" si="123">SUM(DF132:DH132)</f>
        <v>33.131170938127575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-2.2737367544323206E-13</v>
      </c>
      <c r="DP132" s="17">
        <f>DO132*VLOOKUP('Données projet'!$B$14,Paramètres!$A$1:$I$89,3,0)*VLOOKUP('Données projet'!$B$14,Paramètres!$A$1:$I$89,5,0)</f>
        <v>-1.2710188457276673E-13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355.23615781077405</v>
      </c>
      <c r="DU132" s="59">
        <f t="shared" si="98"/>
        <v>448.84541017639367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65.989901938460051</v>
      </c>
      <c r="EB132" s="21">
        <f>EXP(-LN(2)/25)*EB131+(1-EXP(-LN(2)/25))/(LN(2)/25)*Calculateur!DW132*Calculateur!DY132*VLOOKUP('Données projet'!$B$14,Paramètres!$A$1:$I$89,3,0)*0.475*44/12</f>
        <v>9.5105909116703522</v>
      </c>
      <c r="EC132" s="21">
        <f>EXP(-LN(2)/2)*EC131+(1-EXP(-LN(2)/2))/(LN(2)/2)*DW132*DZ132*VLOOKUP('Données projet'!$B$14,Paramètres!$A$1:$I$89,3,0)*0.475*44/12</f>
        <v>2.318111669546706E-9</v>
      </c>
      <c r="ED132" s="22">
        <f t="shared" ref="ED132:ED153" si="126">SUM(EA132:EC132)</f>
        <v>75.500492852448517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3.800000000000002</v>
      </c>
      <c r="EJ132" s="12">
        <f>IF('Données projet'!$A$192&gt;35,EJ131+EI132-ER131,IF(A132&lt;'Données projet'!$A$192,$EG$205^A132,IF(A132='Données projet'!$A$192,'Données projet'!$B$192,EJ131+EI132-ER131)))</f>
        <v>175.39999999999984</v>
      </c>
      <c r="EK132" s="17">
        <f>EJ132*VLOOKUP('Données projet'!$B$15,Paramètres!$A$1:$I$89,3,0)*VLOOKUP('Données projet'!$B$15,Paramètres!$A$1:$I$89,5,0)</f>
        <v>188.80055999999982</v>
      </c>
      <c r="EL132" s="13">
        <f t="shared" si="99"/>
        <v>47.274676038698374</v>
      </c>
      <c r="EM132" s="20">
        <f t="shared" ref="EM132:EM153" si="127">(EK132+EL132)*0.475*44/12</f>
        <v>411.16436943406603</v>
      </c>
      <c r="EN132" s="59">
        <f t="shared" ref="EN132:EN195" si="128">EM132+(EE132+EF132)*44/12</f>
        <v>704.49770276739935</v>
      </c>
      <c r="EO132" s="59">
        <f ca="1">AVERAGE(OFFSET($EN$3,0,0,'Données projet'!$E$15+1,1))-AVERAGE(OFFSET($H$3,0,0,'Données projet'!$E$15+1,1))</f>
        <v>130.76477588601989</v>
      </c>
      <c r="EP132" s="59">
        <f t="shared" si="100"/>
        <v>94.034011511502172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45.780146084142878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45.780146084142878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-2.2737367544323206E-13</v>
      </c>
      <c r="FF132" s="17">
        <f>FE132*VLOOKUP('Données projet'!$B$16,Paramètres!$A$1:$I$89,3,0)*VLOOKUP('Données projet'!$B$16,Paramètres!$A$1:$I$89,5,0)</f>
        <v>-1.0345502232667058E-13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279.43442619866738</v>
      </c>
      <c r="FK132" s="59">
        <f t="shared" si="102"/>
        <v>355.95192241448217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53.712710880141842</v>
      </c>
      <c r="FR132" s="21">
        <f>EXP(-LN(2)/25)*FR131+(1-EXP(-LN(2)/25))/(LN(2)/25)*Calculateur!FM132*Calculateur!FO132*VLOOKUP('Données projet'!$B$16,Paramètres!$A$1:$I$89,3,0)*0.475*44/12</f>
        <v>7.741178649034012</v>
      </c>
      <c r="FS132" s="21">
        <f>EXP(-LN(2)/2)*FS131+(1-EXP(-LN(2)/2))/(LN(2)/2)*FM132*FP132*VLOOKUP('Données projet'!$B$16,Paramètres!$A$1:$I$89,3,0)*0.475*44/12</f>
        <v>1.886835079863598E-9</v>
      </c>
      <c r="FT132" s="22">
        <f t="shared" ref="FT132:FT153" si="132">SUM(FQ132:FS132)</f>
        <v>61.453889531062686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-6.7984728957526396E-14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227.89848316900191</v>
      </c>
      <c r="T133" s="59">
        <f t="shared" ref="T133:T196" si="142">$T$3</f>
        <v>239.85955661394541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35.82722260425043</v>
      </c>
      <c r="AA133" s="21">
        <f>EXP(-LN(2)/25)*AA132+(1-EXP(-LN(2)/25))/(LN(2)/25)*Calculateur!V133*Calculateur!X133*VLOOKUP('Données projet'!$B$9,Paramètres!$A$1:$I$89,3,0)*0.475*44/12</f>
        <v>4.9595944433557282</v>
      </c>
      <c r="AB133" s="21">
        <f>EXP(-LN(2)/2)*AB132+(1-EXP(-LN(2)/2))/(LN(2)/2)*V133*Y133*VLOOKUP('Données projet'!$B$9,Paramètres!$A$1:$I$89,3,0)*0.475*44/12</f>
        <v>2.1337799453126827E-9</v>
      </c>
      <c r="AC133" s="22">
        <f t="shared" si="111"/>
        <v>40.786817049739938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-5.6843418860808015E-14</v>
      </c>
      <c r="AJ133" s="13">
        <f>AI133*VLOOKUP('Données projet'!$B$10,Paramètres!$A$1:$I$89,3,0)*VLOOKUP('Données projet'!$B$10,Paramètres!$A$1:$I$89,5,0)</f>
        <v>-5.1431925385259088E-14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215.7418266360167</v>
      </c>
      <c r="AO133" s="59">
        <f t="shared" ref="AO133:AO196" si="144">$AO$3</f>
        <v>155.78420008229949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182.0509635088811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182.0509635088811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4.75</v>
      </c>
      <c r="BD133" s="12">
        <f>IF('Données projet'!$A$88&gt;35,BD132+BC133-BL132,IF(A133&lt;'Données projet'!$A$88,$BA$205^A133,IF(A133='Données projet'!$A$88,'Données projet'!$B$88,BD132+BC133-BL132)))</f>
        <v>224.00000000000014</v>
      </c>
      <c r="BE133" s="13">
        <f>BD133*VLOOKUP('Données projet'!$B$11,Paramètres!$A$1:$I$89,3,0)*VLOOKUP('Données projet'!$B$11,Paramètres!$A$1:$I$89,5,0)</f>
        <v>227.13600000000017</v>
      </c>
      <c r="BF133" s="13">
        <f t="shared" ref="BF133:BF153" si="145">EXP(-1.0587+0.8836*LN(BE133)+0.284)</f>
        <v>55.662966886685133</v>
      </c>
      <c r="BG133" s="20">
        <f t="shared" si="115"/>
        <v>492.54153399431021</v>
      </c>
      <c r="BH133" s="59">
        <f t="shared" si="116"/>
        <v>785.87486732764353</v>
      </c>
      <c r="BI133" s="59">
        <f ca="1">AVERAGE(OFFSET($BH$3,0,0,'Données projet'!$E$11+1,1))-AVERAGE(OFFSET($H$3,0,0,'Données projet'!$E$11+1,1))</f>
        <v>179.53921263314447</v>
      </c>
      <c r="BJ133" s="59">
        <f t="shared" ref="BJ133:BJ196" si="146">$BJ$3</f>
        <v>120.81513023281337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52.850682015701288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52.850682015701288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500.00000000000045</v>
      </c>
      <c r="BZ133" s="13">
        <f>BY133*VLOOKUP('Données projet'!$B$12,Paramètres!$A$1:$I$89,3,0)*VLOOKUP('Données projet'!$B$12,Paramètres!$A$1:$I$89,5,0)</f>
        <v>234.00000000000023</v>
      </c>
      <c r="CA133" s="13">
        <f t="shared" ref="CA133:CA153" si="147">EXP(-1.0587+0.8836*LN(BZ133)+0.284)</f>
        <v>57.146705242557189</v>
      </c>
      <c r="CB133" s="20">
        <f t="shared" si="118"/>
        <v>507.08051163078744</v>
      </c>
      <c r="CC133" s="59">
        <f t="shared" si="119"/>
        <v>800.4138449641207</v>
      </c>
      <c r="CD133" s="59">
        <f ca="1">AVERAGE(OFFSET($CC$3,0,0,'Données projet'!$E$12+1,1))-AVERAGE(OFFSET($H$3,0,0,'Données projet'!$E$12+1,1))</f>
        <v>310.06530483941287</v>
      </c>
      <c r="CE133" s="59">
        <f t="shared" ref="CE133:CE196" si="148">$CE$3</f>
        <v>170.13425794309376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62.693835273396587</v>
      </c>
      <c r="CL133" s="21">
        <f>EXP(-LN(2)/25)*CL132+(1-EXP(-LN(2)/25))/(LN(2)/25)*Calculateur!CG133*Calculateur!CI133*VLOOKUP('Données projet'!$B$12,Paramètres!$A$1:$I$89,3,0)*0.475*44/12</f>
        <v>10.472335434116356</v>
      </c>
      <c r="CM133" s="21">
        <f>EXP(-LN(2)/2)*CM132+(1-EXP(-LN(2)/2))/(LN(2)/2)*CG133*CJ133*VLOOKUP('Données projet'!$B$12,Paramètres!$A$1:$I$89,3,0)*0.475*44/12</f>
        <v>2.2446577500087091E-4</v>
      </c>
      <c r="CN133" s="22">
        <f t="shared" si="120"/>
        <v>73.166395173287953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168.08890945052406</v>
      </c>
      <c r="CZ133" s="59">
        <f t="shared" ref="CZ133:CZ196" si="150">$CZ$3</f>
        <v>182.52462557642343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28.349352911397503</v>
      </c>
      <c r="DG133" s="21">
        <f>EXP(-LN(2)/25)*DG132+(1-EXP(-LN(2)/25))/(LN(2)/25)*Calculateur!DB133*Calculateur!DD133*VLOOKUP('Données projet'!$B$13,Paramètres!$A$1:$I$89,3,0)*0.475*44/12</f>
        <v>4.0995318133478733</v>
      </c>
      <c r="DH133" s="21">
        <f>EXP(-LN(2)/2)*DH132+(1-EXP(-LN(2)/2))/(LN(2)/2)*DB133*DE133*VLOOKUP('Données projet'!$B$13,Paramètres!$A$1:$I$89,3,0)*0.475*44/12</f>
        <v>1.6498216452760395E-9</v>
      </c>
      <c r="DI133" s="22">
        <f t="shared" si="123"/>
        <v>32.4488847263952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-2.2737367544323206E-13</v>
      </c>
      <c r="DP133" s="17">
        <f>DO133*VLOOKUP('Données projet'!$B$14,Paramètres!$A$1:$I$89,3,0)*VLOOKUP('Données projet'!$B$14,Paramètres!$A$1:$I$89,5,0)</f>
        <v>-1.2710188457276673E-13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355.23615781077405</v>
      </c>
      <c r="DU133" s="59">
        <f t="shared" ref="DU133:DU196" si="152">$DU$3</f>
        <v>448.84541017639367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64.695880211312684</v>
      </c>
      <c r="EB133" s="21">
        <f>EXP(-LN(2)/25)*EB132+(1-EXP(-LN(2)/25))/(LN(2)/25)*Calculateur!DW133*Calculateur!DY133*VLOOKUP('Données projet'!$B$14,Paramètres!$A$1:$I$89,3,0)*0.475*44/12</f>
        <v>9.2505233030504872</v>
      </c>
      <c r="EC133" s="21">
        <f>EXP(-LN(2)/2)*EC132+(1-EXP(-LN(2)/2))/(LN(2)/2)*DW133*DZ133*VLOOKUP('Données projet'!$B$14,Paramètres!$A$1:$I$89,3,0)*0.475*44/12</f>
        <v>1.6391524810841451E-9</v>
      </c>
      <c r="ED133" s="22">
        <f t="shared" si="126"/>
        <v>73.94640351600232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3.800000000000002</v>
      </c>
      <c r="EJ133" s="12">
        <f>IF('Données projet'!$A$192&gt;35,EJ132+EI133-ER132,IF(A133&lt;'Données projet'!$A$192,$EG$205^A133,IF(A133='Données projet'!$A$192,'Données projet'!$B$192,EJ132+EI133-ER132)))</f>
        <v>179.19999999999985</v>
      </c>
      <c r="EK133" s="17">
        <f>EJ133*VLOOKUP('Données projet'!$B$15,Paramètres!$A$1:$I$89,3,0)*VLOOKUP('Données projet'!$B$15,Paramètres!$A$1:$I$89,5,0)</f>
        <v>192.89087999999981</v>
      </c>
      <c r="EL133" s="13">
        <f t="shared" ref="EL133:EL153" si="153">EXP(-1.0587+0.8836*LN(EK133)+0.284)</f>
        <v>48.178522586846704</v>
      </c>
      <c r="EM133" s="20">
        <f t="shared" si="127"/>
        <v>419.86254283875763</v>
      </c>
      <c r="EN133" s="59">
        <f t="shared" si="128"/>
        <v>713.19587617209095</v>
      </c>
      <c r="EO133" s="59">
        <f ca="1">AVERAGE(OFFSET($EN$3,0,0,'Données projet'!$E$15+1,1))-AVERAGE(OFFSET($H$3,0,0,'Données projet'!$E$15+1,1))</f>
        <v>130.76477588601989</v>
      </c>
      <c r="EP133" s="59">
        <f t="shared" ref="EP133:EP196" si="154">$EP$3</f>
        <v>94.034011511502172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44.882425342564765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44.882425342564765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-2.2737367544323206E-13</v>
      </c>
      <c r="FF133" s="17">
        <f>FE133*VLOOKUP('Données projet'!$B$16,Paramètres!$A$1:$I$89,3,0)*VLOOKUP('Données projet'!$B$16,Paramètres!$A$1:$I$89,5,0)</f>
        <v>-1.0345502232667058E-13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279.43442619866738</v>
      </c>
      <c r="FK133" s="59">
        <f t="shared" ref="FK133:FK196" si="156">$FK$3</f>
        <v>355.95192241448217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52.659437381300968</v>
      </c>
      <c r="FR133" s="21">
        <f>EXP(-LN(2)/25)*FR132+(1-EXP(-LN(2)/25))/(LN(2)/25)*Calculateur!FM133*Calculateur!FO133*VLOOKUP('Données projet'!$B$16,Paramètres!$A$1:$I$89,3,0)*0.475*44/12</f>
        <v>7.5294957117852848</v>
      </c>
      <c r="FS133" s="21">
        <f>EXP(-LN(2)/2)*FS132+(1-EXP(-LN(2)/2))/(LN(2)/2)*FM133*FP133*VLOOKUP('Données projet'!$B$16,Paramètres!$A$1:$I$89,3,0)*0.475*44/12</f>
        <v>1.3341938799522111E-9</v>
      </c>
      <c r="FT133" s="22">
        <f t="shared" si="132"/>
        <v>60.188933094420449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-6.7984728957526396E-14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227.89848316900191</v>
      </c>
      <c r="T134" s="59">
        <f t="shared" si="142"/>
        <v>239.85955661394541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35.12467262142912</v>
      </c>
      <c r="AA134" s="21">
        <f>EXP(-LN(2)/25)*AA133+(1-EXP(-LN(2)/25))/(LN(2)/25)*Calculateur!V134*Calculateur!X134*VLOOKUP('Données projet'!$B$9,Paramètres!$A$1:$I$89,3,0)*0.475*44/12</f>
        <v>4.8239740724884292</v>
      </c>
      <c r="AB134" s="21">
        <f>EXP(-LN(2)/2)*AB133+(1-EXP(-LN(2)/2))/(LN(2)/2)*V134*Y134*VLOOKUP('Données projet'!$B$9,Paramètres!$A$1:$I$89,3,0)*0.475*44/12</f>
        <v>1.5088102688904584E-9</v>
      </c>
      <c r="AC134" s="22">
        <f t="shared" si="111"/>
        <v>39.948646695426362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-5.6843418860808015E-14</v>
      </c>
      <c r="AJ134" s="13">
        <f>AI134*VLOOKUP('Données projet'!$B$10,Paramètres!$A$1:$I$89,3,0)*VLOOKUP('Données projet'!$B$10,Paramètres!$A$1:$I$89,5,0)</f>
        <v>-5.1431925385259088E-14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215.7418266360167</v>
      </c>
      <c r="AO134" s="59">
        <f t="shared" si="144"/>
        <v>155.78420008229949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178.48105515459537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178.48105515459537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4.75</v>
      </c>
      <c r="BD134" s="12">
        <f>IF('Données projet'!$A$88&gt;35,BD133+BC134-BL133,IF(A134&lt;'Données projet'!$A$88,$BA$205^A134,IF(A134='Données projet'!$A$88,'Données projet'!$B$88,BD133+BC134-BL133)))</f>
        <v>228.75000000000014</v>
      </c>
      <c r="BE134" s="13">
        <f>BD134*VLOOKUP('Données projet'!$B$11,Paramètres!$A$1:$I$89,3,0)*VLOOKUP('Données projet'!$B$11,Paramètres!$A$1:$I$89,5,0)</f>
        <v>231.95250000000013</v>
      </c>
      <c r="BF134" s="13">
        <f t="shared" si="145"/>
        <v>56.704649753119497</v>
      </c>
      <c r="BG134" s="20">
        <f t="shared" si="115"/>
        <v>502.74453582001661</v>
      </c>
      <c r="BH134" s="59">
        <f t="shared" si="116"/>
        <v>796.07786915334987</v>
      </c>
      <c r="BI134" s="59">
        <f ca="1">AVERAGE(OFFSET($BH$3,0,0,'Données projet'!$E$11+1,1))-AVERAGE(OFFSET($H$3,0,0,'Données projet'!$E$11+1,1))</f>
        <v>179.53921263314447</v>
      </c>
      <c r="BJ134" s="59">
        <f t="shared" si="146"/>
        <v>120.81513023281337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51.814312377106404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51.814312377106404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500.00000000000045</v>
      </c>
      <c r="BZ134" s="13">
        <f>BY134*VLOOKUP('Données projet'!$B$12,Paramètres!$A$1:$I$89,3,0)*VLOOKUP('Données projet'!$B$12,Paramètres!$A$1:$I$89,5,0)</f>
        <v>234.00000000000023</v>
      </c>
      <c r="CA134" s="13">
        <f t="shared" si="147"/>
        <v>57.146705242557189</v>
      </c>
      <c r="CB134" s="20">
        <f t="shared" si="118"/>
        <v>507.08051163078744</v>
      </c>
      <c r="CC134" s="59">
        <f t="shared" si="119"/>
        <v>800.4138449641207</v>
      </c>
      <c r="CD134" s="59">
        <f ca="1">AVERAGE(OFFSET($CC$3,0,0,'Données projet'!$E$12+1,1))-AVERAGE(OFFSET($H$3,0,0,'Données projet'!$E$12+1,1))</f>
        <v>310.06530483941287</v>
      </c>
      <c r="CE134" s="59">
        <f t="shared" si="148"/>
        <v>170.13425794309376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61.464447403148966</v>
      </c>
      <c r="CL134" s="21">
        <f>EXP(-LN(2)/25)*CL133+(1-EXP(-LN(2)/25))/(LN(2)/25)*Calculateur!CG134*Calculateur!CI134*VLOOKUP('Données projet'!$B$12,Paramètres!$A$1:$I$89,3,0)*0.475*44/12</f>
        <v>10.185968870954259</v>
      </c>
      <c r="CM134" s="21">
        <f>EXP(-LN(2)/2)*CM133+(1-EXP(-LN(2)/2))/(LN(2)/2)*CG134*CJ134*VLOOKUP('Données projet'!$B$12,Paramètres!$A$1:$I$89,3,0)*0.475*44/12</f>
        <v>1.5872127164740963E-4</v>
      </c>
      <c r="CN134" s="22">
        <f t="shared" si="120"/>
        <v>71.650574995374868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168.08890945052406</v>
      </c>
      <c r="CZ134" s="59">
        <f t="shared" si="150"/>
        <v>182.52462557642343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27.793439392202892</v>
      </c>
      <c r="DG134" s="21">
        <f>EXP(-LN(2)/25)*DG133+(1-EXP(-LN(2)/25))/(LN(2)/25)*Calculateur!DB134*Calculateur!DD134*VLOOKUP('Données projet'!$B$13,Paramètres!$A$1:$I$89,3,0)*0.475*44/12</f>
        <v>3.9874299003268674</v>
      </c>
      <c r="DH134" s="21">
        <f>EXP(-LN(2)/2)*DH133+(1-EXP(-LN(2)/2))/(LN(2)/2)*DB134*DE134*VLOOKUP('Données projet'!$B$13,Paramètres!$A$1:$I$89,3,0)*0.475*44/12</f>
        <v>1.1666000731230342E-9</v>
      </c>
      <c r="DI134" s="22">
        <f t="shared" si="123"/>
        <v>31.780869293696359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-2.2737367544323206E-13</v>
      </c>
      <c r="DP134" s="17">
        <f>DO134*VLOOKUP('Données projet'!$B$14,Paramètres!$A$1:$I$89,3,0)*VLOOKUP('Données projet'!$B$14,Paramètres!$A$1:$I$89,5,0)</f>
        <v>-1.2710188457276673E-13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355.23615781077405</v>
      </c>
      <c r="DU134" s="59">
        <f t="shared" si="152"/>
        <v>448.84541017639367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63.427233460959364</v>
      </c>
      <c r="EB134" s="21">
        <f>EXP(-LN(2)/25)*EB133+(1-EXP(-LN(2)/25))/(LN(2)/25)*Calculateur!DW134*Calculateur!DY134*VLOOKUP('Données projet'!$B$14,Paramètres!$A$1:$I$89,3,0)*0.475*44/12</f>
        <v>8.9975672568646932</v>
      </c>
      <c r="EC134" s="21">
        <f>EXP(-LN(2)/2)*EC133+(1-EXP(-LN(2)/2))/(LN(2)/2)*DW134*DZ134*VLOOKUP('Données projet'!$B$14,Paramètres!$A$1:$I$89,3,0)*0.475*44/12</f>
        <v>1.159055834773353E-9</v>
      </c>
      <c r="ED134" s="22">
        <f t="shared" si="126"/>
        <v>72.424800718983107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3.800000000000002</v>
      </c>
      <c r="EJ134" s="12">
        <f>IF('Données projet'!$A$192&gt;35,EJ133+EI134-ER133,IF(A134&lt;'Données projet'!$A$192,$EG$205^A134,IF(A134='Données projet'!$A$192,'Données projet'!$B$192,EJ133+EI134-ER133)))</f>
        <v>182.99999999999986</v>
      </c>
      <c r="EK134" s="17">
        <f>EJ134*VLOOKUP('Données projet'!$B$15,Paramètres!$A$1:$I$89,3,0)*VLOOKUP('Données projet'!$B$15,Paramètres!$A$1:$I$89,5,0)</f>
        <v>196.98119999999986</v>
      </c>
      <c r="EL134" s="13">
        <f t="shared" si="153"/>
        <v>49.080140741894091</v>
      </c>
      <c r="EM134" s="20">
        <f t="shared" si="127"/>
        <v>428.55683512546528</v>
      </c>
      <c r="EN134" s="59">
        <f t="shared" si="128"/>
        <v>721.8901684587986</v>
      </c>
      <c r="EO134" s="59">
        <f ca="1">AVERAGE(OFFSET($EN$3,0,0,'Données projet'!$E$15+1,1))-AVERAGE(OFFSET($H$3,0,0,'Données projet'!$E$15+1,1))</f>
        <v>130.76477588601989</v>
      </c>
      <c r="EP134" s="59">
        <f t="shared" si="154"/>
        <v>94.034011511502172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44.002308357173419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44.002308357173419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-2.2737367544323206E-13</v>
      </c>
      <c r="FF134" s="17">
        <f>FE134*VLOOKUP('Données projet'!$B$16,Paramètres!$A$1:$I$89,3,0)*VLOOKUP('Données projet'!$B$16,Paramètres!$A$1:$I$89,5,0)</f>
        <v>-1.0345502232667058E-13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279.43442619866738</v>
      </c>
      <c r="FK134" s="59">
        <f t="shared" si="156"/>
        <v>355.95192241448217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51.626817933338963</v>
      </c>
      <c r="FR134" s="21">
        <f>EXP(-LN(2)/25)*FR133+(1-EXP(-LN(2)/25))/(LN(2)/25)*Calculateur!FM134*Calculateur!FO134*VLOOKUP('Données projet'!$B$16,Paramètres!$A$1:$I$89,3,0)*0.475*44/12</f>
        <v>7.3236012555875458</v>
      </c>
      <c r="FS134" s="21">
        <f>EXP(-LN(2)/2)*FS133+(1-EXP(-LN(2)/2))/(LN(2)/2)*FM134*FP134*VLOOKUP('Données projet'!$B$16,Paramètres!$A$1:$I$89,3,0)*0.475*44/12</f>
        <v>9.43417539931799E-10</v>
      </c>
      <c r="FT134" s="22">
        <f t="shared" si="132"/>
        <v>58.950419189869926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-6.7984728957526396E-14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227.89848316900191</v>
      </c>
      <c r="T135" s="59">
        <f t="shared" si="142"/>
        <v>239.85955661394541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34.435899215257756</v>
      </c>
      <c r="AA135" s="21">
        <f>EXP(-LN(2)/25)*AA134+(1-EXP(-LN(2)/25))/(LN(2)/25)*Calculateur!V135*Calculateur!X135*VLOOKUP('Données projet'!$B$9,Paramètres!$A$1:$I$89,3,0)*0.475*44/12</f>
        <v>4.6920622477944622</v>
      </c>
      <c r="AB135" s="21">
        <f>EXP(-LN(2)/2)*AB134+(1-EXP(-LN(2)/2))/(LN(2)/2)*V135*Y135*VLOOKUP('Données projet'!$B$9,Paramètres!$A$1:$I$89,3,0)*0.475*44/12</f>
        <v>1.0668899726563413E-9</v>
      </c>
      <c r="AC135" s="22">
        <f t="shared" si="111"/>
        <v>39.127961464119103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-5.6843418860808015E-14</v>
      </c>
      <c r="AJ135" s="13">
        <f>AI135*VLOOKUP('Données projet'!$B$10,Paramètres!$A$1:$I$89,3,0)*VLOOKUP('Données projet'!$B$10,Paramètres!$A$1:$I$89,5,0)</f>
        <v>-5.1431925385259088E-14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215.7418266360167</v>
      </c>
      <c r="AO135" s="59">
        <f t="shared" si="144"/>
        <v>155.78420008229949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174.9811505257081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174.9811505257081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4.75</v>
      </c>
      <c r="BD135" s="12">
        <f>IF('Données projet'!$A$88&gt;35,BD134+BC135-BL134,IF(A135&lt;'Données projet'!$A$88,$BA$205^A135,IF(A135='Données projet'!$A$88,'Données projet'!$B$88,BD134+BC135-BL134)))</f>
        <v>233.50000000000014</v>
      </c>
      <c r="BE135" s="13">
        <f>BD135*VLOOKUP('Données projet'!$B$11,Paramètres!$A$1:$I$89,3,0)*VLOOKUP('Données projet'!$B$11,Paramètres!$A$1:$I$89,5,0)</f>
        <v>236.76900000000015</v>
      </c>
      <c r="BF135" s="13">
        <f t="shared" si="145"/>
        <v>57.743817670163956</v>
      </c>
      <c r="BG135" s="20">
        <f t="shared" si="115"/>
        <v>512.94315744220251</v>
      </c>
      <c r="BH135" s="59">
        <f t="shared" si="116"/>
        <v>806.27649077553588</v>
      </c>
      <c r="BI135" s="59">
        <f ca="1">AVERAGE(OFFSET($BH$3,0,0,'Données projet'!$E$11+1,1))-AVERAGE(OFFSET($H$3,0,0,'Données projet'!$E$11+1,1))</f>
        <v>179.53921263314447</v>
      </c>
      <c r="BJ135" s="59">
        <f t="shared" si="146"/>
        <v>120.81513023281337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50.798265315001302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50.798265315001302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500.00000000000045</v>
      </c>
      <c r="BZ135" s="13">
        <f>BY135*VLOOKUP('Données projet'!$B$12,Paramètres!$A$1:$I$89,3,0)*VLOOKUP('Données projet'!$B$12,Paramètres!$A$1:$I$89,5,0)</f>
        <v>234.00000000000023</v>
      </c>
      <c r="CA135" s="13">
        <f t="shared" si="147"/>
        <v>57.146705242557189</v>
      </c>
      <c r="CB135" s="20">
        <f t="shared" si="118"/>
        <v>507.08051163078744</v>
      </c>
      <c r="CC135" s="59">
        <f t="shared" si="119"/>
        <v>800.4138449641207</v>
      </c>
      <c r="CD135" s="59">
        <f ca="1">AVERAGE(OFFSET($CC$3,0,0,'Données projet'!$E$12+1,1))-AVERAGE(OFFSET($H$3,0,0,'Données projet'!$E$12+1,1))</f>
        <v>310.06530483941287</v>
      </c>
      <c r="CE135" s="59">
        <f t="shared" si="148"/>
        <v>170.13425794309376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60.259167079184337</v>
      </c>
      <c r="CL135" s="21">
        <f>EXP(-LN(2)/25)*CL134+(1-EXP(-LN(2)/25))/(LN(2)/25)*Calculateur!CG135*Calculateur!CI135*VLOOKUP('Données projet'!$B$12,Paramètres!$A$1:$I$89,3,0)*0.475*44/12</f>
        <v>9.9074330165211926</v>
      </c>
      <c r="CM135" s="21">
        <f>EXP(-LN(2)/2)*CM134+(1-EXP(-LN(2)/2))/(LN(2)/2)*CG135*CJ135*VLOOKUP('Données projet'!$B$12,Paramètres!$A$1:$I$89,3,0)*0.475*44/12</f>
        <v>1.1223288750043545E-4</v>
      </c>
      <c r="CN135" s="22">
        <f t="shared" si="120"/>
        <v>70.166712328593036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168.08890945052406</v>
      </c>
      <c r="CZ135" s="59">
        <f t="shared" si="150"/>
        <v>182.52462557642343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27.248426998045918</v>
      </c>
      <c r="DG135" s="21">
        <f>EXP(-LN(2)/25)*DG134+(1-EXP(-LN(2)/25))/(LN(2)/25)*Calculateur!DB135*Calculateur!DD135*VLOOKUP('Données projet'!$B$13,Paramètres!$A$1:$I$89,3,0)*0.475*44/12</f>
        <v>3.8783934200126042</v>
      </c>
      <c r="DH135" s="21">
        <f>EXP(-LN(2)/2)*DH134+(1-EXP(-LN(2)/2))/(LN(2)/2)*DB135*DE135*VLOOKUP('Données projet'!$B$13,Paramètres!$A$1:$I$89,3,0)*0.475*44/12</f>
        <v>8.2491082263801973E-10</v>
      </c>
      <c r="DI135" s="22">
        <f t="shared" si="123"/>
        <v>31.126820418883433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-2.2737367544323206E-13</v>
      </c>
      <c r="DP135" s="17">
        <f>DO135*VLOOKUP('Données projet'!$B$14,Paramètres!$A$1:$I$89,3,0)*VLOOKUP('Données projet'!$B$14,Paramètres!$A$1:$I$89,5,0)</f>
        <v>-1.2710188457276673E-13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355.23615781077405</v>
      </c>
      <c r="DU135" s="59">
        <f t="shared" si="152"/>
        <v>448.84541017639367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62.183464099582359</v>
      </c>
      <c r="EB135" s="21">
        <f>EXP(-LN(2)/25)*EB134+(1-EXP(-LN(2)/25))/(LN(2)/25)*Calculateur!DW135*Calculateur!DY135*VLOOKUP('Données projet'!$B$14,Paramètres!$A$1:$I$89,3,0)*0.475*44/12</f>
        <v>8.7515283070642305</v>
      </c>
      <c r="EC135" s="21">
        <f>EXP(-LN(2)/2)*EC134+(1-EXP(-LN(2)/2))/(LN(2)/2)*DW135*DZ135*VLOOKUP('Données projet'!$B$14,Paramètres!$A$1:$I$89,3,0)*0.475*44/12</f>
        <v>8.1957624054207253E-10</v>
      </c>
      <c r="ED135" s="22">
        <f t="shared" si="126"/>
        <v>70.934992407466169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3.800000000000002</v>
      </c>
      <c r="EJ135" s="12">
        <f>IF('Données projet'!$A$192&gt;35,EJ134+EI135-ER134,IF(A135&lt;'Données projet'!$A$192,$EG$205^A135,IF(A135='Données projet'!$A$192,'Données projet'!$B$192,EJ134+EI135-ER134)))</f>
        <v>186.79999999999987</v>
      </c>
      <c r="EK135" s="17">
        <f>EJ135*VLOOKUP('Données projet'!$B$15,Paramètres!$A$1:$I$89,3,0)*VLOOKUP('Données projet'!$B$15,Paramètres!$A$1:$I$89,5,0)</f>
        <v>201.07151999999988</v>
      </c>
      <c r="EL135" s="13">
        <f t="shared" si="153"/>
        <v>49.97958210772665</v>
      </c>
      <c r="EM135" s="20">
        <f t="shared" si="127"/>
        <v>437.247336170957</v>
      </c>
      <c r="EN135" s="59">
        <f t="shared" si="128"/>
        <v>730.58066950429031</v>
      </c>
      <c r="EO135" s="59">
        <f ca="1">AVERAGE(OFFSET($EN$3,0,0,'Données projet'!$E$15+1,1))-AVERAGE(OFFSET($H$3,0,0,'Données projet'!$E$15+1,1))</f>
        <v>130.76477588601989</v>
      </c>
      <c r="EP135" s="59">
        <f t="shared" si="154"/>
        <v>94.034011511502172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43.139449929047238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43.139449929047238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-2.2737367544323206E-13</v>
      </c>
      <c r="FF135" s="17">
        <f>FE135*VLOOKUP('Données projet'!$B$16,Paramètres!$A$1:$I$89,3,0)*VLOOKUP('Données projet'!$B$16,Paramètres!$A$1:$I$89,5,0)</f>
        <v>-1.0345502232667058E-13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279.43442619866738</v>
      </c>
      <c r="FK135" s="59">
        <f t="shared" si="156"/>
        <v>355.95192241448217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50.614447522915818</v>
      </c>
      <c r="FR135" s="21">
        <f>EXP(-LN(2)/25)*FR134+(1-EXP(-LN(2)/25))/(LN(2)/25)*Calculateur!FM135*Calculateur!FO135*VLOOKUP('Données projet'!$B$16,Paramètres!$A$1:$I$89,3,0)*0.475*44/12</f>
        <v>7.1233369941220523</v>
      </c>
      <c r="FS135" s="21">
        <f>EXP(-LN(2)/2)*FS134+(1-EXP(-LN(2)/2))/(LN(2)/2)*FM135*FP135*VLOOKUP('Données projet'!$B$16,Paramètres!$A$1:$I$89,3,0)*0.475*44/12</f>
        <v>6.6709693997610556E-10</v>
      </c>
      <c r="FT135" s="22">
        <f t="shared" si="132"/>
        <v>57.737784517704966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-6.7984728957526396E-14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227.89848316900191</v>
      </c>
      <c r="T136" s="59">
        <f t="shared" si="142"/>
        <v>239.85955661394541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33.760632235471114</v>
      </c>
      <c r="AA136" s="21">
        <f>EXP(-LN(2)/25)*AA135+(1-EXP(-LN(2)/25))/(LN(2)/25)*Calculateur!V136*Calculateur!X136*VLOOKUP('Données projet'!$B$9,Paramètres!$A$1:$I$89,3,0)*0.475*44/12</f>
        <v>4.5637575588836929</v>
      </c>
      <c r="AB136" s="21">
        <f>EXP(-LN(2)/2)*AB135+(1-EXP(-LN(2)/2))/(LN(2)/2)*V136*Y136*VLOOKUP('Données projet'!$B$9,Paramètres!$A$1:$I$89,3,0)*0.475*44/12</f>
        <v>7.5440513444522922E-10</v>
      </c>
      <c r="AC136" s="22">
        <f t="shared" si="111"/>
        <v>38.324389795109212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-5.6843418860808015E-14</v>
      </c>
      <c r="AJ136" s="13">
        <f>AI136*VLOOKUP('Données projet'!$B$10,Paramètres!$A$1:$I$89,3,0)*VLOOKUP('Données projet'!$B$10,Paramètres!$A$1:$I$89,5,0)</f>
        <v>-5.1431925385259088E-14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215.7418266360167</v>
      </c>
      <c r="AO136" s="59">
        <f t="shared" si="144"/>
        <v>155.78420008229949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171.54987689186228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171.54987689186228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4.75</v>
      </c>
      <c r="BD136" s="12">
        <f>IF('Données projet'!$A$88&gt;35,BD135+BC136-BL135,IF(A136&lt;'Données projet'!$A$88,$BA$205^A136,IF(A136='Données projet'!$A$88,'Données projet'!$B$88,BD135+BC136-BL135)))</f>
        <v>238.25000000000014</v>
      </c>
      <c r="BE136" s="13">
        <f>BD136*VLOOKUP('Données projet'!$B$11,Paramètres!$A$1:$I$89,3,0)*VLOOKUP('Données projet'!$B$11,Paramètres!$A$1:$I$89,5,0)</f>
        <v>241.58550000000017</v>
      </c>
      <c r="BF136" s="13">
        <f t="shared" si="145"/>
        <v>58.780527693932932</v>
      </c>
      <c r="BG136" s="20">
        <f t="shared" si="115"/>
        <v>523.13749823360024</v>
      </c>
      <c r="BH136" s="59">
        <f t="shared" si="116"/>
        <v>816.47083156693361</v>
      </c>
      <c r="BI136" s="59">
        <f ca="1">AVERAGE(OFFSET($BH$3,0,0,'Données projet'!$E$11+1,1))-AVERAGE(OFFSET($H$3,0,0,'Données projet'!$E$11+1,1))</f>
        <v>179.53921263314447</v>
      </c>
      <c r="BJ136" s="59">
        <f t="shared" si="146"/>
        <v>120.81513023281337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49.802142316056567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49.802142316056567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500.00000000000045</v>
      </c>
      <c r="BZ136" s="13">
        <f>BY136*VLOOKUP('Données projet'!$B$12,Paramètres!$A$1:$I$89,3,0)*VLOOKUP('Données projet'!$B$12,Paramètres!$A$1:$I$89,5,0)</f>
        <v>234.00000000000023</v>
      </c>
      <c r="CA136" s="13">
        <f t="shared" si="147"/>
        <v>57.146705242557189</v>
      </c>
      <c r="CB136" s="20">
        <f t="shared" si="118"/>
        <v>507.08051163078744</v>
      </c>
      <c r="CC136" s="59">
        <f t="shared" si="119"/>
        <v>800.4138449641207</v>
      </c>
      <c r="CD136" s="59">
        <f ca="1">AVERAGE(OFFSET($CC$3,0,0,'Données projet'!$E$12+1,1))-AVERAGE(OFFSET($H$3,0,0,'Données projet'!$E$12+1,1))</f>
        <v>310.06530483941287</v>
      </c>
      <c r="CE136" s="59">
        <f t="shared" si="148"/>
        <v>170.13425794309376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59.077521567224245</v>
      </c>
      <c r="CL136" s="21">
        <f>EXP(-LN(2)/25)*CL135+(1-EXP(-LN(2)/25))/(LN(2)/25)*Calculateur!CG136*Calculateur!CI136*VLOOKUP('Données projet'!$B$12,Paramètres!$A$1:$I$89,3,0)*0.475*44/12</f>
        <v>9.6365137396751628</v>
      </c>
      <c r="CM136" s="21">
        <f>EXP(-LN(2)/2)*CM135+(1-EXP(-LN(2)/2))/(LN(2)/2)*CG136*CJ136*VLOOKUP('Données projet'!$B$12,Paramètres!$A$1:$I$89,3,0)*0.475*44/12</f>
        <v>7.9360635823704816E-5</v>
      </c>
      <c r="CN136" s="22">
        <f t="shared" si="120"/>
        <v>68.714114667535227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168.08890945052406</v>
      </c>
      <c r="CZ136" s="59">
        <f t="shared" si="150"/>
        <v>182.52462557642343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26.714101964513628</v>
      </c>
      <c r="DG136" s="21">
        <f>EXP(-LN(2)/25)*DG135+(1-EXP(-LN(2)/25))/(LN(2)/25)*Calculateur!DB136*Calculateur!DD136*VLOOKUP('Données projet'!$B$13,Paramètres!$A$1:$I$89,3,0)*0.475*44/12</f>
        <v>3.7723385479865139</v>
      </c>
      <c r="DH136" s="21">
        <f>EXP(-LN(2)/2)*DH135+(1-EXP(-LN(2)/2))/(LN(2)/2)*DB136*DE136*VLOOKUP('Données projet'!$B$13,Paramètres!$A$1:$I$89,3,0)*0.475*44/12</f>
        <v>5.8330003656151712E-10</v>
      </c>
      <c r="DI136" s="22">
        <f t="shared" si="123"/>
        <v>30.486440513083441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-2.2737367544323206E-13</v>
      </c>
      <c r="DP136" s="17">
        <f>DO136*VLOOKUP('Données projet'!$B$14,Paramètres!$A$1:$I$89,3,0)*VLOOKUP('Données projet'!$B$14,Paramètres!$A$1:$I$89,5,0)</f>
        <v>-1.2710188457276673E-13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355.23615781077405</v>
      </c>
      <c r="DU136" s="59">
        <f t="shared" si="152"/>
        <v>448.84541017639367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60.964084296757555</v>
      </c>
      <c r="EB136" s="21">
        <f>EXP(-LN(2)/25)*EB135+(1-EXP(-LN(2)/25))/(LN(2)/25)*Calculateur!DW136*Calculateur!DY136*VLOOKUP('Données projet'!$B$14,Paramètres!$A$1:$I$89,3,0)*0.475*44/12</f>
        <v>8.5122173052846879</v>
      </c>
      <c r="EC136" s="21">
        <f>EXP(-LN(2)/2)*EC135+(1-EXP(-LN(2)/2))/(LN(2)/2)*DW136*DZ136*VLOOKUP('Données projet'!$B$14,Paramètres!$A$1:$I$89,3,0)*0.475*44/12</f>
        <v>5.7952791738667651E-10</v>
      </c>
      <c r="ED136" s="22">
        <f t="shared" si="126"/>
        <v>69.476301602621774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3.800000000000002</v>
      </c>
      <c r="EJ136" s="12">
        <f>IF('Données projet'!$A$192&gt;35,EJ135+EI136-ER135,IF(A136&lt;'Données projet'!$A$192,$EG$205^A136,IF(A136='Données projet'!$A$192,'Données projet'!$B$192,EJ135+EI136-ER135)))</f>
        <v>190.59999999999988</v>
      </c>
      <c r="EK136" s="17">
        <f>EJ136*VLOOKUP('Données projet'!$B$15,Paramètres!$A$1:$I$89,3,0)*VLOOKUP('Données projet'!$B$15,Paramètres!$A$1:$I$89,5,0)</f>
        <v>205.16183999999984</v>
      </c>
      <c r="EL136" s="13">
        <f t="shared" si="153"/>
        <v>50.876896068691764</v>
      </c>
      <c r="EM136" s="20">
        <f t="shared" si="127"/>
        <v>445.93413198630452</v>
      </c>
      <c r="EN136" s="59">
        <f t="shared" si="128"/>
        <v>739.26746531963784</v>
      </c>
      <c r="EO136" s="59">
        <f ca="1">AVERAGE(OFFSET($EN$3,0,0,'Données projet'!$E$15+1,1))-AVERAGE(OFFSET($H$3,0,0,'Données projet'!$E$15+1,1))</f>
        <v>130.76477588601989</v>
      </c>
      <c r="EP136" s="59">
        <f t="shared" si="154"/>
        <v>94.034011511502172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42.293511628404936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42.293511628404936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-2.2737367544323206E-13</v>
      </c>
      <c r="FF136" s="17">
        <f>FE136*VLOOKUP('Données projet'!$B$16,Paramètres!$A$1:$I$89,3,0)*VLOOKUP('Données projet'!$B$16,Paramètres!$A$1:$I$89,5,0)</f>
        <v>-1.0345502232667058E-13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279.43442619866738</v>
      </c>
      <c r="FK136" s="59">
        <f t="shared" si="156"/>
        <v>355.95192241448217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49.621929078756096</v>
      </c>
      <c r="FR136" s="21">
        <f>EXP(-LN(2)/25)*FR135+(1-EXP(-LN(2)/25))/(LN(2)/25)*Calculateur!FM136*Calculateur!FO136*VLOOKUP('Données projet'!$B$16,Paramètres!$A$1:$I$89,3,0)*0.475*44/12</f>
        <v>6.9285489694177729</v>
      </c>
      <c r="FS136" s="21">
        <f>EXP(-LN(2)/2)*FS135+(1-EXP(-LN(2)/2))/(LN(2)/2)*FM136*FP136*VLOOKUP('Données projet'!$B$16,Paramètres!$A$1:$I$89,3,0)*0.475*44/12</f>
        <v>4.717087699658995E-10</v>
      </c>
      <c r="FT136" s="22">
        <f t="shared" si="132"/>
        <v>56.55047804864558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-6.7984728957526396E-14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227.89848316900191</v>
      </c>
      <c r="T137" s="59">
        <f t="shared" si="142"/>
        <v>239.85955661394541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33.098606829285906</v>
      </c>
      <c r="AA137" s="21">
        <f>EXP(-LN(2)/25)*AA136+(1-EXP(-LN(2)/25))/(LN(2)/25)*Calculateur!V137*Calculateur!X137*VLOOKUP('Données projet'!$B$9,Paramètres!$A$1:$I$89,3,0)*0.475*44/12</f>
        <v>4.4389613684384388</v>
      </c>
      <c r="AB137" s="21">
        <f>EXP(-LN(2)/2)*AB136+(1-EXP(-LN(2)/2))/(LN(2)/2)*V137*Y137*VLOOKUP('Données projet'!$B$9,Paramètres!$A$1:$I$89,3,0)*0.475*44/12</f>
        <v>5.3344498632817066E-10</v>
      </c>
      <c r="AC137" s="22">
        <f t="shared" si="111"/>
        <v>37.537568198257794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-5.6843418860808015E-14</v>
      </c>
      <c r="AJ137" s="13">
        <f>AI137*VLOOKUP('Données projet'!$B$10,Paramètres!$A$1:$I$89,3,0)*VLOOKUP('Données projet'!$B$10,Paramètres!$A$1:$I$89,5,0)</f>
        <v>-5.1431925385259088E-14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215.7418266360167</v>
      </c>
      <c r="AO137" s="59">
        <f t="shared" si="144"/>
        <v>155.78420008229949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168.1858884411059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168.1858884411059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4.75</v>
      </c>
      <c r="BD137" s="12">
        <f>IF('Données projet'!$A$88&gt;35,BD136+BC137-BL136,IF(A137&lt;'Données projet'!$A$88,$BA$205^A137,IF(A137='Données projet'!$A$88,'Données projet'!$B$88,BD136+BC137-BL136)))</f>
        <v>243.00000000000014</v>
      </c>
      <c r="BE137" s="13">
        <f>BD137*VLOOKUP('Données projet'!$B$11,Paramètres!$A$1:$I$89,3,0)*VLOOKUP('Données projet'!$B$11,Paramètres!$A$1:$I$89,5,0)</f>
        <v>246.40200000000016</v>
      </c>
      <c r="BF137" s="13">
        <f t="shared" si="145"/>
        <v>59.814834475385524</v>
      </c>
      <c r="BG137" s="20">
        <f t="shared" si="115"/>
        <v>533.32765337796343</v>
      </c>
      <c r="BH137" s="59">
        <f t="shared" si="116"/>
        <v>826.6609867112968</v>
      </c>
      <c r="BI137" s="59">
        <f ca="1">AVERAGE(OFFSET($BH$3,0,0,'Données projet'!$E$11+1,1))-AVERAGE(OFFSET($H$3,0,0,'Données projet'!$E$11+1,1))</f>
        <v>179.53921263314447</v>
      </c>
      <c r="BJ137" s="59">
        <f t="shared" si="146"/>
        <v>120.81513023281337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48.8255526815461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48.8255526815461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500.00000000000045</v>
      </c>
      <c r="BZ137" s="13">
        <f>BY137*VLOOKUP('Données projet'!$B$12,Paramètres!$A$1:$I$89,3,0)*VLOOKUP('Données projet'!$B$12,Paramètres!$A$1:$I$89,5,0)</f>
        <v>234.00000000000023</v>
      </c>
      <c r="CA137" s="13">
        <f t="shared" si="147"/>
        <v>57.146705242557189</v>
      </c>
      <c r="CB137" s="20">
        <f t="shared" si="118"/>
        <v>507.08051163078744</v>
      </c>
      <c r="CC137" s="59">
        <f t="shared" si="119"/>
        <v>800.4138449641207</v>
      </c>
      <c r="CD137" s="59">
        <f ca="1">AVERAGE(OFFSET($CC$3,0,0,'Données projet'!$E$12+1,1))-AVERAGE(OFFSET($H$3,0,0,'Données projet'!$E$12+1,1))</f>
        <v>310.06530483941287</v>
      </c>
      <c r="CE137" s="59">
        <f t="shared" si="148"/>
        <v>170.13425794309376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57.919047403021096</v>
      </c>
      <c r="CL137" s="21">
        <f>EXP(-LN(2)/25)*CL136+(1-EXP(-LN(2)/25))/(LN(2)/25)*Calculateur!CG137*Calculateur!CI137*VLOOKUP('Données projet'!$B$12,Paramètres!$A$1:$I$89,3,0)*0.475*44/12</f>
        <v>9.3730027647015124</v>
      </c>
      <c r="CM137" s="21">
        <f>EXP(-LN(2)/2)*CM136+(1-EXP(-LN(2)/2))/(LN(2)/2)*CG137*CJ137*VLOOKUP('Données projet'!$B$12,Paramètres!$A$1:$I$89,3,0)*0.475*44/12</f>
        <v>5.6116443750217726E-5</v>
      </c>
      <c r="CN137" s="22">
        <f t="shared" si="120"/>
        <v>67.292106284166351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168.08890945052406</v>
      </c>
      <c r="CZ137" s="59">
        <f t="shared" si="150"/>
        <v>182.52462557642343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26.190254718982814</v>
      </c>
      <c r="DG137" s="21">
        <f>EXP(-LN(2)/25)*DG136+(1-EXP(-LN(2)/25))/(LN(2)/25)*Calculateur!DB137*Calculateur!DD137*VLOOKUP('Données projet'!$B$13,Paramètres!$A$1:$I$89,3,0)*0.475*44/12</f>
        <v>3.66918375201316</v>
      </c>
      <c r="DH137" s="21">
        <f>EXP(-LN(2)/2)*DH136+(1-EXP(-LN(2)/2))/(LN(2)/2)*DB137*DE137*VLOOKUP('Données projet'!$B$13,Paramètres!$A$1:$I$89,3,0)*0.475*44/12</f>
        <v>4.1245541131900986E-10</v>
      </c>
      <c r="DI137" s="22">
        <f t="shared" si="123"/>
        <v>29.859438471408431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-2.2737367544323206E-13</v>
      </c>
      <c r="DP137" s="17">
        <f>DO137*VLOOKUP('Données projet'!$B$14,Paramètres!$A$1:$I$89,3,0)*VLOOKUP('Données projet'!$B$14,Paramètres!$A$1:$I$89,5,0)</f>
        <v>-1.2710188457276673E-13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355.23615781077405</v>
      </c>
      <c r="DU137" s="59">
        <f t="shared" si="152"/>
        <v>448.84541017639367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59.768615788117906</v>
      </c>
      <c r="EB137" s="21">
        <f>EXP(-LN(2)/25)*EB136+(1-EXP(-LN(2)/25))/(LN(2)/25)*Calculateur!DW137*Calculateur!DY137*VLOOKUP('Données projet'!$B$14,Paramètres!$A$1:$I$89,3,0)*0.475*44/12</f>
        <v>8.279450275433625</v>
      </c>
      <c r="EC137" s="21">
        <f>EXP(-LN(2)/2)*EC136+(1-EXP(-LN(2)/2))/(LN(2)/2)*DW137*DZ137*VLOOKUP('Données projet'!$B$14,Paramètres!$A$1:$I$89,3,0)*0.475*44/12</f>
        <v>4.0978812027103626E-10</v>
      </c>
      <c r="ED137" s="22">
        <f t="shared" si="126"/>
        <v>68.048066063961315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3.800000000000002</v>
      </c>
      <c r="EJ137" s="12">
        <f>IF('Données projet'!$A$192&gt;35,EJ136+EI137-ER136,IF(A137&lt;'Données projet'!$A$192,$EG$205^A137,IF(A137='Données projet'!$A$192,'Données projet'!$B$192,EJ136+EI137-ER136)))</f>
        <v>194.39999999999989</v>
      </c>
      <c r="EK137" s="17">
        <f>EJ137*VLOOKUP('Données projet'!$B$15,Paramètres!$A$1:$I$89,3,0)*VLOOKUP('Données projet'!$B$15,Paramètres!$A$1:$I$89,5,0)</f>
        <v>209.25215999999986</v>
      </c>
      <c r="EL137" s="13">
        <f t="shared" si="153"/>
        <v>51.772129927379012</v>
      </c>
      <c r="EM137" s="20">
        <f t="shared" si="127"/>
        <v>454.61730495685151</v>
      </c>
      <c r="EN137" s="59">
        <f t="shared" si="128"/>
        <v>747.95063829018477</v>
      </c>
      <c r="EO137" s="59">
        <f ca="1">AVERAGE(OFFSET($EN$3,0,0,'Données projet'!$E$15+1,1))-AVERAGE(OFFSET($H$3,0,0,'Données projet'!$E$15+1,1))</f>
        <v>130.76477588601989</v>
      </c>
      <c r="EP137" s="59">
        <f t="shared" si="154"/>
        <v>94.034011511502172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41.464161661866818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41.464161661866818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-2.2737367544323206E-13</v>
      </c>
      <c r="FF137" s="17">
        <f>FE137*VLOOKUP('Données projet'!$B$16,Paramètres!$A$1:$I$89,3,0)*VLOOKUP('Données projet'!$B$16,Paramètres!$A$1:$I$89,5,0)</f>
        <v>-1.0345502232667058E-13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279.43442619866738</v>
      </c>
      <c r="FK137" s="59">
        <f t="shared" si="156"/>
        <v>355.95192241448217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48.648873315909867</v>
      </c>
      <c r="FR137" s="21">
        <f>EXP(-LN(2)/25)*FR136+(1-EXP(-LN(2)/25))/(LN(2)/25)*Calculateur!FM137*Calculateur!FO137*VLOOKUP('Données projet'!$B$16,Paramètres!$A$1:$I$89,3,0)*0.475*44/12</f>
        <v>6.7390874334924886</v>
      </c>
      <c r="FS137" s="21">
        <f>EXP(-LN(2)/2)*FS136+(1-EXP(-LN(2)/2))/(LN(2)/2)*FM137*FP137*VLOOKUP('Données projet'!$B$16,Paramètres!$A$1:$I$89,3,0)*0.475*44/12</f>
        <v>3.3354846998805278E-10</v>
      </c>
      <c r="FT137" s="22">
        <f t="shared" si="132"/>
        <v>55.387960749735903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-6.7984728957526396E-14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227.89848316900191</v>
      </c>
      <c r="T138" s="59">
        <f t="shared" si="142"/>
        <v>239.85955661394541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32.44956333752036</v>
      </c>
      <c r="AA138" s="21">
        <f>EXP(-LN(2)/25)*AA137+(1-EXP(-LN(2)/25))/(LN(2)/25)*Calculateur!V138*Calculateur!X138*VLOOKUP('Données projet'!$B$9,Paramètres!$A$1:$I$89,3,0)*0.475*44/12</f>
        <v>4.3175777363836563</v>
      </c>
      <c r="AB138" s="21">
        <f>EXP(-LN(2)/2)*AB137+(1-EXP(-LN(2)/2))/(LN(2)/2)*V138*Y138*VLOOKUP('Données projet'!$B$9,Paramètres!$A$1:$I$89,3,0)*0.475*44/12</f>
        <v>3.7720256722261461E-10</v>
      </c>
      <c r="AC138" s="22">
        <f t="shared" si="111"/>
        <v>36.76714107428122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-5.6843418860808015E-14</v>
      </c>
      <c r="AJ138" s="13">
        <f>AI138*VLOOKUP('Données projet'!$B$10,Paramètres!$A$1:$I$89,3,0)*VLOOKUP('Données projet'!$B$10,Paramètres!$A$1:$I$89,5,0)</f>
        <v>-5.1431925385259088E-14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215.7418266360167</v>
      </c>
      <c r="AO138" s="59">
        <f t="shared" si="144"/>
        <v>155.78420008229949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164.88786575203852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164.88786575203852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4.75</v>
      </c>
      <c r="BD138" s="12">
        <f>IF('Données projet'!$A$88&gt;35,BD137+BC138-BL137,IF(A138&lt;'Données projet'!$A$88,$BA$205^A138,IF(A138='Données projet'!$A$88,'Données projet'!$B$88,BD137+BC138-BL137)))</f>
        <v>247.75000000000014</v>
      </c>
      <c r="BE138" s="13">
        <f>BD138*VLOOKUP('Données projet'!$B$11,Paramètres!$A$1:$I$89,3,0)*VLOOKUP('Données projet'!$B$11,Paramètres!$A$1:$I$89,5,0)</f>
        <v>251.21850000000018</v>
      </c>
      <c r="BF138" s="13">
        <f t="shared" si="145"/>
        <v>60.846790406712074</v>
      </c>
      <c r="BG138" s="20">
        <f t="shared" si="115"/>
        <v>543.51371412502385</v>
      </c>
      <c r="BH138" s="59">
        <f t="shared" si="116"/>
        <v>836.84704745835711</v>
      </c>
      <c r="BI138" s="59">
        <f ca="1">AVERAGE(OFFSET($BH$3,0,0,'Données projet'!$E$11+1,1))-AVERAGE(OFFSET($H$3,0,0,'Données projet'!$E$11+1,1))</f>
        <v>179.53921263314447</v>
      </c>
      <c r="BJ138" s="59">
        <f t="shared" si="146"/>
        <v>120.81513023281337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47.868113374107523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47.868113374107523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500.00000000000045</v>
      </c>
      <c r="BZ138" s="13">
        <f>BY138*VLOOKUP('Données projet'!$B$12,Paramètres!$A$1:$I$89,3,0)*VLOOKUP('Données projet'!$B$12,Paramètres!$A$1:$I$89,5,0)</f>
        <v>234.00000000000023</v>
      </c>
      <c r="CA138" s="13">
        <f t="shared" si="147"/>
        <v>57.146705242557189</v>
      </c>
      <c r="CB138" s="20">
        <f t="shared" si="118"/>
        <v>507.08051163078744</v>
      </c>
      <c r="CC138" s="59">
        <f t="shared" si="119"/>
        <v>800.4138449641207</v>
      </c>
      <c r="CD138" s="59">
        <f ca="1">AVERAGE(OFFSET($CC$3,0,0,'Données projet'!$E$12+1,1))-AVERAGE(OFFSET($H$3,0,0,'Données projet'!$E$12+1,1))</f>
        <v>310.06530483941287</v>
      </c>
      <c r="CE138" s="59">
        <f t="shared" si="148"/>
        <v>170.13425794309376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56.783290210578507</v>
      </c>
      <c r="CL138" s="21">
        <f>EXP(-LN(2)/25)*CL137+(1-EXP(-LN(2)/25))/(LN(2)/25)*Calculateur!CG138*Calculateur!CI138*VLOOKUP('Données projet'!$B$12,Paramètres!$A$1:$I$89,3,0)*0.475*44/12</f>
        <v>9.1166975111959569</v>
      </c>
      <c r="CM138" s="21">
        <f>EXP(-LN(2)/2)*CM137+(1-EXP(-LN(2)/2))/(LN(2)/2)*CG138*CJ138*VLOOKUP('Données projet'!$B$12,Paramètres!$A$1:$I$89,3,0)*0.475*44/12</f>
        <v>3.9680317911852408E-5</v>
      </c>
      <c r="CN138" s="22">
        <f t="shared" si="120"/>
        <v>65.900027402092377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168.08890945052406</v>
      </c>
      <c r="CZ138" s="59">
        <f t="shared" si="150"/>
        <v>182.52462557642343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25.676679798421592</v>
      </c>
      <c r="DG138" s="21">
        <f>EXP(-LN(2)/25)*DG137+(1-EXP(-LN(2)/25))/(LN(2)/25)*Calculateur!DB138*Calculateur!DD138*VLOOKUP('Données projet'!$B$13,Paramètres!$A$1:$I$89,3,0)*0.475*44/12</f>
        <v>3.5688497293603727</v>
      </c>
      <c r="DH138" s="21">
        <f>EXP(-LN(2)/2)*DH137+(1-EXP(-LN(2)/2))/(LN(2)/2)*DB138*DE138*VLOOKUP('Données projet'!$B$13,Paramètres!$A$1:$I$89,3,0)*0.475*44/12</f>
        <v>2.9165001828075856E-10</v>
      </c>
      <c r="DI138" s="22">
        <f t="shared" si="123"/>
        <v>29.245529528073615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-2.2737367544323206E-13</v>
      </c>
      <c r="DP138" s="17">
        <f>DO138*VLOOKUP('Données projet'!$B$14,Paramètres!$A$1:$I$89,3,0)*VLOOKUP('Données projet'!$B$14,Paramètres!$A$1:$I$89,5,0)</f>
        <v>-1.2710188457276673E-13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355.23615781077405</v>
      </c>
      <c r="DU138" s="59">
        <f t="shared" si="152"/>
        <v>448.84541017639367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58.596589687768883</v>
      </c>
      <c r="EB138" s="21">
        <f>EXP(-LN(2)/25)*EB137+(1-EXP(-LN(2)/25))/(LN(2)/25)*Calculateur!DW138*Calculateur!DY138*VLOOKUP('Données projet'!$B$14,Paramètres!$A$1:$I$89,3,0)*0.475*44/12</f>
        <v>8.0530482722545251</v>
      </c>
      <c r="EC138" s="21">
        <f>EXP(-LN(2)/2)*EC137+(1-EXP(-LN(2)/2))/(LN(2)/2)*DW138*DZ138*VLOOKUP('Données projet'!$B$14,Paramètres!$A$1:$I$89,3,0)*0.475*44/12</f>
        <v>2.8976395869333825E-10</v>
      </c>
      <c r="ED138" s="22">
        <f t="shared" si="126"/>
        <v>66.649637960313171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3.800000000000002</v>
      </c>
      <c r="EJ138" s="12">
        <f>IF('Données projet'!$A$192&gt;35,EJ137+EI138-ER137,IF(A138&lt;'Données projet'!$A$192,$EG$205^A138,IF(A138='Données projet'!$A$192,'Données projet'!$B$192,EJ137+EI138-ER137)))</f>
        <v>198.1999999999999</v>
      </c>
      <c r="EK138" s="17">
        <f>EJ138*VLOOKUP('Données projet'!$B$15,Paramètres!$A$1:$I$89,3,0)*VLOOKUP('Données projet'!$B$15,Paramètres!$A$1:$I$89,5,0)</f>
        <v>213.34247999999988</v>
      </c>
      <c r="EL138" s="13">
        <f t="shared" si="153"/>
        <v>52.665329031322919</v>
      </c>
      <c r="EM138" s="20">
        <f t="shared" si="127"/>
        <v>463.29693406288715</v>
      </c>
      <c r="EN138" s="59">
        <f t="shared" si="128"/>
        <v>756.63026739622046</v>
      </c>
      <c r="EO138" s="59">
        <f ca="1">AVERAGE(OFFSET($EN$3,0,0,'Données projet'!$E$15+1,1))-AVERAGE(OFFSET($H$3,0,0,'Données projet'!$E$15+1,1))</f>
        <v>130.76477588601989</v>
      </c>
      <c r="EP138" s="59">
        <f t="shared" si="154"/>
        <v>94.034011511502172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40.651074742318983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40.651074742318983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-2.2737367544323206E-13</v>
      </c>
      <c r="FF138" s="17">
        <f>FE138*VLOOKUP('Données projet'!$B$16,Paramètres!$A$1:$I$89,3,0)*VLOOKUP('Données projet'!$B$16,Paramètres!$A$1:$I$89,5,0)</f>
        <v>-1.0345502232667058E-13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279.43442619866738</v>
      </c>
      <c r="FK138" s="59">
        <f t="shared" si="156"/>
        <v>355.95192241448217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47.694898583067641</v>
      </c>
      <c r="FR138" s="21">
        <f>EXP(-LN(2)/25)*FR137+(1-EXP(-LN(2)/25))/(LN(2)/25)*Calculateur!FM138*Calculateur!FO138*VLOOKUP('Données projet'!$B$16,Paramètres!$A$1:$I$89,3,0)*0.475*44/12</f>
        <v>6.5548067332304312</v>
      </c>
      <c r="FS138" s="21">
        <f>EXP(-LN(2)/2)*FS137+(1-EXP(-LN(2)/2))/(LN(2)/2)*FM138*FP138*VLOOKUP('Données projet'!$B$16,Paramètres!$A$1:$I$89,3,0)*0.475*44/12</f>
        <v>2.3585438498294975E-10</v>
      </c>
      <c r="FT138" s="22">
        <f t="shared" si="132"/>
        <v>54.249705316533927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-6.7984728957526396E-14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227.89848316900191</v>
      </c>
      <c r="T139" s="59">
        <f t="shared" si="142"/>
        <v>239.85955661394541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31.813247192750897</v>
      </c>
      <c r="AA139" s="21">
        <f>EXP(-LN(2)/25)*AA138+(1-EXP(-LN(2)/25))/(LN(2)/25)*Calculateur!V139*Calculateur!X139*VLOOKUP('Données projet'!$B$9,Paramètres!$A$1:$I$89,3,0)*0.475*44/12</f>
        <v>4.1995133461306997</v>
      </c>
      <c r="AB139" s="21">
        <f>EXP(-LN(2)/2)*AB138+(1-EXP(-LN(2)/2))/(LN(2)/2)*V139*Y139*VLOOKUP('Données projet'!$B$9,Paramètres!$A$1:$I$89,3,0)*0.475*44/12</f>
        <v>2.6672249316408533E-10</v>
      </c>
      <c r="AC139" s="22">
        <f t="shared" si="111"/>
        <v>36.012760539148317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-5.6843418860808015E-14</v>
      </c>
      <c r="AJ139" s="13">
        <f>AI139*VLOOKUP('Données projet'!$B$10,Paramètres!$A$1:$I$89,3,0)*VLOOKUP('Données projet'!$B$10,Paramètres!$A$1:$I$89,5,0)</f>
        <v>-5.1431925385259088E-14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215.7418266360167</v>
      </c>
      <c r="AO139" s="59">
        <f t="shared" si="144"/>
        <v>155.78420008229949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161.65451527630853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161.65451527630853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4.75</v>
      </c>
      <c r="BD139" s="12">
        <f>IF('Données projet'!$A$88&gt;35,BD138+BC139-BL138,IF(A139&lt;'Données projet'!$A$88,$BA$205^A139,IF(A139='Données projet'!$A$88,'Données projet'!$B$88,BD138+BC139-BL138)))</f>
        <v>252.50000000000014</v>
      </c>
      <c r="BE139" s="13">
        <f>BD139*VLOOKUP('Données projet'!$B$11,Paramètres!$A$1:$I$89,3,0)*VLOOKUP('Données projet'!$B$11,Paramètres!$A$1:$I$89,5,0)</f>
        <v>256.03500000000014</v>
      </c>
      <c r="BF139" s="13">
        <f t="shared" si="145"/>
        <v>61.87644575617616</v>
      </c>
      <c r="BG139" s="20">
        <f t="shared" si="115"/>
        <v>553.69576802534039</v>
      </c>
      <c r="BH139" s="59">
        <f t="shared" si="116"/>
        <v>847.02910135867364</v>
      </c>
      <c r="BI139" s="59">
        <f ca="1">AVERAGE(OFFSET($BH$3,0,0,'Données projet'!$E$11+1,1))-AVERAGE(OFFSET($H$3,0,0,'Données projet'!$E$11+1,1))</f>
        <v>179.53921263314447</v>
      </c>
      <c r="BJ139" s="59">
        <f t="shared" si="146"/>
        <v>120.81513023281337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46.929448867507503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46.929448867507503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500.00000000000045</v>
      </c>
      <c r="BZ139" s="13">
        <f>BY139*VLOOKUP('Données projet'!$B$12,Paramètres!$A$1:$I$89,3,0)*VLOOKUP('Données projet'!$B$12,Paramètres!$A$1:$I$89,5,0)</f>
        <v>234.00000000000023</v>
      </c>
      <c r="CA139" s="13">
        <f t="shared" si="147"/>
        <v>57.146705242557189</v>
      </c>
      <c r="CB139" s="20">
        <f t="shared" si="118"/>
        <v>507.08051163078744</v>
      </c>
      <c r="CC139" s="59">
        <f t="shared" si="119"/>
        <v>800.4138449641207</v>
      </c>
      <c r="CD139" s="59">
        <f ca="1">AVERAGE(OFFSET($CC$3,0,0,'Données projet'!$E$12+1,1))-AVERAGE(OFFSET($H$3,0,0,'Données projet'!$E$12+1,1))</f>
        <v>310.06530483941287</v>
      </c>
      <c r="CE139" s="59">
        <f t="shared" si="148"/>
        <v>170.13425794309376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55.669804523936229</v>
      </c>
      <c r="CL139" s="21">
        <f>EXP(-LN(2)/25)*CL138+(1-EXP(-LN(2)/25))/(LN(2)/25)*Calculateur!CG139*Calculateur!CI139*VLOOKUP('Données projet'!$B$12,Paramètres!$A$1:$I$89,3,0)*0.475*44/12</f>
        <v>8.8674009383260177</v>
      </c>
      <c r="CM139" s="21">
        <f>EXP(-LN(2)/2)*CM138+(1-EXP(-LN(2)/2))/(LN(2)/2)*CG139*CJ139*VLOOKUP('Données projet'!$B$12,Paramètres!$A$1:$I$89,3,0)*0.475*44/12</f>
        <v>2.8058221875108863E-5</v>
      </c>
      <c r="CN139" s="22">
        <f t="shared" si="120"/>
        <v>64.537233520484122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168.08890945052406</v>
      </c>
      <c r="CZ139" s="59">
        <f t="shared" si="150"/>
        <v>182.52462557642343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25.173175768802803</v>
      </c>
      <c r="DG139" s="21">
        <f>EXP(-LN(2)/25)*DG138+(1-EXP(-LN(2)/25))/(LN(2)/25)*Calculateur!DB139*Calculateur!DD139*VLOOKUP('Données projet'!$B$13,Paramètres!$A$1:$I$89,3,0)*0.475*44/12</f>
        <v>3.4712593458333627</v>
      </c>
      <c r="DH139" s="21">
        <f>EXP(-LN(2)/2)*DH138+(1-EXP(-LN(2)/2))/(LN(2)/2)*DB139*DE139*VLOOKUP('Données projet'!$B$13,Paramètres!$A$1:$I$89,3,0)*0.475*44/12</f>
        <v>2.0622770565950493E-10</v>
      </c>
      <c r="DI139" s="22">
        <f t="shared" si="123"/>
        <v>28.644435114842395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-2.2737367544323206E-13</v>
      </c>
      <c r="DP139" s="17">
        <f>DO139*VLOOKUP('Données projet'!$B$14,Paramètres!$A$1:$I$89,3,0)*VLOOKUP('Données projet'!$B$14,Paramètres!$A$1:$I$89,5,0)</f>
        <v>-1.2710188457276673E-13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355.23615781077405</v>
      </c>
      <c r="DU139" s="59">
        <f t="shared" si="152"/>
        <v>448.84541017639367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57.447546304382378</v>
      </c>
      <c r="EB139" s="21">
        <f>EXP(-LN(2)/25)*EB138+(1-EXP(-LN(2)/25))/(LN(2)/25)*Calculateur!DW139*Calculateur!DY139*VLOOKUP('Données projet'!$B$14,Paramètres!$A$1:$I$89,3,0)*0.475*44/12</f>
        <v>7.8328372437583216</v>
      </c>
      <c r="EC139" s="21">
        <f>EXP(-LN(2)/2)*EC138+(1-EXP(-LN(2)/2))/(LN(2)/2)*DW139*DZ139*VLOOKUP('Données projet'!$B$14,Paramètres!$A$1:$I$89,3,0)*0.475*44/12</f>
        <v>2.0489406013551813E-10</v>
      </c>
      <c r="ED139" s="22">
        <f t="shared" si="126"/>
        <v>65.280383548345597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3.800000000000002</v>
      </c>
      <c r="EJ139" s="12">
        <f>IF('Données projet'!$A$192&gt;35,EJ138+EI139-ER138,IF(A139&lt;'Données projet'!$A$192,$EG$205^A139,IF(A139='Données projet'!$A$192,'Données projet'!$B$192,EJ138+EI139-ER138)))</f>
        <v>201.99999999999991</v>
      </c>
      <c r="EK139" s="17">
        <f>EJ139*VLOOKUP('Données projet'!$B$15,Paramètres!$A$1:$I$89,3,0)*VLOOKUP('Données projet'!$B$15,Paramètres!$A$1:$I$89,5,0)</f>
        <v>217.4327999999999</v>
      </c>
      <c r="EL139" s="13">
        <f t="shared" si="153"/>
        <v>53.556536889714792</v>
      </c>
      <c r="EM139" s="20">
        <f t="shared" si="127"/>
        <v>471.97309508291983</v>
      </c>
      <c r="EN139" s="59">
        <f t="shared" si="128"/>
        <v>765.30642841625308</v>
      </c>
      <c r="EO139" s="59">
        <f ca="1">AVERAGE(OFFSET($EN$3,0,0,'Données projet'!$E$15+1,1))-AVERAGE(OFFSET($H$3,0,0,'Données projet'!$E$15+1,1))</f>
        <v>130.76477588601989</v>
      </c>
      <c r="EP139" s="59">
        <f t="shared" si="154"/>
        <v>94.034011511502172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39.85393196132943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39.85393196132943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-2.2737367544323206E-13</v>
      </c>
      <c r="FF139" s="17">
        <f>FE139*VLOOKUP('Données projet'!$B$16,Paramètres!$A$1:$I$89,3,0)*VLOOKUP('Données projet'!$B$16,Paramètres!$A$1:$I$89,5,0)</f>
        <v>-1.0345502232667058E-13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279.43442619866738</v>
      </c>
      <c r="FK139" s="59">
        <f t="shared" si="156"/>
        <v>355.95192241448217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46.759630712869324</v>
      </c>
      <c r="FR139" s="21">
        <f>EXP(-LN(2)/25)*FR138+(1-EXP(-LN(2)/25))/(LN(2)/25)*Calculateur!FM139*Calculateur!FO139*VLOOKUP('Données projet'!$B$16,Paramètres!$A$1:$I$89,3,0)*0.475*44/12</f>
        <v>6.3755651984079398</v>
      </c>
      <c r="FS139" s="21">
        <f>EXP(-LN(2)/2)*FS138+(1-EXP(-LN(2)/2))/(LN(2)/2)*FM139*FP139*VLOOKUP('Données projet'!$B$16,Paramètres!$A$1:$I$89,3,0)*0.475*44/12</f>
        <v>1.6677423499402639E-10</v>
      </c>
      <c r="FT139" s="22">
        <f t="shared" si="132"/>
        <v>53.135195911444036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-6.7984728957526396E-14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227.89848316900191</v>
      </c>
      <c r="T140" s="59">
        <f t="shared" si="142"/>
        <v>239.85955661394541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31.189408819465836</v>
      </c>
      <c r="AA140" s="21">
        <f>EXP(-LN(2)/25)*AA139+(1-EXP(-LN(2)/25))/(LN(2)/25)*Calculateur!V140*Calculateur!X140*VLOOKUP('Données projet'!$B$9,Paramètres!$A$1:$I$89,3,0)*0.475*44/12</f>
        <v>4.0846774328379469</v>
      </c>
      <c r="AB140" s="21">
        <f>EXP(-LN(2)/2)*AB139+(1-EXP(-LN(2)/2))/(LN(2)/2)*V140*Y140*VLOOKUP('Données projet'!$B$9,Paramètres!$A$1:$I$89,3,0)*0.475*44/12</f>
        <v>1.886012836113073E-10</v>
      </c>
      <c r="AC140" s="22">
        <f t="shared" si="111"/>
        <v>35.274086252492381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-5.6843418860808015E-14</v>
      </c>
      <c r="AJ140" s="13">
        <f>AI140*VLOOKUP('Données projet'!$B$10,Paramètres!$A$1:$I$89,3,0)*VLOOKUP('Données projet'!$B$10,Paramètres!$A$1:$I$89,5,0)</f>
        <v>-5.1431925385259088E-14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215.7418266360167</v>
      </c>
      <c r="AO140" s="59">
        <f t="shared" si="144"/>
        <v>155.78420008229949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158.48456883125854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158.48456883125854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4.75</v>
      </c>
      <c r="BD140" s="12">
        <f>IF('Données projet'!$A$88&gt;35,BD139+BC140-BL139,IF(A140&lt;'Données projet'!$A$88,$BA$205^A140,IF(A140='Données projet'!$A$88,'Données projet'!$B$88,BD139+BC140-BL139)))</f>
        <v>257.25000000000011</v>
      </c>
      <c r="BE140" s="13">
        <f>BD140*VLOOKUP('Données projet'!$B$11,Paramètres!$A$1:$I$89,3,0)*VLOOKUP('Données projet'!$B$11,Paramètres!$A$1:$I$89,5,0)</f>
        <v>260.85150000000016</v>
      </c>
      <c r="BF140" s="13">
        <f t="shared" si="145"/>
        <v>62.903848792523881</v>
      </c>
      <c r="BG140" s="20">
        <f t="shared" si="115"/>
        <v>563.8738991469794</v>
      </c>
      <c r="BH140" s="59">
        <f t="shared" si="116"/>
        <v>857.20723248031277</v>
      </c>
      <c r="BI140" s="59">
        <f ca="1">AVERAGE(OFFSET($BH$3,0,0,'Données projet'!$E$11+1,1))-AVERAGE(OFFSET($H$3,0,0,'Données projet'!$E$11+1,1))</f>
        <v>179.53921263314447</v>
      </c>
      <c r="BJ140" s="59">
        <f t="shared" si="146"/>
        <v>120.81513023281337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46.009190999353095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46.009190999353095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500.00000000000045</v>
      </c>
      <c r="BZ140" s="13">
        <f>BY140*VLOOKUP('Données projet'!$B$12,Paramètres!$A$1:$I$89,3,0)*VLOOKUP('Données projet'!$B$12,Paramètres!$A$1:$I$89,5,0)</f>
        <v>234.00000000000023</v>
      </c>
      <c r="CA140" s="13">
        <f t="shared" si="147"/>
        <v>57.146705242557189</v>
      </c>
      <c r="CB140" s="20">
        <f t="shared" si="118"/>
        <v>507.08051163078744</v>
      </c>
      <c r="CC140" s="59">
        <f t="shared" si="119"/>
        <v>800.4138449641207</v>
      </c>
      <c r="CD140" s="59">
        <f ca="1">AVERAGE(OFFSET($CC$3,0,0,'Données projet'!$E$12+1,1))-AVERAGE(OFFSET($H$3,0,0,'Données projet'!$E$12+1,1))</f>
        <v>310.06530483941287</v>
      </c>
      <c r="CE140" s="59">
        <f t="shared" si="148"/>
        <v>170.13425794309376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54.578153612449796</v>
      </c>
      <c r="CL140" s="21">
        <f>EXP(-LN(2)/25)*CL139+(1-EXP(-LN(2)/25))/(LN(2)/25)*Calculateur!CG140*Calculateur!CI140*VLOOKUP('Données projet'!$B$12,Paramètres!$A$1:$I$89,3,0)*0.475*44/12</f>
        <v>8.6249213933511442</v>
      </c>
      <c r="CM140" s="21">
        <f>EXP(-LN(2)/2)*CM139+(1-EXP(-LN(2)/2))/(LN(2)/2)*CG140*CJ140*VLOOKUP('Données projet'!$B$12,Paramètres!$A$1:$I$89,3,0)*0.475*44/12</f>
        <v>1.9840158955926204E-5</v>
      </c>
      <c r="CN140" s="22">
        <f t="shared" si="120"/>
        <v>63.203094845959896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168.08890945052406</v>
      </c>
      <c r="CZ140" s="59">
        <f t="shared" si="150"/>
        <v>182.52462557642343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24.679545146097706</v>
      </c>
      <c r="DG140" s="21">
        <f>EXP(-LN(2)/25)*DG139+(1-EXP(-LN(2)/25))/(LN(2)/25)*Calculateur!DB140*Calculateur!DD140*VLOOKUP('Données projet'!$B$13,Paramètres!$A$1:$I$89,3,0)*0.475*44/12</f>
        <v>3.376337576475954</v>
      </c>
      <c r="DH140" s="21">
        <f>EXP(-LN(2)/2)*DH139+(1-EXP(-LN(2)/2))/(LN(2)/2)*DB140*DE140*VLOOKUP('Données projet'!$B$13,Paramètres!$A$1:$I$89,3,0)*0.475*44/12</f>
        <v>1.4582500914037928E-10</v>
      </c>
      <c r="DI140" s="22">
        <f t="shared" si="123"/>
        <v>28.055882722719485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-2.2737367544323206E-13</v>
      </c>
      <c r="DP140" s="17">
        <f>DO140*VLOOKUP('Données projet'!$B$14,Paramètres!$A$1:$I$89,3,0)*VLOOKUP('Données projet'!$B$14,Paramètres!$A$1:$I$89,5,0)</f>
        <v>-1.2710188457276673E-13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355.23615781077405</v>
      </c>
      <c r="DU140" s="59">
        <f t="shared" si="152"/>
        <v>448.84541017639367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56.321034960896817</v>
      </c>
      <c r="EB140" s="21">
        <f>EXP(-LN(2)/25)*EB139+(1-EXP(-LN(2)/25))/(LN(2)/25)*Calculateur!DW140*Calculateur!DY140*VLOOKUP('Données projet'!$B$14,Paramètres!$A$1:$I$89,3,0)*0.475*44/12</f>
        <v>7.618647897416742</v>
      </c>
      <c r="EC140" s="21">
        <f>EXP(-LN(2)/2)*EC139+(1-EXP(-LN(2)/2))/(LN(2)/2)*DW140*DZ140*VLOOKUP('Données projet'!$B$14,Paramètres!$A$1:$I$89,3,0)*0.475*44/12</f>
        <v>1.4488197934666913E-10</v>
      </c>
      <c r="ED140" s="22">
        <f t="shared" si="126"/>
        <v>63.93968285845844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3.800000000000002</v>
      </c>
      <c r="EJ140" s="12">
        <f>IF('Données projet'!$A$192&gt;35,EJ139+EI140-ER139,IF(A140&lt;'Données projet'!$A$192,$EG$205^A140,IF(A140='Données projet'!$A$192,'Données projet'!$B$192,EJ139+EI140-ER139)))</f>
        <v>205.79999999999993</v>
      </c>
      <c r="EK140" s="17">
        <f>EJ140*VLOOKUP('Données projet'!$B$15,Paramètres!$A$1:$I$89,3,0)*VLOOKUP('Données projet'!$B$15,Paramètres!$A$1:$I$89,5,0)</f>
        <v>221.52311999999989</v>
      </c>
      <c r="EL140" s="13">
        <f t="shared" si="153"/>
        <v>54.445795281083676</v>
      </c>
      <c r="EM140" s="20">
        <f t="shared" si="127"/>
        <v>480.64586078122056</v>
      </c>
      <c r="EN140" s="59">
        <f t="shared" si="128"/>
        <v>773.97919411455382</v>
      </c>
      <c r="EO140" s="59">
        <f ca="1">AVERAGE(OFFSET($EN$3,0,0,'Données projet'!$E$15+1,1))-AVERAGE(OFFSET($H$3,0,0,'Données projet'!$E$15+1,1))</f>
        <v>130.76477588601989</v>
      </c>
      <c r="EP140" s="59">
        <f t="shared" si="154"/>
        <v>94.034011511502172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39.072420664065994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39.072420664065994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-2.2737367544323206E-13</v>
      </c>
      <c r="FF140" s="17">
        <f>FE140*VLOOKUP('Données projet'!$B$16,Paramètres!$A$1:$I$89,3,0)*VLOOKUP('Données projet'!$B$16,Paramètres!$A$1:$I$89,5,0)</f>
        <v>-1.0345502232667058E-13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279.43442619866738</v>
      </c>
      <c r="FK140" s="59">
        <f t="shared" si="156"/>
        <v>355.95192241448217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45.842702875148518</v>
      </c>
      <c r="FR140" s="21">
        <f>EXP(-LN(2)/25)*FR139+(1-EXP(-LN(2)/25))/(LN(2)/25)*Calculateur!FM140*Calculateur!FO140*VLOOKUP('Données projet'!$B$16,Paramètres!$A$1:$I$89,3,0)*0.475*44/12</f>
        <v>6.2012250327810721</v>
      </c>
      <c r="FS140" s="21">
        <f>EXP(-LN(2)/2)*FS139+(1-EXP(-LN(2)/2))/(LN(2)/2)*FM140*FP140*VLOOKUP('Données projet'!$B$16,Paramètres!$A$1:$I$89,3,0)*0.475*44/12</f>
        <v>1.1792719249147487E-10</v>
      </c>
      <c r="FT140" s="22">
        <f t="shared" si="132"/>
        <v>52.043927908047522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-6.7984728957526396E-14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227.89848316900191</v>
      </c>
      <c r="T141" s="59">
        <f t="shared" si="142"/>
        <v>239.85955661394541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30.577803536177061</v>
      </c>
      <c r="AA141" s="21">
        <f>EXP(-LN(2)/25)*AA140+(1-EXP(-LN(2)/25))/(LN(2)/25)*Calculateur!V141*Calculateur!X141*VLOOKUP('Données projet'!$B$9,Paramètres!$A$1:$I$89,3,0)*0.475*44/12</f>
        <v>3.9729817136331427</v>
      </c>
      <c r="AB141" s="21">
        <f>EXP(-LN(2)/2)*AB140+(1-EXP(-LN(2)/2))/(LN(2)/2)*V141*Y141*VLOOKUP('Données projet'!$B$9,Paramètres!$A$1:$I$89,3,0)*0.475*44/12</f>
        <v>1.3336124658204267E-10</v>
      </c>
      <c r="AC141" s="22">
        <f t="shared" si="111"/>
        <v>34.550785249943566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-5.6843418860808015E-14</v>
      </c>
      <c r="AJ141" s="13">
        <f>AI141*VLOOKUP('Données projet'!$B$10,Paramètres!$A$1:$I$89,3,0)*VLOOKUP('Données projet'!$B$10,Paramètres!$A$1:$I$89,5,0)</f>
        <v>-5.1431925385259088E-14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215.7418266360167</v>
      </c>
      <c r="AO141" s="59">
        <f t="shared" si="144"/>
        <v>155.78420008229949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155.37678310251957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155.37678310251957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>
        <f>VLOOKUP(A141,'Données projet'!$A$87:$I$107,2,0)</f>
        <v>262</v>
      </c>
      <c r="BB141" s="12">
        <f>VLOOKUP(A141,'Données projet'!$A$87:$I$107,9,0)</f>
        <v>4.75</v>
      </c>
      <c r="BC141" s="12">
        <f t="array" ref="BC141">INDEX(BB:BB,MIN(IF(ISNUMBER(BB141:BB337),ROW(BB141:BB337),"")))</f>
        <v>4.75</v>
      </c>
      <c r="BD141" s="12">
        <f>IF('Données projet'!$A$88&gt;35,BD140+BC141-BL140,IF(A141&lt;'Données projet'!$A$88,$BA$205^A141,IF(A141='Données projet'!$A$88,'Données projet'!$B$88,BD140+BC141-BL140)))</f>
        <v>262.00000000000011</v>
      </c>
      <c r="BE141" s="13">
        <f>BD141*VLOOKUP('Données projet'!$B$11,Paramètres!$A$1:$I$89,3,0)*VLOOKUP('Données projet'!$B$11,Paramètres!$A$1:$I$89,5,0)</f>
        <v>265.66800000000012</v>
      </c>
      <c r="BF141" s="13">
        <f t="shared" si="145"/>
        <v>63.929045899944406</v>
      </c>
      <c r="BG141" s="20">
        <f t="shared" si="115"/>
        <v>574.04818827573672</v>
      </c>
      <c r="BH141" s="59">
        <f t="shared" si="116"/>
        <v>867.38152160906998</v>
      </c>
      <c r="BI141" s="59">
        <f ca="1">AVERAGE(OFFSET($BH$3,0,0,'Données projet'!$E$11+1,1))-AVERAGE(OFFSET($H$3,0,0,'Données projet'!$E$11+1,1))</f>
        <v>179.53921263314447</v>
      </c>
      <c r="BJ141" s="59">
        <f t="shared" si="146"/>
        <v>120.81513023281337</v>
      </c>
      <c r="BK141" s="15">
        <f>IF(ISNA(VLOOKUP(A141,'Données projet'!$A$87:$I$107,3,0)),0,VLOOKUP(A141,'Données projet'!$A$87:$I$107,3,0))</f>
        <v>11</v>
      </c>
      <c r="BL141" s="15">
        <f>IF(ISNA(VLOOKUP(A141,'Données projet'!$A$87:$I$107,4,0)),0,VLOOKUP(A141,'Données projet'!$A$87:$I$107,4,0))</f>
        <v>39</v>
      </c>
      <c r="BM141" s="16">
        <f>IF(ISNA(VLOOKUP(A141,'Données projet'!$A$87:$I$107,5,0)),0%,VLOOKUP(A141,'Données projet'!$A$87:$I$107,5,0)*VLOOKUP('Données projet'!$B$11,Paramètres!$A$1:$I$89,7,0))</f>
        <v>0.38700000000000001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62.025431367118202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62.025431367118202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500.00000000000045</v>
      </c>
      <c r="BZ141" s="13">
        <f>BY141*VLOOKUP('Données projet'!$B$12,Paramètres!$A$1:$I$89,3,0)*VLOOKUP('Données projet'!$B$12,Paramètres!$A$1:$I$89,5,0)</f>
        <v>234.00000000000023</v>
      </c>
      <c r="CA141" s="13">
        <f t="shared" si="147"/>
        <v>57.146705242557189</v>
      </c>
      <c r="CB141" s="20">
        <f t="shared" si="118"/>
        <v>507.08051163078744</v>
      </c>
      <c r="CC141" s="59">
        <f t="shared" si="119"/>
        <v>800.4138449641207</v>
      </c>
      <c r="CD141" s="59">
        <f ca="1">AVERAGE(OFFSET($CC$3,0,0,'Données projet'!$E$12+1,1))-AVERAGE(OFFSET($H$3,0,0,'Données projet'!$E$12+1,1))</f>
        <v>310.06530483941287</v>
      </c>
      <c r="CE141" s="59">
        <f t="shared" si="148"/>
        <v>170.13425794309376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53.507909309496306</v>
      </c>
      <c r="CL141" s="21">
        <f>EXP(-LN(2)/25)*CL140+(1-EXP(-LN(2)/25))/(LN(2)/25)*Calculateur!CG141*Calculateur!CI141*VLOOKUP('Données projet'!$B$12,Paramètres!$A$1:$I$89,3,0)*0.475*44/12</f>
        <v>8.3890724642850536</v>
      </c>
      <c r="CM141" s="21">
        <f>EXP(-LN(2)/2)*CM140+(1-EXP(-LN(2)/2))/(LN(2)/2)*CG141*CJ141*VLOOKUP('Données projet'!$B$12,Paramètres!$A$1:$I$89,3,0)*0.475*44/12</f>
        <v>1.4029110937554432E-5</v>
      </c>
      <c r="CN141" s="22">
        <f t="shared" si="120"/>
        <v>61.896995802892299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168.08890945052406</v>
      </c>
      <c r="CZ141" s="59">
        <f t="shared" si="150"/>
        <v>182.52462557642343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24.195594318818905</v>
      </c>
      <c r="DG141" s="21">
        <f>EXP(-LN(2)/25)*DG140+(1-EXP(-LN(2)/25))/(LN(2)/25)*Calculateur!DB141*Calculateur!DD141*VLOOKUP('Données projet'!$B$13,Paramètres!$A$1:$I$89,3,0)*0.475*44/12</f>
        <v>3.2840114478933424</v>
      </c>
      <c r="DH141" s="21">
        <f>EXP(-LN(2)/2)*DH140+(1-EXP(-LN(2)/2))/(LN(2)/2)*DB141*DE141*VLOOKUP('Données projet'!$B$13,Paramètres!$A$1:$I$89,3,0)*0.475*44/12</f>
        <v>1.0311385282975247E-10</v>
      </c>
      <c r="DI141" s="22">
        <f t="shared" si="123"/>
        <v>27.479605766815361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-2.2737367544323206E-13</v>
      </c>
      <c r="DP141" s="17">
        <f>DO141*VLOOKUP('Données projet'!$B$14,Paramètres!$A$1:$I$89,3,0)*VLOOKUP('Données projet'!$B$14,Paramètres!$A$1:$I$89,5,0)</f>
        <v>-1.2710188457276673E-13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355.23615781077405</v>
      </c>
      <c r="DU141" s="59">
        <f t="shared" si="152"/>
        <v>448.84541017639367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55.216613817752936</v>
      </c>
      <c r="EB141" s="21">
        <f>EXP(-LN(2)/25)*EB140+(1-EXP(-LN(2)/25))/(LN(2)/25)*Calculateur!DW141*Calculateur!DY141*VLOOKUP('Données projet'!$B$14,Paramètres!$A$1:$I$89,3,0)*0.475*44/12</f>
        <v>7.4103155700146006</v>
      </c>
      <c r="EC141" s="21">
        <f>EXP(-LN(2)/2)*EC140+(1-EXP(-LN(2)/2))/(LN(2)/2)*DW141*DZ141*VLOOKUP('Données projet'!$B$14,Paramètres!$A$1:$I$89,3,0)*0.475*44/12</f>
        <v>1.0244703006775907E-10</v>
      </c>
      <c r="ED141" s="22">
        <f t="shared" si="126"/>
        <v>62.626929387869986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>
        <f>VLOOKUP(A141,'Données projet'!$A$191:$I$211,2,0)</f>
        <v>209.60000000000002</v>
      </c>
      <c r="EH141" s="12">
        <f>VLOOKUP(A141,'Données projet'!$A$191:$I$211,9,0)</f>
        <v>3.800000000000002</v>
      </c>
      <c r="EI141" s="12">
        <f t="array" ref="EI141">INDEX(EH:EH,MIN(IF(ISNUMBER(EH141:EH337),ROW(EH141:EH337),"")))</f>
        <v>3.800000000000002</v>
      </c>
      <c r="EJ141" s="12">
        <f>IF('Données projet'!$A$192&gt;35,EJ140+EI141-ER140,IF(A141&lt;'Données projet'!$A$192,$EG$205^A141,IF(A141='Données projet'!$A$192,'Données projet'!$B$192,EJ140+EI141-ER140)))</f>
        <v>209.59999999999994</v>
      </c>
      <c r="EK141" s="17">
        <f>EJ141*VLOOKUP('Données projet'!$B$15,Paramètres!$A$1:$I$89,3,0)*VLOOKUP('Données projet'!$B$15,Paramètres!$A$1:$I$89,5,0)</f>
        <v>225.61343999999991</v>
      </c>
      <c r="EL141" s="13">
        <f t="shared" si="153"/>
        <v>55.333144352799167</v>
      </c>
      <c r="EM141" s="20">
        <f t="shared" si="127"/>
        <v>489.31530108112497</v>
      </c>
      <c r="EN141" s="59">
        <f t="shared" si="128"/>
        <v>782.64863441445823</v>
      </c>
      <c r="EO141" s="59">
        <f ca="1">AVERAGE(OFFSET($EN$3,0,0,'Données projet'!$E$15+1,1))-AVERAGE(OFFSET($H$3,0,0,'Données projet'!$E$15+1,1))</f>
        <v>130.76477588601989</v>
      </c>
      <c r="EP141" s="59">
        <f t="shared" si="154"/>
        <v>94.034011511502172</v>
      </c>
      <c r="EQ141" s="15">
        <f>IF(ISNA(VLOOKUP(A141,'Données projet'!$A$191:$I$211,3,0)),0,VLOOKUP(A141,'Données projet'!$A$191:$I$211,3,0))</f>
        <v>11</v>
      </c>
      <c r="ER141" s="15">
        <f>IF(ISNA(VLOOKUP(A141,'Données projet'!$A$191:$I$211,4,0)),0,VLOOKUP(A141,'Données projet'!$A$191:$I$211,4,0))</f>
        <v>31.200000000000003</v>
      </c>
      <c r="ES141" s="16">
        <f>IF(ISNA(VLOOKUP(A141,'Données projet'!$A$191:$I$211,5,0)),0%,VLOOKUP(A141,'Données projet'!$A$191:$I$211,5,0)*VLOOKUP('Données projet'!$B$15,Paramètres!$A$1:$I$89,7,0))</f>
        <v>0.38700000000000001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52.673904791768052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52.673904791768052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-2.2737367544323206E-13</v>
      </c>
      <c r="FF141" s="17">
        <f>FE141*VLOOKUP('Données projet'!$B$16,Paramètres!$A$1:$I$89,3,0)*VLOOKUP('Données projet'!$B$16,Paramètres!$A$1:$I$89,5,0)</f>
        <v>-1.0345502232667058E-13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279.43442619866738</v>
      </c>
      <c r="FK141" s="59">
        <f t="shared" si="156"/>
        <v>355.95192241448217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44.943755433054662</v>
      </c>
      <c r="FR141" s="21">
        <f>EXP(-LN(2)/25)*FR140+(1-EXP(-LN(2)/25))/(LN(2)/25)*Calculateur!FM141*Calculateur!FO141*VLOOKUP('Données projet'!$B$16,Paramètres!$A$1:$I$89,3,0)*0.475*44/12</f>
        <v>6.0316522081514226</v>
      </c>
      <c r="FS141" s="21">
        <f>EXP(-LN(2)/2)*FS140+(1-EXP(-LN(2)/2))/(LN(2)/2)*FM141*FP141*VLOOKUP('Données projet'!$B$16,Paramètres!$A$1:$I$89,3,0)*0.475*44/12</f>
        <v>8.3387117497013195E-11</v>
      </c>
      <c r="FT141" s="22">
        <f t="shared" si="132"/>
        <v>50.975407641289472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-6.7984728957526396E-14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227.89848316900191</v>
      </c>
      <c r="T142" s="59">
        <f t="shared" si="142"/>
        <v>239.85955661394541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29.978191459451189</v>
      </c>
      <c r="AA142" s="21">
        <f>EXP(-LN(2)/25)*AA141+(1-EXP(-LN(2)/25))/(LN(2)/25)*Calculateur!V142*Calculateur!X142*VLOOKUP('Données projet'!$B$9,Paramètres!$A$1:$I$89,3,0)*0.475*44/12</f>
        <v>3.8643403197438166</v>
      </c>
      <c r="AB142" s="21">
        <f>EXP(-LN(2)/2)*AB141+(1-EXP(-LN(2)/2))/(LN(2)/2)*V142*Y142*VLOOKUP('Données projet'!$B$9,Paramètres!$A$1:$I$89,3,0)*0.475*44/12</f>
        <v>9.4300641805653652E-11</v>
      </c>
      <c r="AC142" s="22">
        <f t="shared" si="111"/>
        <v>33.84253177928931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-5.6843418860808015E-14</v>
      </c>
      <c r="AJ142" s="13">
        <f>AI142*VLOOKUP('Données projet'!$B$10,Paramètres!$A$1:$I$89,3,0)*VLOOKUP('Données projet'!$B$10,Paramètres!$A$1:$I$89,5,0)</f>
        <v>-5.1431925385259088E-14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215.7418266360167</v>
      </c>
      <c r="AO142" s="59">
        <f t="shared" si="144"/>
        <v>155.78420008229949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152.32993915635905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152.32993915635905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4.8666666666666663</v>
      </c>
      <c r="BD142" s="12">
        <f>IF('Données projet'!$A$88&gt;35,BD141+BC142-BL141,IF(A142&lt;'Données projet'!$A$88,$BA$205^A142,IF(A142='Données projet'!$A$88,'Données projet'!$B$88,BD141+BC142-BL141)))</f>
        <v>227.86666666666679</v>
      </c>
      <c r="BE142" s="13">
        <f>BD142*VLOOKUP('Données projet'!$B$11,Paramètres!$A$1:$I$89,3,0)*VLOOKUP('Données projet'!$B$11,Paramètres!$A$1:$I$89,5,0)</f>
        <v>231.05680000000015</v>
      </c>
      <c r="BF142" s="13">
        <f t="shared" si="145"/>
        <v>56.51112539742202</v>
      </c>
      <c r="BG142" s="20">
        <f t="shared" si="115"/>
        <v>500.84747006717697</v>
      </c>
      <c r="BH142" s="59">
        <f t="shared" si="116"/>
        <v>794.18080340051029</v>
      </c>
      <c r="BI142" s="59">
        <f ca="1">AVERAGE(OFFSET($BH$3,0,0,'Données projet'!$E$11+1,1))-AVERAGE(OFFSET($H$3,0,0,'Données projet'!$E$11+1,1))</f>
        <v>179.53921263314447</v>
      </c>
      <c r="BJ142" s="59">
        <f t="shared" si="146"/>
        <v>120.81513023281337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60.809150489786568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60.809150489786568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500.00000000000045</v>
      </c>
      <c r="BZ142" s="13">
        <f>BY142*VLOOKUP('Données projet'!$B$12,Paramètres!$A$1:$I$89,3,0)*VLOOKUP('Données projet'!$B$12,Paramètres!$A$1:$I$89,5,0)</f>
        <v>234.00000000000023</v>
      </c>
      <c r="CA142" s="13">
        <f t="shared" si="147"/>
        <v>57.146705242557189</v>
      </c>
      <c r="CB142" s="20">
        <f t="shared" si="118"/>
        <v>507.08051163078744</v>
      </c>
      <c r="CC142" s="59">
        <f t="shared" si="119"/>
        <v>800.4138449641207</v>
      </c>
      <c r="CD142" s="59">
        <f ca="1">AVERAGE(OFFSET($CC$3,0,0,'Données projet'!$E$12+1,1))-AVERAGE(OFFSET($H$3,0,0,'Données projet'!$E$12+1,1))</f>
        <v>310.06530483941287</v>
      </c>
      <c r="CE142" s="59">
        <f t="shared" si="148"/>
        <v>170.13425794309376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52.458651844539162</v>
      </c>
      <c r="CL142" s="21">
        <f>EXP(-LN(2)/25)*CL141+(1-EXP(-LN(2)/25))/(LN(2)/25)*Calculateur!CG142*Calculateur!CI142*VLOOKUP('Données projet'!$B$12,Paramètres!$A$1:$I$89,3,0)*0.475*44/12</f>
        <v>8.1596728365870312</v>
      </c>
      <c r="CM142" s="21">
        <f>EXP(-LN(2)/2)*CM141+(1-EXP(-LN(2)/2))/(LN(2)/2)*CG142*CJ142*VLOOKUP('Données projet'!$B$12,Paramètres!$A$1:$I$89,3,0)*0.475*44/12</f>
        <v>9.920079477963102E-6</v>
      </c>
      <c r="CN142" s="22">
        <f t="shared" si="120"/>
        <v>60.618334601205675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168.08890945052406</v>
      </c>
      <c r="CZ142" s="59">
        <f t="shared" si="150"/>
        <v>182.52462557642343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23.721133472082183</v>
      </c>
      <c r="DG142" s="21">
        <f>EXP(-LN(2)/25)*DG141+(1-EXP(-LN(2)/25))/(LN(2)/25)*Calculateur!DB142*Calculateur!DD142*VLOOKUP('Données projet'!$B$13,Paramètres!$A$1:$I$89,3,0)*0.475*44/12</f>
        <v>3.1942099821520427</v>
      </c>
      <c r="DH142" s="21">
        <f>EXP(-LN(2)/2)*DH141+(1-EXP(-LN(2)/2))/(LN(2)/2)*DB142*DE142*VLOOKUP('Données projet'!$B$13,Paramètres!$A$1:$I$89,3,0)*0.475*44/12</f>
        <v>7.291250457018964E-11</v>
      </c>
      <c r="DI142" s="22">
        <f t="shared" si="123"/>
        <v>26.915343454307138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-2.2737367544323206E-13</v>
      </c>
      <c r="DP142" s="17">
        <f>DO142*VLOOKUP('Données projet'!$B$14,Paramètres!$A$1:$I$89,3,0)*VLOOKUP('Données projet'!$B$14,Paramètres!$A$1:$I$89,5,0)</f>
        <v>-1.2710188457276673E-13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355.23615781077405</v>
      </c>
      <c r="DU142" s="59">
        <f t="shared" si="152"/>
        <v>448.84541017639367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54.133849699595721</v>
      </c>
      <c r="EB142" s="21">
        <f>EXP(-LN(2)/25)*EB141+(1-EXP(-LN(2)/25))/(LN(2)/25)*Calculateur!DW142*Calculateur!DY142*VLOOKUP('Données projet'!$B$14,Paramètres!$A$1:$I$89,3,0)*0.475*44/12</f>
        <v>7.2076801010609923</v>
      </c>
      <c r="EC142" s="21">
        <f>EXP(-LN(2)/2)*EC141+(1-EXP(-LN(2)/2))/(LN(2)/2)*DW142*DZ142*VLOOKUP('Données projet'!$B$14,Paramètres!$A$1:$I$89,3,0)*0.475*44/12</f>
        <v>7.2440989673334563E-11</v>
      </c>
      <c r="ED142" s="22">
        <f t="shared" si="126"/>
        <v>61.341529800729155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3.8933333333333318</v>
      </c>
      <c r="EJ142" s="12">
        <f>IF('Données projet'!$A$192&gt;35,EJ141+EI142-ER141,IF(A142&lt;'Données projet'!$A$192,$EG$205^A142,IF(A142='Données projet'!$A$192,'Données projet'!$B$192,EJ141+EI142-ER141)))</f>
        <v>182.29333333333329</v>
      </c>
      <c r="EK142" s="17">
        <f>EJ142*VLOOKUP('Données projet'!$B$15,Paramètres!$A$1:$I$89,3,0)*VLOOKUP('Données projet'!$B$15,Paramètres!$A$1:$I$89,5,0)</f>
        <v>196.22054399999996</v>
      </c>
      <c r="EL142" s="13">
        <f t="shared" si="153"/>
        <v>48.912637677225362</v>
      </c>
      <c r="EM142" s="20">
        <f t="shared" si="127"/>
        <v>426.94029142116739</v>
      </c>
      <c r="EN142" s="59">
        <f t="shared" si="128"/>
        <v>720.2736247545007</v>
      </c>
      <c r="EO142" s="59">
        <f ca="1">AVERAGE(OFFSET($EN$3,0,0,'Données projet'!$E$15+1,1))-AVERAGE(OFFSET($H$3,0,0,'Données projet'!$E$15+1,1))</f>
        <v>130.76477588601989</v>
      </c>
      <c r="EP142" s="59">
        <f t="shared" si="154"/>
        <v>94.034011511502172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51.64100164671104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51.64100164671104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-2.2737367544323206E-13</v>
      </c>
      <c r="FF142" s="17">
        <f>FE142*VLOOKUP('Données projet'!$B$16,Paramètres!$A$1:$I$89,3,0)*VLOOKUP('Données projet'!$B$16,Paramètres!$A$1:$I$89,5,0)</f>
        <v>-1.0345502232667058E-13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279.43442619866738</v>
      </c>
      <c r="FK142" s="59">
        <f t="shared" si="156"/>
        <v>355.95192241448217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44.062435801996465</v>
      </c>
      <c r="FR142" s="21">
        <f>EXP(-LN(2)/25)*FR141+(1-EXP(-LN(2)/25))/(LN(2)/25)*Calculateur!FM142*Calculateur!FO142*VLOOKUP('Données projet'!$B$16,Paramètres!$A$1:$I$89,3,0)*0.475*44/12</f>
        <v>5.8667163613287174</v>
      </c>
      <c r="FS142" s="21">
        <f>EXP(-LN(2)/2)*FS141+(1-EXP(-LN(2)/2))/(LN(2)/2)*FM142*FP142*VLOOKUP('Données projet'!$B$16,Paramètres!$A$1:$I$89,3,0)*0.475*44/12</f>
        <v>5.8963596245737437E-11</v>
      </c>
      <c r="FT142" s="22">
        <f t="shared" si="132"/>
        <v>49.929152163384146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-6.7984728957526396E-14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227.89848316900191</v>
      </c>
      <c r="T143" s="59">
        <f t="shared" si="142"/>
        <v>239.85955661394541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29.39033740982266</v>
      </c>
      <c r="AA143" s="21">
        <f>EXP(-LN(2)/25)*AA142+(1-EXP(-LN(2)/25))/(LN(2)/25)*Calculateur!V143*Calculateur!X143*VLOOKUP('Données projet'!$B$9,Paramètres!$A$1:$I$89,3,0)*0.475*44/12</f>
        <v>3.7586697304835965</v>
      </c>
      <c r="AB143" s="21">
        <f>EXP(-LN(2)/2)*AB142+(1-EXP(-LN(2)/2))/(LN(2)/2)*V143*Y143*VLOOKUP('Données projet'!$B$9,Paramètres!$A$1:$I$89,3,0)*0.475*44/12</f>
        <v>6.6680623291021333E-11</v>
      </c>
      <c r="AC143" s="22">
        <f t="shared" si="111"/>
        <v>33.14900714037293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-5.6843418860808015E-14</v>
      </c>
      <c r="AJ143" s="13">
        <f>AI143*VLOOKUP('Données projet'!$B$10,Paramètres!$A$1:$I$89,3,0)*VLOOKUP('Données projet'!$B$10,Paramètres!$A$1:$I$89,5,0)</f>
        <v>-5.1431925385259088E-14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215.7418266360167</v>
      </c>
      <c r="AO143" s="59">
        <f t="shared" si="144"/>
        <v>155.78420008229949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149.34284196159143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149.34284196159143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4.8666666666666663</v>
      </c>
      <c r="BD143" s="12">
        <f>IF('Données projet'!$A$88&gt;35,BD142+BC143-BL142,IF(A143&lt;'Données projet'!$A$88,$BA$205^A143,IF(A143='Données projet'!$A$88,'Données projet'!$B$88,BD142+BC143-BL142)))</f>
        <v>232.73333333333346</v>
      </c>
      <c r="BE143" s="13">
        <f>BD143*VLOOKUP('Données projet'!$B$11,Paramètres!$A$1:$I$89,3,0)*VLOOKUP('Données projet'!$B$11,Paramètres!$A$1:$I$89,5,0)</f>
        <v>235.99160000000015</v>
      </c>
      <c r="BF143" s="13">
        <f t="shared" si="145"/>
        <v>57.576260128144696</v>
      </c>
      <c r="BG143" s="20">
        <f t="shared" si="115"/>
        <v>511.29735638985227</v>
      </c>
      <c r="BH143" s="59">
        <f t="shared" si="116"/>
        <v>804.63068972318558</v>
      </c>
      <c r="BI143" s="59">
        <f ca="1">AVERAGE(OFFSET($BH$3,0,0,'Données projet'!$E$11+1,1))-AVERAGE(OFFSET($H$3,0,0,'Données projet'!$E$11+1,1))</f>
        <v>179.53921263314447</v>
      </c>
      <c r="BJ143" s="59">
        <f t="shared" si="146"/>
        <v>120.81513023281337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59.616720138601323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59.616720138601323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500.00000000000045</v>
      </c>
      <c r="BZ143" s="13">
        <f>BY143*VLOOKUP('Données projet'!$B$12,Paramètres!$A$1:$I$89,3,0)*VLOOKUP('Données projet'!$B$12,Paramètres!$A$1:$I$89,5,0)</f>
        <v>234.00000000000023</v>
      </c>
      <c r="CA143" s="13">
        <f t="shared" si="147"/>
        <v>57.146705242557189</v>
      </c>
      <c r="CB143" s="20">
        <f t="shared" si="118"/>
        <v>507.08051163078744</v>
      </c>
      <c r="CC143" s="59">
        <f t="shared" si="119"/>
        <v>800.4138449641207</v>
      </c>
      <c r="CD143" s="59">
        <f ca="1">AVERAGE(OFFSET($CC$3,0,0,'Données projet'!$E$12+1,1))-AVERAGE(OFFSET($H$3,0,0,'Données projet'!$E$12+1,1))</f>
        <v>310.06530483941287</v>
      </c>
      <c r="CE143" s="59">
        <f t="shared" si="148"/>
        <v>170.13425794309376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51.429969678485968</v>
      </c>
      <c r="CL143" s="21">
        <f>EXP(-LN(2)/25)*CL142+(1-EXP(-LN(2)/25))/(LN(2)/25)*Calculateur!CG143*Calculateur!CI143*VLOOKUP('Données projet'!$B$12,Paramètres!$A$1:$I$89,3,0)*0.475*44/12</f>
        <v>7.9365461537720137</v>
      </c>
      <c r="CM143" s="21">
        <f>EXP(-LN(2)/2)*CM142+(1-EXP(-LN(2)/2))/(LN(2)/2)*CG143*CJ143*VLOOKUP('Données projet'!$B$12,Paramètres!$A$1:$I$89,3,0)*0.475*44/12</f>
        <v>7.0145554687772158E-6</v>
      </c>
      <c r="CN143" s="22">
        <f t="shared" si="120"/>
        <v>59.366522846813453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168.08890945052406</v>
      </c>
      <c r="CZ143" s="59">
        <f t="shared" si="150"/>
        <v>182.52462557642343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23.255976513157428</v>
      </c>
      <c r="DG143" s="21">
        <f>EXP(-LN(2)/25)*DG142+(1-EXP(-LN(2)/25))/(LN(2)/25)*Calculateur!DB143*Calculateur!DD143*VLOOKUP('Données projet'!$B$13,Paramètres!$A$1:$I$89,3,0)*0.475*44/12</f>
        <v>3.1068641422138925</v>
      </c>
      <c r="DH143" s="21">
        <f>EXP(-LN(2)/2)*DH142+(1-EXP(-LN(2)/2))/(LN(2)/2)*DB143*DE143*VLOOKUP('Données projet'!$B$13,Paramètres!$A$1:$I$89,3,0)*0.475*44/12</f>
        <v>5.1556926414876233E-11</v>
      </c>
      <c r="DI143" s="22">
        <f t="shared" si="123"/>
        <v>26.362840655422879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-2.2737367544323206E-13</v>
      </c>
      <c r="DP143" s="17">
        <f>DO143*VLOOKUP('Données projet'!$B$14,Paramètres!$A$1:$I$89,3,0)*VLOOKUP('Données projet'!$B$14,Paramètres!$A$1:$I$89,5,0)</f>
        <v>-1.2710188457276673E-13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355.23615781077405</v>
      </c>
      <c r="DU143" s="59">
        <f t="shared" si="152"/>
        <v>448.84541017639367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53.072317925374669</v>
      </c>
      <c r="EB143" s="21">
        <f>EXP(-LN(2)/25)*EB142+(1-EXP(-LN(2)/25))/(LN(2)/25)*Calculateur!DW143*Calculateur!DY143*VLOOKUP('Données projet'!$B$14,Paramètres!$A$1:$I$89,3,0)*0.475*44/12</f>
        <v>7.0105857096620561</v>
      </c>
      <c r="EC143" s="21">
        <f>EXP(-LN(2)/2)*EC142+(1-EXP(-LN(2)/2))/(LN(2)/2)*DW143*DZ143*VLOOKUP('Données projet'!$B$14,Paramètres!$A$1:$I$89,3,0)*0.475*44/12</f>
        <v>5.1223515033879533E-11</v>
      </c>
      <c r="ED143" s="22">
        <f t="shared" si="126"/>
        <v>60.082903635087952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3.8933333333333318</v>
      </c>
      <c r="EJ143" s="12">
        <f>IF('Données projet'!$A$192&gt;35,EJ142+EI143-ER142,IF(A143&lt;'Données projet'!$A$192,$EG$205^A143,IF(A143='Données projet'!$A$192,'Données projet'!$B$192,EJ142+EI143-ER142)))</f>
        <v>186.18666666666664</v>
      </c>
      <c r="EK143" s="17">
        <f>EJ143*VLOOKUP('Données projet'!$B$15,Paramètres!$A$1:$I$89,3,0)*VLOOKUP('Données projet'!$B$15,Paramètres!$A$1:$I$89,5,0)</f>
        <v>200.41132799999994</v>
      </c>
      <c r="EL143" s="13">
        <f t="shared" si="153"/>
        <v>49.834554358142171</v>
      </c>
      <c r="EM143" s="20">
        <f t="shared" si="127"/>
        <v>435.84491177376418</v>
      </c>
      <c r="EN143" s="59">
        <f t="shared" si="128"/>
        <v>729.1782451070975</v>
      </c>
      <c r="EO143" s="59">
        <f ca="1">AVERAGE(OFFSET($EN$3,0,0,'Données projet'!$E$15+1,1))-AVERAGE(OFFSET($H$3,0,0,'Données projet'!$E$15+1,1))</f>
        <v>130.76477588601989</v>
      </c>
      <c r="EP143" s="59">
        <f t="shared" si="154"/>
        <v>94.034011511502172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50.628353102319878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50.628353102319878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-2.2737367544323206E-13</v>
      </c>
      <c r="FF143" s="17">
        <f>FE143*VLOOKUP('Données projet'!$B$16,Paramètres!$A$1:$I$89,3,0)*VLOOKUP('Données projet'!$B$16,Paramètres!$A$1:$I$89,5,0)</f>
        <v>-1.0345502232667058E-13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279.43442619866738</v>
      </c>
      <c r="FK143" s="59">
        <f t="shared" si="156"/>
        <v>355.95192241448217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43.198398311351426</v>
      </c>
      <c r="FR143" s="21">
        <f>EXP(-LN(2)/25)*FR142+(1-EXP(-LN(2)/25))/(LN(2)/25)*Calculateur!FM143*Calculateur!FO143*VLOOKUP('Données projet'!$B$16,Paramètres!$A$1:$I$89,3,0)*0.475*44/12</f>
        <v>5.7062906939109785</v>
      </c>
      <c r="FS143" s="21">
        <f>EXP(-LN(2)/2)*FS142+(1-EXP(-LN(2)/2))/(LN(2)/2)*FM143*FP143*VLOOKUP('Données projet'!$B$16,Paramètres!$A$1:$I$89,3,0)*0.475*44/12</f>
        <v>4.1693558748506598E-11</v>
      </c>
      <c r="FT143" s="22">
        <f t="shared" si="132"/>
        <v>48.9046890053041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-6.7984728957526396E-14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227.89848316900191</v>
      </c>
      <c r="T144" s="59">
        <f t="shared" si="142"/>
        <v>239.85955661394541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28.814010819551779</v>
      </c>
      <c r="AA144" s="21">
        <f>EXP(-LN(2)/25)*AA143+(1-EXP(-LN(2)/25))/(LN(2)/25)*Calculateur!V144*Calculateur!X144*VLOOKUP('Données projet'!$B$9,Paramètres!$A$1:$I$89,3,0)*0.475*44/12</f>
        <v>3.6558887090436718</v>
      </c>
      <c r="AB144" s="21">
        <f>EXP(-LN(2)/2)*AB143+(1-EXP(-LN(2)/2))/(LN(2)/2)*V144*Y144*VLOOKUP('Données projet'!$B$9,Paramètres!$A$1:$I$89,3,0)*0.475*44/12</f>
        <v>4.7150320902826826E-11</v>
      </c>
      <c r="AC144" s="22">
        <f t="shared" si="111"/>
        <v>32.4698995286426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-5.6843418860808015E-14</v>
      </c>
      <c r="AJ144" s="13">
        <f>AI144*VLOOKUP('Données projet'!$B$10,Paramètres!$A$1:$I$89,3,0)*VLOOKUP('Données projet'!$B$10,Paramètres!$A$1:$I$89,5,0)</f>
        <v>-5.1431925385259088E-14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215.7418266360167</v>
      </c>
      <c r="AO144" s="59">
        <f t="shared" si="144"/>
        <v>155.78420008229949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146.41431992086382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146.41431992086382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4.8666666666666663</v>
      </c>
      <c r="BD144" s="12">
        <f>IF('Données projet'!$A$88&gt;35,BD143+BC144-BL143,IF(A144&lt;'Données projet'!$A$88,$BA$205^A144,IF(A144='Données projet'!$A$88,'Données projet'!$B$88,BD143+BC144-BL143)))</f>
        <v>237.60000000000014</v>
      </c>
      <c r="BE144" s="13">
        <f>BD144*VLOOKUP('Données projet'!$B$11,Paramètres!$A$1:$I$89,3,0)*VLOOKUP('Données projet'!$B$11,Paramètres!$A$1:$I$89,5,0)</f>
        <v>240.92640000000014</v>
      </c>
      <c r="BF144" s="13">
        <f t="shared" si="145"/>
        <v>58.638805241742872</v>
      </c>
      <c r="BG144" s="20">
        <f t="shared" si="115"/>
        <v>521.74273246270229</v>
      </c>
      <c r="BH144" s="59">
        <f t="shared" si="116"/>
        <v>815.07606579603566</v>
      </c>
      <c r="BI144" s="59">
        <f ca="1">AVERAGE(OFFSET($BH$3,0,0,'Données projet'!$E$11+1,1))-AVERAGE(OFFSET($H$3,0,0,'Données projet'!$E$11+1,1))</f>
        <v>179.53921263314447</v>
      </c>
      <c r="BJ144" s="59">
        <f t="shared" si="146"/>
        <v>120.81513023281337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58.447672619292128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58.447672619292128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500.00000000000045</v>
      </c>
      <c r="BZ144" s="13">
        <f>BY144*VLOOKUP('Données projet'!$B$12,Paramètres!$A$1:$I$89,3,0)*VLOOKUP('Données projet'!$B$12,Paramètres!$A$1:$I$89,5,0)</f>
        <v>234.00000000000023</v>
      </c>
      <c r="CA144" s="13">
        <f t="shared" si="147"/>
        <v>57.146705242557189</v>
      </c>
      <c r="CB144" s="20">
        <f t="shared" si="118"/>
        <v>507.08051163078744</v>
      </c>
      <c r="CC144" s="59">
        <f t="shared" si="119"/>
        <v>800.4138449641207</v>
      </c>
      <c r="CD144" s="59">
        <f ca="1">AVERAGE(OFFSET($CC$3,0,0,'Données projet'!$E$12+1,1))-AVERAGE(OFFSET($H$3,0,0,'Données projet'!$E$12+1,1))</f>
        <v>310.06530483941287</v>
      </c>
      <c r="CE144" s="59">
        <f t="shared" si="148"/>
        <v>170.13425794309376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50.421459342274915</v>
      </c>
      <c r="CL144" s="21">
        <f>EXP(-LN(2)/25)*CL143+(1-EXP(-LN(2)/25))/(LN(2)/25)*Calculateur!CG144*Calculateur!CI144*VLOOKUP('Données projet'!$B$12,Paramètres!$A$1:$I$89,3,0)*0.475*44/12</f>
        <v>7.7195208818322953</v>
      </c>
      <c r="CM144" s="21">
        <f>EXP(-LN(2)/2)*CM143+(1-EXP(-LN(2)/2))/(LN(2)/2)*CG144*CJ144*VLOOKUP('Données projet'!$B$12,Paramètres!$A$1:$I$89,3,0)*0.475*44/12</f>
        <v>4.960039738981551E-6</v>
      </c>
      <c r="CN144" s="22">
        <f t="shared" si="120"/>
        <v>58.140985184146949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168.08890945052406</v>
      </c>
      <c r="CZ144" s="59">
        <f t="shared" si="150"/>
        <v>182.52462557642343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22.799940998479457</v>
      </c>
      <c r="DG144" s="21">
        <f>EXP(-LN(2)/25)*DG143+(1-EXP(-LN(2)/25))/(LN(2)/25)*Calculateur!DB144*Calculateur!DD144*VLOOKUP('Données projet'!$B$13,Paramètres!$A$1:$I$89,3,0)*0.475*44/12</f>
        <v>3.0219067788621694</v>
      </c>
      <c r="DH144" s="21">
        <f>EXP(-LN(2)/2)*DH143+(1-EXP(-LN(2)/2))/(LN(2)/2)*DB144*DE144*VLOOKUP('Données projet'!$B$13,Paramètres!$A$1:$I$89,3,0)*0.475*44/12</f>
        <v>3.645625228509482E-11</v>
      </c>
      <c r="DI144" s="22">
        <f t="shared" si="123"/>
        <v>25.821847777378085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-2.2737367544323206E-13</v>
      </c>
      <c r="DP144" s="17">
        <f>DO144*VLOOKUP('Données projet'!$B$14,Paramètres!$A$1:$I$89,3,0)*VLOOKUP('Données projet'!$B$14,Paramètres!$A$1:$I$89,5,0)</f>
        <v>-1.2710188457276673E-13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355.23615781077405</v>
      </c>
      <c r="DU144" s="59">
        <f t="shared" si="152"/>
        <v>448.84541017639367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52.031602141775643</v>
      </c>
      <c r="EB144" s="21">
        <f>EXP(-LN(2)/25)*EB143+(1-EXP(-LN(2)/25))/(LN(2)/25)*Calculateur!DW144*Calculateur!DY144*VLOOKUP('Données projet'!$B$14,Paramètres!$A$1:$I$89,3,0)*0.475*44/12</f>
        <v>6.8188808747606675</v>
      </c>
      <c r="EC144" s="21">
        <f>EXP(-LN(2)/2)*EC143+(1-EXP(-LN(2)/2))/(LN(2)/2)*DW144*DZ144*VLOOKUP('Données projet'!$B$14,Paramètres!$A$1:$I$89,3,0)*0.475*44/12</f>
        <v>3.6220494836667282E-11</v>
      </c>
      <c r="ED144" s="22">
        <f t="shared" si="126"/>
        <v>58.850483016572532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3.8933333333333318</v>
      </c>
      <c r="EJ144" s="12">
        <f>IF('Données projet'!$A$192&gt;35,EJ143+EI144-ER143,IF(A144&lt;'Données projet'!$A$192,$EG$205^A144,IF(A144='Données projet'!$A$192,'Données projet'!$B$192,EJ143+EI144-ER143)))</f>
        <v>190.07999999999998</v>
      </c>
      <c r="EK144" s="17">
        <f>EJ144*VLOOKUP('Données projet'!$B$15,Paramètres!$A$1:$I$89,3,0)*VLOOKUP('Données projet'!$B$15,Paramètres!$A$1:$I$89,5,0)</f>
        <v>204.60211199999998</v>
      </c>
      <c r="EL144" s="13">
        <f t="shared" si="153"/>
        <v>50.754229621935529</v>
      </c>
      <c r="EM144" s="20">
        <f t="shared" si="127"/>
        <v>444.74562832487101</v>
      </c>
      <c r="EN144" s="59">
        <f t="shared" si="128"/>
        <v>738.07896165820432</v>
      </c>
      <c r="EO144" s="59">
        <f ca="1">AVERAGE(OFFSET($EN$3,0,0,'Données projet'!$E$15+1,1))-AVERAGE(OFFSET($H$3,0,0,'Données projet'!$E$15+1,1))</f>
        <v>130.76477588601989</v>
      </c>
      <c r="EP144" s="59">
        <f t="shared" si="154"/>
        <v>94.034011511502172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49.635561978229603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49.635561978229603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-2.2737367544323206E-13</v>
      </c>
      <c r="FF144" s="17">
        <f>FE144*VLOOKUP('Données projet'!$B$16,Paramètres!$A$1:$I$89,3,0)*VLOOKUP('Données projet'!$B$16,Paramètres!$A$1:$I$89,5,0)</f>
        <v>-1.0345502232667058E-13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279.43442619866738</v>
      </c>
      <c r="FK144" s="59">
        <f t="shared" si="156"/>
        <v>355.95192241448217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42.351304068887103</v>
      </c>
      <c r="FR144" s="21">
        <f>EXP(-LN(2)/25)*FR143+(1-EXP(-LN(2)/25))/(LN(2)/25)*Calculateur!FM144*Calculateur!FO144*VLOOKUP('Données projet'!$B$16,Paramètres!$A$1:$I$89,3,0)*0.475*44/12</f>
        <v>5.5502518748051974</v>
      </c>
      <c r="FS144" s="21">
        <f>EXP(-LN(2)/2)*FS143+(1-EXP(-LN(2)/2))/(LN(2)/2)*FM144*FP144*VLOOKUP('Données projet'!$B$16,Paramètres!$A$1:$I$89,3,0)*0.475*44/12</f>
        <v>2.9481798122868719E-11</v>
      </c>
      <c r="FT144" s="22">
        <f t="shared" si="132"/>
        <v>47.901555943721782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-6.7984728957526396E-14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227.89848316900191</v>
      </c>
      <c r="T145" s="59">
        <f t="shared" si="142"/>
        <v>239.85955661394541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28.248985642191599</v>
      </c>
      <c r="AA145" s="21">
        <f>EXP(-LN(2)/25)*AA144+(1-EXP(-LN(2)/25))/(LN(2)/25)*Calculateur!V145*Calculateur!X145*VLOOKUP('Données projet'!$B$9,Paramètres!$A$1:$I$89,3,0)*0.475*44/12</f>
        <v>3.5559182400400409</v>
      </c>
      <c r="AB145" s="21">
        <f>EXP(-LN(2)/2)*AB144+(1-EXP(-LN(2)/2))/(LN(2)/2)*V145*Y145*VLOOKUP('Données projet'!$B$9,Paramètres!$A$1:$I$89,3,0)*0.475*44/12</f>
        <v>3.3340311645510667E-11</v>
      </c>
      <c r="AC145" s="22">
        <f t="shared" si="111"/>
        <v>31.804903882264977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-5.6843418860808015E-14</v>
      </c>
      <c r="AJ145" s="13">
        <f>AI145*VLOOKUP('Données projet'!$B$10,Paramètres!$A$1:$I$89,3,0)*VLOOKUP('Données projet'!$B$10,Paramètres!$A$1:$I$89,5,0)</f>
        <v>-5.1431925385259088E-14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215.7418266360167</v>
      </c>
      <c r="AO145" s="59">
        <f t="shared" si="144"/>
        <v>155.78420008229949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143.5432244111328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143.5432244111328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4.8666666666666663</v>
      </c>
      <c r="BD145" s="12">
        <f>IF('Données projet'!$A$88&gt;35,BD144+BC145-BL144,IF(A145&lt;'Données projet'!$A$88,$BA$205^A145,IF(A145='Données projet'!$A$88,'Données projet'!$B$88,BD144+BC145-BL144)))</f>
        <v>242.46666666666681</v>
      </c>
      <c r="BE145" s="13">
        <f>BD145*VLOOKUP('Données projet'!$B$11,Paramètres!$A$1:$I$89,3,0)*VLOOKUP('Données projet'!$B$11,Paramètres!$A$1:$I$89,5,0)</f>
        <v>245.86120000000017</v>
      </c>
      <c r="BF145" s="13">
        <f t="shared" si="145"/>
        <v>59.698819892233686</v>
      </c>
      <c r="BG145" s="20">
        <f t="shared" si="115"/>
        <v>532.18370131230733</v>
      </c>
      <c r="BH145" s="59">
        <f t="shared" si="116"/>
        <v>825.51703464564071</v>
      </c>
      <c r="BI145" s="59">
        <f ca="1">AVERAGE(OFFSET($BH$3,0,0,'Données projet'!$E$11+1,1))-AVERAGE(OFFSET($H$3,0,0,'Données projet'!$E$11+1,1))</f>
        <v>179.53921263314447</v>
      </c>
      <c r="BJ145" s="59">
        <f t="shared" si="146"/>
        <v>120.81513023281337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57.301549408788006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57.301549408788006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500.00000000000045</v>
      </c>
      <c r="BZ145" s="13">
        <f>BY145*VLOOKUP('Données projet'!$B$12,Paramètres!$A$1:$I$89,3,0)*VLOOKUP('Données projet'!$B$12,Paramètres!$A$1:$I$89,5,0)</f>
        <v>234.00000000000023</v>
      </c>
      <c r="CA145" s="13">
        <f t="shared" si="147"/>
        <v>57.146705242557189</v>
      </c>
      <c r="CB145" s="20">
        <f t="shared" si="118"/>
        <v>507.08051163078744</v>
      </c>
      <c r="CC145" s="59">
        <f t="shared" si="119"/>
        <v>800.4138449641207</v>
      </c>
      <c r="CD145" s="59">
        <f ca="1">AVERAGE(OFFSET($CC$3,0,0,'Données projet'!$E$12+1,1))-AVERAGE(OFFSET($H$3,0,0,'Données projet'!$E$12+1,1))</f>
        <v>310.06530483941287</v>
      </c>
      <c r="CE145" s="59">
        <f t="shared" si="148"/>
        <v>170.13425794309376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49.432725278626393</v>
      </c>
      <c r="CL145" s="21">
        <f>EXP(-LN(2)/25)*CL144+(1-EXP(-LN(2)/25))/(LN(2)/25)*Calculateur!CG145*Calculateur!CI145*VLOOKUP('Données projet'!$B$12,Paramètres!$A$1:$I$89,3,0)*0.475*44/12</f>
        <v>7.5084301773666313</v>
      </c>
      <c r="CM145" s="21">
        <f>EXP(-LN(2)/2)*CM144+(1-EXP(-LN(2)/2))/(LN(2)/2)*CG145*CJ145*VLOOKUP('Données projet'!$B$12,Paramètres!$A$1:$I$89,3,0)*0.475*44/12</f>
        <v>3.5072777343886079E-6</v>
      </c>
      <c r="CN145" s="22">
        <f t="shared" si="120"/>
        <v>56.941158963270759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168.08890945052406</v>
      </c>
      <c r="CZ145" s="59">
        <f t="shared" si="150"/>
        <v>182.52462557642343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22.352848062090121</v>
      </c>
      <c r="DG145" s="21">
        <f>EXP(-LN(2)/25)*DG144+(1-EXP(-LN(2)/25))/(LN(2)/25)*Calculateur!DB145*Calculateur!DD145*VLOOKUP('Données projet'!$B$13,Paramètres!$A$1:$I$89,3,0)*0.475*44/12</f>
        <v>2.9392725790790126</v>
      </c>
      <c r="DH145" s="21">
        <f>EXP(-LN(2)/2)*DH144+(1-EXP(-LN(2)/2))/(LN(2)/2)*DB145*DE145*VLOOKUP('Données projet'!$B$13,Paramètres!$A$1:$I$89,3,0)*0.475*44/12</f>
        <v>2.5778463207438117E-11</v>
      </c>
      <c r="DI145" s="22">
        <f t="shared" si="123"/>
        <v>25.292120641194913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-2.2737367544323206E-13</v>
      </c>
      <c r="DP145" s="17">
        <f>DO145*VLOOKUP('Données projet'!$B$14,Paramètres!$A$1:$I$89,3,0)*VLOOKUP('Données projet'!$B$14,Paramètres!$A$1:$I$89,5,0)</f>
        <v>-1.2710188457276673E-13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355.23615781077405</v>
      </c>
      <c r="DU145" s="59">
        <f t="shared" si="152"/>
        <v>448.84541017639367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51.011294159919046</v>
      </c>
      <c r="EB145" s="21">
        <f>EXP(-LN(2)/25)*EB144+(1-EXP(-LN(2)/25))/(LN(2)/25)*Calculateur!DW145*Calculateur!DY145*VLOOKUP('Données projet'!$B$14,Paramètres!$A$1:$I$89,3,0)*0.475*44/12</f>
        <v>6.6324182186509768</v>
      </c>
      <c r="EC145" s="21">
        <f>EXP(-LN(2)/2)*EC144+(1-EXP(-LN(2)/2))/(LN(2)/2)*DW145*DZ145*VLOOKUP('Données projet'!$B$14,Paramètres!$A$1:$I$89,3,0)*0.475*44/12</f>
        <v>2.5611757516939766E-11</v>
      </c>
      <c r="ED145" s="22">
        <f t="shared" si="126"/>
        <v>57.643712378595637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3.8933333333333318</v>
      </c>
      <c r="EJ145" s="12">
        <f>IF('Données projet'!$A$192&gt;35,EJ144+EI145-ER144,IF(A145&lt;'Données projet'!$A$192,$EG$205^A145,IF(A145='Données projet'!$A$192,'Données projet'!$B$192,EJ144+EI145-ER144)))</f>
        <v>193.97333333333333</v>
      </c>
      <c r="EK145" s="17">
        <f>EJ145*VLOOKUP('Données projet'!$B$15,Paramètres!$A$1:$I$89,3,0)*VLOOKUP('Données projet'!$B$15,Paramètres!$A$1:$I$89,5,0)</f>
        <v>208.79289600000001</v>
      </c>
      <c r="EL145" s="13">
        <f t="shared" si="153"/>
        <v>51.671714668771514</v>
      </c>
      <c r="EM145" s="20">
        <f t="shared" si="127"/>
        <v>453.6425302481104</v>
      </c>
      <c r="EN145" s="59">
        <f t="shared" si="128"/>
        <v>746.97586358144372</v>
      </c>
      <c r="EO145" s="59">
        <f ca="1">AVERAGE(OFFSET($EN$3,0,0,'Données projet'!$E$15+1,1))-AVERAGE(OFFSET($H$3,0,0,'Données projet'!$E$15+1,1))</f>
        <v>130.76477588601989</v>
      </c>
      <c r="EP145" s="59">
        <f t="shared" si="154"/>
        <v>94.034011511502172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48.662238882539945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48.662238882539945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-2.2737367544323206E-13</v>
      </c>
      <c r="FF145" s="17">
        <f>FE145*VLOOKUP('Données projet'!$B$16,Paramètres!$A$1:$I$89,3,0)*VLOOKUP('Données projet'!$B$16,Paramètres!$A$1:$I$89,5,0)</f>
        <v>-1.0345502232667058E-13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279.43442619866738</v>
      </c>
      <c r="FK145" s="59">
        <f t="shared" si="156"/>
        <v>355.95192241448217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41.520820827841035</v>
      </c>
      <c r="FR145" s="21">
        <f>EXP(-LN(2)/25)*FR144+(1-EXP(-LN(2)/25))/(LN(2)/25)*Calculateur!FM145*Calculateur!FO145*VLOOKUP('Données projet'!$B$16,Paramètres!$A$1:$I$89,3,0)*0.475*44/12</f>
        <v>5.3984799454135883</v>
      </c>
      <c r="FS145" s="21">
        <f>EXP(-LN(2)/2)*FS144+(1-EXP(-LN(2)/2))/(LN(2)/2)*FM145*FP145*VLOOKUP('Données projet'!$B$16,Paramètres!$A$1:$I$89,3,0)*0.475*44/12</f>
        <v>2.0846779374253299E-11</v>
      </c>
      <c r="FT145" s="22">
        <f t="shared" si="132"/>
        <v>46.919300773275474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-6.7984728957526396E-14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227.89848316900191</v>
      </c>
      <c r="T146" s="59">
        <f t="shared" si="142"/>
        <v>239.85955661394541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27.695040263928124</v>
      </c>
      <c r="AA146" s="21">
        <f>EXP(-LN(2)/25)*AA145+(1-EXP(-LN(2)/25))/(LN(2)/25)*Calculateur!V146*Calculateur!X146*VLOOKUP('Données projet'!$B$9,Paramètres!$A$1:$I$89,3,0)*0.475*44/12</f>
        <v>3.4586814687685328</v>
      </c>
      <c r="AB146" s="21">
        <f>EXP(-LN(2)/2)*AB145+(1-EXP(-LN(2)/2))/(LN(2)/2)*V146*Y146*VLOOKUP('Données projet'!$B$9,Paramètres!$A$1:$I$89,3,0)*0.475*44/12</f>
        <v>2.3575160451413413E-11</v>
      </c>
      <c r="AC146" s="22">
        <f t="shared" si="111"/>
        <v>31.153721732720232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-5.6843418860808015E-14</v>
      </c>
      <c r="AJ146" s="13">
        <f>AI146*VLOOKUP('Données projet'!$B$10,Paramètres!$A$1:$I$89,3,0)*VLOOKUP('Données projet'!$B$10,Paramètres!$A$1:$I$89,5,0)</f>
        <v>-5.1431925385259088E-14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215.7418266360167</v>
      </c>
      <c r="AO146" s="59">
        <f t="shared" si="144"/>
        <v>155.78420008229949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140.72842933315226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140.72842933315226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4.8666666666666663</v>
      </c>
      <c r="BD146" s="12">
        <f>IF('Données projet'!$A$88&gt;35,BD145+BC146-BL145,IF(A146&lt;'Données projet'!$A$88,$BA$205^A146,IF(A146='Données projet'!$A$88,'Données projet'!$B$88,BD145+BC146-BL145)))</f>
        <v>247.33333333333348</v>
      </c>
      <c r="BE146" s="13">
        <f>BD146*VLOOKUP('Données projet'!$B$11,Paramètres!$A$1:$I$89,3,0)*VLOOKUP('Données projet'!$B$11,Paramètres!$A$1:$I$89,5,0)</f>
        <v>250.79600000000016</v>
      </c>
      <c r="BF146" s="13">
        <f t="shared" si="145"/>
        <v>60.756360723240782</v>
      </c>
      <c r="BG146" s="20">
        <f t="shared" si="115"/>
        <v>542.62036159297793</v>
      </c>
      <c r="BH146" s="59">
        <f t="shared" si="116"/>
        <v>835.9536949263113</v>
      </c>
      <c r="BI146" s="59">
        <f ca="1">AVERAGE(OFFSET($BH$3,0,0,'Données projet'!$E$11+1,1))-AVERAGE(OFFSET($H$3,0,0,'Données projet'!$E$11+1,1))</f>
        <v>179.53921263314447</v>
      </c>
      <c r="BJ146" s="59">
        <f t="shared" si="146"/>
        <v>120.81513023281337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56.177900975375735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56.177900975375735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500.00000000000045</v>
      </c>
      <c r="BZ146" s="13">
        <f>BY146*VLOOKUP('Données projet'!$B$12,Paramètres!$A$1:$I$89,3,0)*VLOOKUP('Données projet'!$B$12,Paramètres!$A$1:$I$89,5,0)</f>
        <v>234.00000000000023</v>
      </c>
      <c r="CA146" s="13">
        <f t="shared" si="147"/>
        <v>57.146705242557189</v>
      </c>
      <c r="CB146" s="20">
        <f t="shared" si="118"/>
        <v>507.08051163078744</v>
      </c>
      <c r="CC146" s="59">
        <f t="shared" si="119"/>
        <v>800.4138449641207</v>
      </c>
      <c r="CD146" s="59">
        <f ca="1">AVERAGE(OFFSET($CC$3,0,0,'Données projet'!$E$12+1,1))-AVERAGE(OFFSET($H$3,0,0,'Données projet'!$E$12+1,1))</f>
        <v>310.06530483941287</v>
      </c>
      <c r="CE146" s="59">
        <f t="shared" si="148"/>
        <v>170.13425794309376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48.463379686897788</v>
      </c>
      <c r="CL146" s="21">
        <f>EXP(-LN(2)/25)*CL145+(1-EXP(-LN(2)/25))/(LN(2)/25)*Calculateur!CG146*Calculateur!CI146*VLOOKUP('Données projet'!$B$12,Paramètres!$A$1:$I$89,3,0)*0.475*44/12</f>
        <v>7.3031117593153585</v>
      </c>
      <c r="CM146" s="21">
        <f>EXP(-LN(2)/2)*CM145+(1-EXP(-LN(2)/2))/(LN(2)/2)*CG146*CJ146*VLOOKUP('Données projet'!$B$12,Paramètres!$A$1:$I$89,3,0)*0.475*44/12</f>
        <v>2.4800198694907755E-6</v>
      </c>
      <c r="CN146" s="22">
        <f t="shared" si="120"/>
        <v>55.766493926233018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168.08890945052406</v>
      </c>
      <c r="CZ146" s="59">
        <f t="shared" si="150"/>
        <v>182.52462557642343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21.914522345483618</v>
      </c>
      <c r="DG146" s="21">
        <f>EXP(-LN(2)/25)*DG145+(1-EXP(-LN(2)/25))/(LN(2)/25)*Calculateur!DB146*Calculateur!DD146*VLOOKUP('Données projet'!$B$13,Paramètres!$A$1:$I$89,3,0)*0.475*44/12</f>
        <v>2.8588980158344697</v>
      </c>
      <c r="DH146" s="21">
        <f>EXP(-LN(2)/2)*DH145+(1-EXP(-LN(2)/2))/(LN(2)/2)*DB146*DE146*VLOOKUP('Données projet'!$B$13,Paramètres!$A$1:$I$89,3,0)*0.475*44/12</f>
        <v>1.822812614254741E-11</v>
      </c>
      <c r="DI146" s="22">
        <f t="shared" si="123"/>
        <v>24.773420361336317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-2.2737367544323206E-13</v>
      </c>
      <c r="DP146" s="17">
        <f>DO146*VLOOKUP('Données projet'!$B$14,Paramètres!$A$1:$I$89,3,0)*VLOOKUP('Données projet'!$B$14,Paramètres!$A$1:$I$89,5,0)</f>
        <v>-1.2710188457276673E-13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355.23615781077405</v>
      </c>
      <c r="DU146" s="59">
        <f t="shared" si="152"/>
        <v>448.84541017639367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50.010993795260234</v>
      </c>
      <c r="EB146" s="21">
        <f>EXP(-LN(2)/25)*EB145+(1-EXP(-LN(2)/25))/(LN(2)/25)*Calculateur!DW146*Calculateur!DY146*VLOOKUP('Données projet'!$B$14,Paramètres!$A$1:$I$89,3,0)*0.475*44/12</f>
        <v>6.4510543936782501</v>
      </c>
      <c r="EC146" s="21">
        <f>EXP(-LN(2)/2)*EC145+(1-EXP(-LN(2)/2))/(LN(2)/2)*DW146*DZ146*VLOOKUP('Données projet'!$B$14,Paramètres!$A$1:$I$89,3,0)*0.475*44/12</f>
        <v>1.8110247418333641E-11</v>
      </c>
      <c r="ED146" s="22">
        <f t="shared" si="126"/>
        <v>56.462048188956594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3.8933333333333318</v>
      </c>
      <c r="EJ146" s="12">
        <f>IF('Données projet'!$A$192&gt;35,EJ145+EI146-ER145,IF(A146&lt;'Données projet'!$A$192,$EG$205^A146,IF(A146='Données projet'!$A$192,'Données projet'!$B$192,EJ145+EI146-ER145)))</f>
        <v>197.86666666666667</v>
      </c>
      <c r="EK146" s="17">
        <f>EJ146*VLOOKUP('Données projet'!$B$15,Paramètres!$A$1:$I$89,3,0)*VLOOKUP('Données projet'!$B$15,Paramètres!$A$1:$I$89,5,0)</f>
        <v>212.98367999999999</v>
      </c>
      <c r="EL146" s="13">
        <f t="shared" si="153"/>
        <v>52.587058525970363</v>
      </c>
      <c r="EM146" s="20">
        <f t="shared" si="127"/>
        <v>462.53570293273168</v>
      </c>
      <c r="EN146" s="59">
        <f t="shared" si="128"/>
        <v>755.869036266065</v>
      </c>
      <c r="EO146" s="59">
        <f ca="1">AVERAGE(OFFSET($EN$3,0,0,'Données projet'!$E$15+1,1))-AVERAGE(OFFSET($H$3,0,0,'Données projet'!$E$15+1,1))</f>
        <v>130.76477588601989</v>
      </c>
      <c r="EP146" s="59">
        <f t="shared" si="154"/>
        <v>94.034011511502172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47.708002059088294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47.708002059088294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-2.2737367544323206E-13</v>
      </c>
      <c r="FF146" s="17">
        <f>FE146*VLOOKUP('Données projet'!$B$16,Paramètres!$A$1:$I$89,3,0)*VLOOKUP('Données projet'!$B$16,Paramètres!$A$1:$I$89,5,0)</f>
        <v>-1.0345502232667058E-13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279.43442619866738</v>
      </c>
      <c r="FK146" s="59">
        <f t="shared" si="156"/>
        <v>355.95192241448217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40.706622856607119</v>
      </c>
      <c r="FR146" s="21">
        <f>EXP(-LN(2)/25)*FR145+(1-EXP(-LN(2)/25))/(LN(2)/25)*Calculateur!FM146*Calculateur!FO146*VLOOKUP('Données projet'!$B$16,Paramètres!$A$1:$I$89,3,0)*0.475*44/12</f>
        <v>5.2508582274125315</v>
      </c>
      <c r="FS146" s="21">
        <f>EXP(-LN(2)/2)*FS145+(1-EXP(-LN(2)/2))/(LN(2)/2)*FM146*FP146*VLOOKUP('Données projet'!$B$16,Paramètres!$A$1:$I$89,3,0)*0.475*44/12</f>
        <v>1.4740899061434359E-11</v>
      </c>
      <c r="FT146" s="22">
        <f t="shared" si="132"/>
        <v>45.957481084034391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-6.7984728957526396E-14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227.89848316900191</v>
      </c>
      <c r="T147" s="59">
        <f t="shared" si="142"/>
        <v>239.85955661394541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27.151957416659076</v>
      </c>
      <c r="AA147" s="21">
        <f>EXP(-LN(2)/25)*AA146+(1-EXP(-LN(2)/25))/(LN(2)/25)*Calculateur!V147*Calculateur!X147*VLOOKUP('Données projet'!$B$9,Paramètres!$A$1:$I$89,3,0)*0.475*44/12</f>
        <v>3.3641036421209036</v>
      </c>
      <c r="AB147" s="21">
        <f>EXP(-LN(2)/2)*AB146+(1-EXP(-LN(2)/2))/(LN(2)/2)*V147*Y147*VLOOKUP('Données projet'!$B$9,Paramètres!$A$1:$I$89,3,0)*0.475*44/12</f>
        <v>1.6670155822755333E-11</v>
      </c>
      <c r="AC147" s="22">
        <f t="shared" si="111"/>
        <v>30.516061058796648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-5.6843418860808015E-14</v>
      </c>
      <c r="AJ147" s="13">
        <f>AI147*VLOOKUP('Données projet'!$B$10,Paramètres!$A$1:$I$89,3,0)*VLOOKUP('Données projet'!$B$10,Paramètres!$A$1:$I$89,5,0)</f>
        <v>-5.1431925385259088E-14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215.7418266360167</v>
      </c>
      <c r="AO147" s="59">
        <f t="shared" si="144"/>
        <v>155.78420008229949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137.96883066979547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137.96883066979547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4.8666666666666663</v>
      </c>
      <c r="BD147" s="12">
        <f>IF('Données projet'!$A$88&gt;35,BD146+BC147-BL146,IF(A147&lt;'Données projet'!$A$88,$BA$205^A147,IF(A147='Données projet'!$A$88,'Données projet'!$B$88,BD146+BC147-BL146)))</f>
        <v>252.20000000000016</v>
      </c>
      <c r="BE147" s="13">
        <f>BD147*VLOOKUP('Données projet'!$B$11,Paramètres!$A$1:$I$89,3,0)*VLOOKUP('Données projet'!$B$11,Paramètres!$A$1:$I$89,5,0)</f>
        <v>255.73080000000019</v>
      </c>
      <c r="BF147" s="13">
        <f t="shared" si="145"/>
        <v>61.811482021795285</v>
      </c>
      <c r="BG147" s="20">
        <f t="shared" si="115"/>
        <v>553.05280785462708</v>
      </c>
      <c r="BH147" s="59">
        <f t="shared" si="116"/>
        <v>846.38614118796045</v>
      </c>
      <c r="BI147" s="59">
        <f ca="1">AVERAGE(OFFSET($BH$3,0,0,'Données projet'!$E$11+1,1))-AVERAGE(OFFSET($H$3,0,0,'Données projet'!$E$11+1,1))</f>
        <v>179.53921263314447</v>
      </c>
      <c r="BJ147" s="59">
        <f t="shared" si="146"/>
        <v>120.81513023281337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55.076286602384812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55.076286602384812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500.00000000000045</v>
      </c>
      <c r="BZ147" s="13">
        <f>BY147*VLOOKUP('Données projet'!$B$12,Paramètres!$A$1:$I$89,3,0)*VLOOKUP('Données projet'!$B$12,Paramètres!$A$1:$I$89,5,0)</f>
        <v>234.00000000000023</v>
      </c>
      <c r="CA147" s="13">
        <f t="shared" si="147"/>
        <v>57.146705242557189</v>
      </c>
      <c r="CB147" s="20">
        <f t="shared" si="118"/>
        <v>507.08051163078744</v>
      </c>
      <c r="CC147" s="59">
        <f t="shared" si="119"/>
        <v>800.4138449641207</v>
      </c>
      <c r="CD147" s="59">
        <f ca="1">AVERAGE(OFFSET($CC$3,0,0,'Données projet'!$E$12+1,1))-AVERAGE(OFFSET($H$3,0,0,'Données projet'!$E$12+1,1))</f>
        <v>310.06530483941287</v>
      </c>
      <c r="CE147" s="59">
        <f t="shared" si="148"/>
        <v>170.13425794309376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47.51304237098055</v>
      </c>
      <c r="CL147" s="21">
        <f>EXP(-LN(2)/25)*CL146+(1-EXP(-LN(2)/25))/(LN(2)/25)*Calculateur!CG147*Calculateur!CI147*VLOOKUP('Données projet'!$B$12,Paramètres!$A$1:$I$89,3,0)*0.475*44/12</f>
        <v>7.1034077842029237</v>
      </c>
      <c r="CM147" s="21">
        <f>EXP(-LN(2)/2)*CM146+(1-EXP(-LN(2)/2))/(LN(2)/2)*CG147*CJ147*VLOOKUP('Données projet'!$B$12,Paramètres!$A$1:$I$89,3,0)*0.475*44/12</f>
        <v>1.7536388671943039E-6</v>
      </c>
      <c r="CN147" s="22">
        <f t="shared" si="120"/>
        <v>54.616451908822341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168.08890945052406</v>
      </c>
      <c r="CZ147" s="59">
        <f t="shared" si="150"/>
        <v>182.52462557642343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21.48479192882748</v>
      </c>
      <c r="DG147" s="21">
        <f>EXP(-LN(2)/25)*DG146+(1-EXP(-LN(2)/25))/(LN(2)/25)*Calculateur!DB147*Calculateur!DD147*VLOOKUP('Données projet'!$B$13,Paramètres!$A$1:$I$89,3,0)*0.475*44/12</f>
        <v>2.7807212992485635</v>
      </c>
      <c r="DH147" s="21">
        <f>EXP(-LN(2)/2)*DH146+(1-EXP(-LN(2)/2))/(LN(2)/2)*DB147*DE147*VLOOKUP('Données projet'!$B$13,Paramètres!$A$1:$I$89,3,0)*0.475*44/12</f>
        <v>1.2889231603719058E-11</v>
      </c>
      <c r="DI147" s="22">
        <f t="shared" si="123"/>
        <v>24.265513228088935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-2.2737367544323206E-13</v>
      </c>
      <c r="DP147" s="17">
        <f>DO147*VLOOKUP('Données projet'!$B$14,Paramètres!$A$1:$I$89,3,0)*VLOOKUP('Données projet'!$B$14,Paramètres!$A$1:$I$89,5,0)</f>
        <v>-1.2710188457276673E-13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355.23615781077405</v>
      </c>
      <c r="DU147" s="59">
        <f t="shared" si="152"/>
        <v>448.84541017639367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49.030308710629406</v>
      </c>
      <c r="EB147" s="21">
        <f>EXP(-LN(2)/25)*EB146+(1-EXP(-LN(2)/25))/(LN(2)/25)*Calculateur!DW147*Calculateur!DY147*VLOOKUP('Données projet'!$B$14,Paramètres!$A$1:$I$89,3,0)*0.475*44/12</f>
        <v>6.2746499720369115</v>
      </c>
      <c r="EC147" s="21">
        <f>EXP(-LN(2)/2)*EC146+(1-EXP(-LN(2)/2))/(LN(2)/2)*DW147*DZ147*VLOOKUP('Données projet'!$B$14,Paramètres!$A$1:$I$89,3,0)*0.475*44/12</f>
        <v>1.2805878758469883E-11</v>
      </c>
      <c r="ED147" s="22">
        <f t="shared" si="126"/>
        <v>55.304958682679121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3.8933333333333318</v>
      </c>
      <c r="EJ147" s="12">
        <f>IF('Données projet'!$A$192&gt;35,EJ146+EI147-ER146,IF(A147&lt;'Données projet'!$A$192,$EG$205^A147,IF(A147='Données projet'!$A$192,'Données projet'!$B$192,EJ146+EI147-ER146)))</f>
        <v>201.76000000000002</v>
      </c>
      <c r="EK147" s="17">
        <f>EJ147*VLOOKUP('Données projet'!$B$15,Paramètres!$A$1:$I$89,3,0)*VLOOKUP('Données projet'!$B$15,Paramètres!$A$1:$I$89,5,0)</f>
        <v>217.17446400000003</v>
      </c>
      <c r="EL147" s="13">
        <f t="shared" si="153"/>
        <v>53.500308181127195</v>
      </c>
      <c r="EM147" s="20">
        <f t="shared" si="127"/>
        <v>471.42522821546316</v>
      </c>
      <c r="EN147" s="59">
        <f t="shared" si="128"/>
        <v>764.75856154879648</v>
      </c>
      <c r="EO147" s="59">
        <f ca="1">AVERAGE(OFFSET($EN$3,0,0,'Données projet'!$E$15+1,1))-AVERAGE(OFFSET($H$3,0,0,'Données projet'!$E$15+1,1))</f>
        <v>130.76477588601989</v>
      </c>
      <c r="EP147" s="59">
        <f t="shared" si="154"/>
        <v>94.034011511502172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46.772477237717538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46.772477237717538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-2.2737367544323206E-13</v>
      </c>
      <c r="FF147" s="17">
        <f>FE147*VLOOKUP('Données projet'!$B$16,Paramètres!$A$1:$I$89,3,0)*VLOOKUP('Données projet'!$B$16,Paramètres!$A$1:$I$89,5,0)</f>
        <v>-1.0345502232667058E-13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279.43442619866738</v>
      </c>
      <c r="FK147" s="59">
        <f t="shared" si="156"/>
        <v>355.95192241448217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39.908390810977373</v>
      </c>
      <c r="FR147" s="21">
        <f>EXP(-LN(2)/25)*FR146+(1-EXP(-LN(2)/25))/(LN(2)/25)*Calculateur!FM147*Calculateur!FO147*VLOOKUP('Données projet'!$B$16,Paramètres!$A$1:$I$89,3,0)*0.475*44/12</f>
        <v>5.1072732330533031</v>
      </c>
      <c r="FS147" s="21">
        <f>EXP(-LN(2)/2)*FS146+(1-EXP(-LN(2)/2))/(LN(2)/2)*FM147*FP147*VLOOKUP('Données projet'!$B$16,Paramètres!$A$1:$I$89,3,0)*0.475*44/12</f>
        <v>1.0423389687126649E-11</v>
      </c>
      <c r="FT147" s="22">
        <f t="shared" si="132"/>
        <v>45.015664044041102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-6.7984728957526396E-14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227.89848316900191</v>
      </c>
      <c r="T148" s="59">
        <f t="shared" si="142"/>
        <v>239.85955661394541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26.619524092777148</v>
      </c>
      <c r="AA148" s="21">
        <f>EXP(-LN(2)/25)*AA147+(1-EXP(-LN(2)/25))/(LN(2)/25)*Calculateur!V148*Calculateur!X148*VLOOKUP('Données projet'!$B$9,Paramètres!$A$1:$I$89,3,0)*0.475*44/12</f>
        <v>3.2721120511165855</v>
      </c>
      <c r="AB148" s="21">
        <f>EXP(-LN(2)/2)*AB147+(1-EXP(-LN(2)/2))/(LN(2)/2)*V148*Y148*VLOOKUP('Données projet'!$B$9,Paramètres!$A$1:$I$89,3,0)*0.475*44/12</f>
        <v>1.1787580225706707E-11</v>
      </c>
      <c r="AC148" s="22">
        <f t="shared" si="111"/>
        <v>29.891636143905522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-5.6843418860808015E-14</v>
      </c>
      <c r="AJ148" s="13">
        <f>AI148*VLOOKUP('Données projet'!$B$10,Paramètres!$A$1:$I$89,3,0)*VLOOKUP('Données projet'!$B$10,Paramètres!$A$1:$I$89,5,0)</f>
        <v>-5.1431925385259088E-14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215.7418266360167</v>
      </c>
      <c r="AO148" s="59">
        <f t="shared" si="144"/>
        <v>155.78420008229949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135.26334605303811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135.26334605303811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4.8666666666666663</v>
      </c>
      <c r="BD148" s="12">
        <f>IF('Données projet'!$A$88&gt;35,BD147+BC148-BL147,IF(A148&lt;'Données projet'!$A$88,$BA$205^A148,IF(A148='Données projet'!$A$88,'Données projet'!$B$88,BD147+BC148-BL147)))</f>
        <v>257.06666666666683</v>
      </c>
      <c r="BE148" s="13">
        <f>BD148*VLOOKUP('Données projet'!$B$11,Paramètres!$A$1:$I$89,3,0)*VLOOKUP('Données projet'!$B$11,Paramètres!$A$1:$I$89,5,0)</f>
        <v>260.66560000000021</v>
      </c>
      <c r="BF148" s="13">
        <f t="shared" si="145"/>
        <v>62.864235859929266</v>
      </c>
      <c r="BG148" s="20">
        <f t="shared" si="115"/>
        <v>563.48113078937706</v>
      </c>
      <c r="BH148" s="59">
        <f t="shared" si="116"/>
        <v>856.81446412271043</v>
      </c>
      <c r="BI148" s="59">
        <f ca="1">AVERAGE(OFFSET($BH$3,0,0,'Données projet'!$E$11+1,1))-AVERAGE(OFFSET($H$3,0,0,'Données projet'!$E$11+1,1))</f>
        <v>179.53921263314447</v>
      </c>
      <c r="BJ148" s="59">
        <f t="shared" si="146"/>
        <v>120.81513023281337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53.996274215329819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53.996274215329819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500.00000000000045</v>
      </c>
      <c r="BZ148" s="13">
        <f>BY148*VLOOKUP('Données projet'!$B$12,Paramètres!$A$1:$I$89,3,0)*VLOOKUP('Données projet'!$B$12,Paramètres!$A$1:$I$89,5,0)</f>
        <v>234.00000000000023</v>
      </c>
      <c r="CA148" s="13">
        <f t="shared" si="147"/>
        <v>57.146705242557189</v>
      </c>
      <c r="CB148" s="20">
        <f t="shared" si="118"/>
        <v>507.08051163078744</v>
      </c>
      <c r="CC148" s="59">
        <f t="shared" si="119"/>
        <v>800.4138449641207</v>
      </c>
      <c r="CD148" s="59">
        <f ca="1">AVERAGE(OFFSET($CC$3,0,0,'Données projet'!$E$12+1,1))-AVERAGE(OFFSET($H$3,0,0,'Données projet'!$E$12+1,1))</f>
        <v>310.06530483941287</v>
      </c>
      <c r="CE148" s="59">
        <f t="shared" si="148"/>
        <v>170.13425794309376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46.58134059017992</v>
      </c>
      <c r="CL148" s="21">
        <f>EXP(-LN(2)/25)*CL147+(1-EXP(-LN(2)/25))/(LN(2)/25)*Calculateur!CG148*Calculateur!CI148*VLOOKUP('Données projet'!$B$12,Paramètres!$A$1:$I$89,3,0)*0.475*44/12</f>
        <v>6.9091647247919141</v>
      </c>
      <c r="CM148" s="21">
        <f>EXP(-LN(2)/2)*CM147+(1-EXP(-LN(2)/2))/(LN(2)/2)*CG148*CJ148*VLOOKUP('Données projet'!$B$12,Paramètres!$A$1:$I$89,3,0)*0.475*44/12</f>
        <v>1.2400099347453877E-6</v>
      </c>
      <c r="CN148" s="22">
        <f t="shared" si="120"/>
        <v>53.490506554981771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168.08890945052406</v>
      </c>
      <c r="CZ148" s="59">
        <f t="shared" si="150"/>
        <v>182.52462557642343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21.063488263532296</v>
      </c>
      <c r="DG148" s="21">
        <f>EXP(-LN(2)/25)*DG147+(1-EXP(-LN(2)/25))/(LN(2)/25)*Calculateur!DB148*Calculateur!DD148*VLOOKUP('Données projet'!$B$13,Paramètres!$A$1:$I$89,3,0)*0.475*44/12</f>
        <v>2.704682329088834</v>
      </c>
      <c r="DH148" s="21">
        <f>EXP(-LN(2)/2)*DH147+(1-EXP(-LN(2)/2))/(LN(2)/2)*DB148*DE148*VLOOKUP('Données projet'!$B$13,Paramètres!$A$1:$I$89,3,0)*0.475*44/12</f>
        <v>9.114063071273705E-12</v>
      </c>
      <c r="DI148" s="22">
        <f t="shared" si="123"/>
        <v>23.768170592630241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-2.2737367544323206E-13</v>
      </c>
      <c r="DP148" s="17">
        <f>DO148*VLOOKUP('Données projet'!$B$14,Paramètres!$A$1:$I$89,3,0)*VLOOKUP('Données projet'!$B$14,Paramètres!$A$1:$I$89,5,0)</f>
        <v>-1.2710188457276673E-13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355.23615781077405</v>
      </c>
      <c r="DU148" s="59">
        <f t="shared" si="152"/>
        <v>448.84541017639367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48.068854262349348</v>
      </c>
      <c r="EB148" s="21">
        <f>EXP(-LN(2)/25)*EB147+(1-EXP(-LN(2)/25))/(LN(2)/25)*Calculateur!DW148*Calculateur!DY148*VLOOKUP('Données projet'!$B$14,Paramètres!$A$1:$I$89,3,0)*0.475*44/12</f>
        <v>6.1030693385820607</v>
      </c>
      <c r="EC148" s="21">
        <f>EXP(-LN(2)/2)*EC147+(1-EXP(-LN(2)/2))/(LN(2)/2)*DW148*DZ148*VLOOKUP('Données projet'!$B$14,Paramètres!$A$1:$I$89,3,0)*0.475*44/12</f>
        <v>9.0551237091668204E-12</v>
      </c>
      <c r="ED148" s="22">
        <f t="shared" si="126"/>
        <v>54.17192360094046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3.8933333333333318</v>
      </c>
      <c r="EJ148" s="12">
        <f>IF('Données projet'!$A$192&gt;35,EJ147+EI148-ER147,IF(A148&lt;'Données projet'!$A$192,$EG$205^A148,IF(A148='Données projet'!$A$192,'Données projet'!$B$192,EJ147+EI148-ER147)))</f>
        <v>205.65333333333336</v>
      </c>
      <c r="EK148" s="17">
        <f>EJ148*VLOOKUP('Données projet'!$B$15,Paramètres!$A$1:$I$89,3,0)*VLOOKUP('Données projet'!$B$15,Paramètres!$A$1:$I$89,5,0)</f>
        <v>221.36524800000001</v>
      </c>
      <c r="EL148" s="13">
        <f t="shared" si="153"/>
        <v>54.411508704666971</v>
      </c>
      <c r="EM148" s="20">
        <f t="shared" si="127"/>
        <v>480.31118459396157</v>
      </c>
      <c r="EN148" s="59">
        <f t="shared" si="128"/>
        <v>773.64451792729483</v>
      </c>
      <c r="EO148" s="59">
        <f ca="1">AVERAGE(OFFSET($EN$3,0,0,'Données projet'!$E$15+1,1))-AVERAGE(OFFSET($H$3,0,0,'Données projet'!$E$15+1,1))</f>
        <v>130.76477588601989</v>
      </c>
      <c r="EP148" s="59">
        <f t="shared" si="154"/>
        <v>94.034011511502172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45.855297487480065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45.855297487480065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-2.2737367544323206E-13</v>
      </c>
      <c r="FF148" s="17">
        <f>FE148*VLOOKUP('Données projet'!$B$16,Paramètres!$A$1:$I$89,3,0)*VLOOKUP('Données projet'!$B$16,Paramètres!$A$1:$I$89,5,0)</f>
        <v>-1.0345502232667058E-13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279.43442619866738</v>
      </c>
      <c r="FK148" s="59">
        <f t="shared" si="156"/>
        <v>355.95192241448217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39.125811608888959</v>
      </c>
      <c r="FR148" s="21">
        <f>EXP(-LN(2)/25)*FR147+(1-EXP(-LN(2)/25))/(LN(2)/25)*Calculateur!FM148*Calculateur!FO148*VLOOKUP('Données projet'!$B$16,Paramètres!$A$1:$I$89,3,0)*0.475*44/12</f>
        <v>4.9676145779156338</v>
      </c>
      <c r="FS148" s="21">
        <f>EXP(-LN(2)/2)*FS147+(1-EXP(-LN(2)/2))/(LN(2)/2)*FM148*FP148*VLOOKUP('Données projet'!$B$16,Paramètres!$A$1:$I$89,3,0)*0.475*44/12</f>
        <v>7.3704495307171797E-12</v>
      </c>
      <c r="FT148" s="22">
        <f t="shared" si="132"/>
        <v>44.093426186811961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-6.7984728957526396E-14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227.89848316900191</v>
      </c>
      <c r="T149" s="59">
        <f t="shared" si="142"/>
        <v>239.85955661394541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26.097531461624282</v>
      </c>
      <c r="AA149" s="21">
        <f>EXP(-LN(2)/25)*AA148+(1-EXP(-LN(2)/25))/(LN(2)/25)*Calculateur!V149*Calculateur!X149*VLOOKUP('Données projet'!$B$9,Paramètres!$A$1:$I$89,3,0)*0.475*44/12</f>
        <v>3.1826359750059083</v>
      </c>
      <c r="AB149" s="21">
        <f>EXP(-LN(2)/2)*AB148+(1-EXP(-LN(2)/2))/(LN(2)/2)*V149*Y149*VLOOKUP('Données projet'!$B$9,Paramètres!$A$1:$I$89,3,0)*0.475*44/12</f>
        <v>8.3350779113776666E-12</v>
      </c>
      <c r="AC149" s="22">
        <f t="shared" si="111"/>
        <v>29.280167436638525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-5.6843418860808015E-14</v>
      </c>
      <c r="AJ149" s="13">
        <f>AI149*VLOOKUP('Données projet'!$B$10,Paramètres!$A$1:$I$89,3,0)*VLOOKUP('Données projet'!$B$10,Paramètres!$A$1:$I$89,5,0)</f>
        <v>-5.1431925385259088E-14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215.7418266360167</v>
      </c>
      <c r="AO149" s="59">
        <f t="shared" si="144"/>
        <v>155.78420008229949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132.61091433943267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132.61091433943267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4.8666666666666663</v>
      </c>
      <c r="BD149" s="12">
        <f>IF('Données projet'!$A$88&gt;35,BD148+BC149-BL148,IF(A149&lt;'Données projet'!$A$88,$BA$205^A149,IF(A149='Données projet'!$A$88,'Données projet'!$B$88,BD148+BC149-BL148)))</f>
        <v>261.93333333333351</v>
      </c>
      <c r="BE149" s="13">
        <f>BD149*VLOOKUP('Données projet'!$B$11,Paramètres!$A$1:$I$89,3,0)*VLOOKUP('Données projet'!$B$11,Paramètres!$A$1:$I$89,5,0)</f>
        <v>265.60040000000015</v>
      </c>
      <c r="BF149" s="13">
        <f t="shared" si="145"/>
        <v>63.91467222524421</v>
      </c>
      <c r="BG149" s="20">
        <f t="shared" si="115"/>
        <v>573.90541745896724</v>
      </c>
      <c r="BH149" s="59">
        <f t="shared" si="116"/>
        <v>867.23875079230061</v>
      </c>
      <c r="BI149" s="59">
        <f ca="1">AVERAGE(OFFSET($BH$3,0,0,'Données projet'!$E$11+1,1))-AVERAGE(OFFSET($H$3,0,0,'Données projet'!$E$11+1,1))</f>
        <v>179.53921263314447</v>
      </c>
      <c r="BJ149" s="59">
        <f t="shared" si="146"/>
        <v>120.81513023281337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52.937440212442461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52.937440212442461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500.00000000000045</v>
      </c>
      <c r="BZ149" s="13">
        <f>BY149*VLOOKUP('Données projet'!$B$12,Paramètres!$A$1:$I$89,3,0)*VLOOKUP('Données projet'!$B$12,Paramètres!$A$1:$I$89,5,0)</f>
        <v>234.00000000000023</v>
      </c>
      <c r="CA149" s="13">
        <f t="shared" si="147"/>
        <v>57.146705242557189</v>
      </c>
      <c r="CB149" s="20">
        <f t="shared" si="118"/>
        <v>507.08051163078744</v>
      </c>
      <c r="CC149" s="59">
        <f t="shared" si="119"/>
        <v>800.4138449641207</v>
      </c>
      <c r="CD149" s="59">
        <f ca="1">AVERAGE(OFFSET($CC$3,0,0,'Données projet'!$E$12+1,1))-AVERAGE(OFFSET($H$3,0,0,'Données projet'!$E$12+1,1))</f>
        <v>310.06530483941287</v>
      </c>
      <c r="CE149" s="59">
        <f t="shared" si="148"/>
        <v>170.13425794309376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45.66790891301882</v>
      </c>
      <c r="CL149" s="21">
        <f>EXP(-LN(2)/25)*CL148+(1-EXP(-LN(2)/25))/(LN(2)/25)*Calculateur!CG149*Calculateur!CI149*VLOOKUP('Données projet'!$B$12,Paramètres!$A$1:$I$89,3,0)*0.475*44/12</f>
        <v>6.7202332520552979</v>
      </c>
      <c r="CM149" s="21">
        <f>EXP(-LN(2)/2)*CM148+(1-EXP(-LN(2)/2))/(LN(2)/2)*CG149*CJ149*VLOOKUP('Données projet'!$B$12,Paramètres!$A$1:$I$89,3,0)*0.475*44/12</f>
        <v>8.7681943359715197E-7</v>
      </c>
      <c r="CN149" s="22">
        <f t="shared" si="120"/>
        <v>52.388143041893549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168.08890945052406</v>
      </c>
      <c r="CZ149" s="59">
        <f t="shared" si="150"/>
        <v>182.52462557642343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20.650446106143686</v>
      </c>
      <c r="DG149" s="21">
        <f>EXP(-LN(2)/25)*DG148+(1-EXP(-LN(2)/25))/(LN(2)/25)*Calculateur!DB149*Calculateur!DD149*VLOOKUP('Données projet'!$B$13,Paramètres!$A$1:$I$89,3,0)*0.475*44/12</f>
        <v>2.6307226485668376</v>
      </c>
      <c r="DH149" s="21">
        <f>EXP(-LN(2)/2)*DH148+(1-EXP(-LN(2)/2))/(LN(2)/2)*DB149*DE149*VLOOKUP('Données projet'!$B$13,Paramètres!$A$1:$I$89,3,0)*0.475*44/12</f>
        <v>6.4446158018595291E-12</v>
      </c>
      <c r="DI149" s="22">
        <f t="shared" si="123"/>
        <v>23.281168754716969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-2.2737367544323206E-13</v>
      </c>
      <c r="DP149" s="17">
        <f>DO149*VLOOKUP('Données projet'!$B$14,Paramètres!$A$1:$I$89,3,0)*VLOOKUP('Données projet'!$B$14,Paramètres!$A$1:$I$89,5,0)</f>
        <v>-1.2710188457276673E-13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355.23615781077405</v>
      </c>
      <c r="DU149" s="59">
        <f t="shared" si="152"/>
        <v>448.84541017639367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47.126253349370756</v>
      </c>
      <c r="EB149" s="21">
        <f>EXP(-LN(2)/25)*EB148+(1-EXP(-LN(2)/25))/(LN(2)/25)*Calculateur!DW149*Calculateur!DY149*VLOOKUP('Données projet'!$B$14,Paramètres!$A$1:$I$89,3,0)*0.475*44/12</f>
        <v>5.9361805865720667</v>
      </c>
      <c r="EC149" s="21">
        <f>EXP(-LN(2)/2)*EC148+(1-EXP(-LN(2)/2))/(LN(2)/2)*DW149*DZ149*VLOOKUP('Données projet'!$B$14,Paramètres!$A$1:$I$89,3,0)*0.475*44/12</f>
        <v>6.4029393792349416E-12</v>
      </c>
      <c r="ED149" s="22">
        <f t="shared" si="126"/>
        <v>53.062433935949223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3.8933333333333318</v>
      </c>
      <c r="EJ149" s="12">
        <f>IF('Données projet'!$A$192&gt;35,EJ148+EI149-ER148,IF(A149&lt;'Données projet'!$A$192,$EG$205^A149,IF(A149='Données projet'!$A$192,'Données projet'!$B$192,EJ148+EI149-ER148)))</f>
        <v>209.54666666666671</v>
      </c>
      <c r="EK149" s="17">
        <f>EJ149*VLOOKUP('Données projet'!$B$15,Paramètres!$A$1:$I$89,3,0)*VLOOKUP('Données projet'!$B$15,Paramètres!$A$1:$I$89,5,0)</f>
        <v>225.55603200000004</v>
      </c>
      <c r="EL149" s="13">
        <f t="shared" si="153"/>
        <v>55.320703362856847</v>
      </c>
      <c r="EM149" s="20">
        <f t="shared" si="127"/>
        <v>489.1936474236424</v>
      </c>
      <c r="EN149" s="59">
        <f t="shared" si="128"/>
        <v>782.52698075697572</v>
      </c>
      <c r="EO149" s="59">
        <f ca="1">AVERAGE(OFFSET($EN$3,0,0,'Données projet'!$E$15+1,1))-AVERAGE(OFFSET($H$3,0,0,'Données projet'!$E$15+1,1))</f>
        <v>130.76477588601989</v>
      </c>
      <c r="EP149" s="59">
        <f t="shared" si="154"/>
        <v>94.034011511502172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44.956103072720339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44.956103072720339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-2.2737367544323206E-13</v>
      </c>
      <c r="FF149" s="17">
        <f>FE149*VLOOKUP('Données projet'!$B$16,Paramètres!$A$1:$I$89,3,0)*VLOOKUP('Données projet'!$B$16,Paramètres!$A$1:$I$89,5,0)</f>
        <v>-1.0345502232667058E-13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279.43442619866738</v>
      </c>
      <c r="FK149" s="59">
        <f t="shared" si="156"/>
        <v>355.95192241448217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38.358578307627319</v>
      </c>
      <c r="FR149" s="21">
        <f>EXP(-LN(2)/25)*FR148+(1-EXP(-LN(2)/25))/(LN(2)/25)*Calculateur!FM149*Calculateur!FO149*VLOOKUP('Données projet'!$B$16,Paramètres!$A$1:$I$89,3,0)*0.475*44/12</f>
        <v>4.8317748960470341</v>
      </c>
      <c r="FS149" s="21">
        <f>EXP(-LN(2)/2)*FS148+(1-EXP(-LN(2)/2))/(LN(2)/2)*FM149*FP149*VLOOKUP('Données projet'!$B$16,Paramètres!$A$1:$I$89,3,0)*0.475*44/12</f>
        <v>5.2116948435633247E-12</v>
      </c>
      <c r="FT149" s="22">
        <f t="shared" si="132"/>
        <v>43.190353203679564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-6.7984728957526396E-14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227.89848316900191</v>
      </c>
      <c r="T150" s="59">
        <f t="shared" si="142"/>
        <v>239.85955661394541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25.585774787584256</v>
      </c>
      <c r="AA150" s="21">
        <f>EXP(-LN(2)/25)*AA149+(1-EXP(-LN(2)/25))/(LN(2)/25)*Calculateur!V150*Calculateur!X150*VLOOKUP('Données projet'!$B$9,Paramètres!$A$1:$I$89,3,0)*0.475*44/12</f>
        <v>3.0956066269018199</v>
      </c>
      <c r="AB150" s="21">
        <f>EXP(-LN(2)/2)*AB149+(1-EXP(-LN(2)/2))/(LN(2)/2)*V150*Y150*VLOOKUP('Données projet'!$B$9,Paramètres!$A$1:$I$89,3,0)*0.475*44/12</f>
        <v>5.8937901128533533E-12</v>
      </c>
      <c r="AC150" s="22">
        <f t="shared" si="111"/>
        <v>28.68138141449197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-5.6843418860808015E-14</v>
      </c>
      <c r="AJ150" s="13">
        <f>AI150*VLOOKUP('Données projet'!$B$10,Paramètres!$A$1:$I$89,3,0)*VLOOKUP('Données projet'!$B$10,Paramètres!$A$1:$I$89,5,0)</f>
        <v>-5.1431925385259088E-14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215.7418266360167</v>
      </c>
      <c r="AO150" s="59">
        <f t="shared" si="144"/>
        <v>155.78420008229949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130.01049519390745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130.01049519390745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4.8666666666666663</v>
      </c>
      <c r="BD150" s="12">
        <f>IF('Données projet'!$A$88&gt;35,BD149+BC150-BL149,IF(A150&lt;'Données projet'!$A$88,$BA$205^A150,IF(A150='Données projet'!$A$88,'Données projet'!$B$88,BD149+BC150-BL149)))</f>
        <v>266.80000000000018</v>
      </c>
      <c r="BE150" s="13">
        <f>BD150*VLOOKUP('Données projet'!$B$11,Paramètres!$A$1:$I$89,3,0)*VLOOKUP('Données projet'!$B$11,Paramètres!$A$1:$I$89,5,0)</f>
        <v>270.5352000000002</v>
      </c>
      <c r="BF150" s="13">
        <f t="shared" si="145"/>
        <v>64.962839141501462</v>
      </c>
      <c r="BG150" s="20">
        <f t="shared" si="115"/>
        <v>584.32575150478203</v>
      </c>
      <c r="BH150" s="59">
        <f t="shared" si="116"/>
        <v>877.6590848381154</v>
      </c>
      <c r="BI150" s="59">
        <f ca="1">AVERAGE(OFFSET($BH$3,0,0,'Données projet'!$E$11+1,1))-AVERAGE(OFFSET($H$3,0,0,'Données projet'!$E$11+1,1))</f>
        <v>179.53921263314447</v>
      </c>
      <c r="BJ150" s="59">
        <f t="shared" si="146"/>
        <v>120.81513023281337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51.899369298526757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51.899369298526757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500.00000000000045</v>
      </c>
      <c r="BZ150" s="13">
        <f>BY150*VLOOKUP('Données projet'!$B$12,Paramètres!$A$1:$I$89,3,0)*VLOOKUP('Données projet'!$B$12,Paramètres!$A$1:$I$89,5,0)</f>
        <v>234.00000000000023</v>
      </c>
      <c r="CA150" s="13">
        <f t="shared" si="147"/>
        <v>57.146705242557189</v>
      </c>
      <c r="CB150" s="20">
        <f t="shared" si="118"/>
        <v>507.08051163078744</v>
      </c>
      <c r="CC150" s="59">
        <f t="shared" si="119"/>
        <v>800.4138449641207</v>
      </c>
      <c r="CD150" s="59">
        <f ca="1">AVERAGE(OFFSET($CC$3,0,0,'Données projet'!$E$12+1,1))-AVERAGE(OFFSET($H$3,0,0,'Données projet'!$E$12+1,1))</f>
        <v>310.06530483941287</v>
      </c>
      <c r="CE150" s="59">
        <f t="shared" si="148"/>
        <v>170.13425794309376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44.772389073908535</v>
      </c>
      <c r="CL150" s="21">
        <f>EXP(-LN(2)/25)*CL149+(1-EXP(-LN(2)/25))/(LN(2)/25)*Calculateur!CG150*Calculateur!CI150*VLOOKUP('Données projet'!$B$12,Paramètres!$A$1:$I$89,3,0)*0.475*44/12</f>
        <v>6.5364681203761386</v>
      </c>
      <c r="CM150" s="21">
        <f>EXP(-LN(2)/2)*CM149+(1-EXP(-LN(2)/2))/(LN(2)/2)*CG150*CJ150*VLOOKUP('Données projet'!$B$12,Paramètres!$A$1:$I$89,3,0)*0.475*44/12</f>
        <v>6.2000496737269387E-7</v>
      </c>
      <c r="CN150" s="22">
        <f t="shared" si="120"/>
        <v>51.308857814289638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168.08890945052406</v>
      </c>
      <c r="CZ150" s="59">
        <f t="shared" si="150"/>
        <v>182.52462557642343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20.245503453530628</v>
      </c>
      <c r="DG150" s="21">
        <f>EXP(-LN(2)/25)*DG149+(1-EXP(-LN(2)/25))/(LN(2)/25)*Calculateur!DB150*Calculateur!DD150*VLOOKUP('Données projet'!$B$13,Paramètres!$A$1:$I$89,3,0)*0.475*44/12</f>
        <v>2.558785399398086</v>
      </c>
      <c r="DH150" s="21">
        <f>EXP(-LN(2)/2)*DH149+(1-EXP(-LN(2)/2))/(LN(2)/2)*DB150*DE150*VLOOKUP('Données projet'!$B$13,Paramètres!$A$1:$I$89,3,0)*0.475*44/12</f>
        <v>4.5570315356368525E-12</v>
      </c>
      <c r="DI150" s="22">
        <f t="shared" si="123"/>
        <v>22.804288852933272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-2.2737367544323206E-13</v>
      </c>
      <c r="DP150" s="17">
        <f>DO150*VLOOKUP('Données projet'!$B$14,Paramètres!$A$1:$I$89,3,0)*VLOOKUP('Données projet'!$B$14,Paramètres!$A$1:$I$89,5,0)</f>
        <v>-1.2710188457276673E-13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355.23615781077405</v>
      </c>
      <c r="DU150" s="59">
        <f t="shared" si="152"/>
        <v>448.84541017639367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46.202136265365887</v>
      </c>
      <c r="EB150" s="21">
        <f>EXP(-LN(2)/25)*EB149+(1-EXP(-LN(2)/25))/(LN(2)/25)*Calculateur!DW150*Calculateur!DY150*VLOOKUP('Données projet'!$B$14,Paramètres!$A$1:$I$89,3,0)*0.475*44/12</f>
        <v>5.7738554162620837</v>
      </c>
      <c r="EC150" s="21">
        <f>EXP(-LN(2)/2)*EC149+(1-EXP(-LN(2)/2))/(LN(2)/2)*DW150*DZ150*VLOOKUP('Données projet'!$B$14,Paramètres!$A$1:$I$89,3,0)*0.475*44/12</f>
        <v>4.5275618545834102E-12</v>
      </c>
      <c r="ED150" s="22">
        <f t="shared" si="126"/>
        <v>51.9759916816325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3.8933333333333318</v>
      </c>
      <c r="EJ150" s="12">
        <f>IF('Données projet'!$A$192&gt;35,EJ149+EI150-ER149,IF(A150&lt;'Données projet'!$A$192,$EG$205^A150,IF(A150='Données projet'!$A$192,'Données projet'!$B$192,EJ149+EI150-ER149)))</f>
        <v>213.44000000000005</v>
      </c>
      <c r="EK150" s="17">
        <f>EJ150*VLOOKUP('Données projet'!$B$15,Paramètres!$A$1:$I$89,3,0)*VLOOKUP('Données projet'!$B$15,Paramètres!$A$1:$I$89,5,0)</f>
        <v>229.74681600000002</v>
      </c>
      <c r="EL150" s="13">
        <f t="shared" si="153"/>
        <v>56.227933722181533</v>
      </c>
      <c r="EM150" s="20">
        <f t="shared" si="127"/>
        <v>498.07268909946623</v>
      </c>
      <c r="EN150" s="59">
        <f t="shared" si="128"/>
        <v>791.40602243279955</v>
      </c>
      <c r="EO150" s="59">
        <f ca="1">AVERAGE(OFFSET($EN$3,0,0,'Données projet'!$E$15+1,1))-AVERAGE(OFFSET($H$3,0,0,'Données projet'!$E$15+1,1))</f>
        <v>130.76477588601989</v>
      </c>
      <c r="EP150" s="59">
        <f t="shared" si="154"/>
        <v>94.034011511502172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44.074541311979615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44.074541311979615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-2.2737367544323206E-13</v>
      </c>
      <c r="FF150" s="17">
        <f>FE150*VLOOKUP('Données projet'!$B$16,Paramètres!$A$1:$I$89,3,0)*VLOOKUP('Données projet'!$B$16,Paramètres!$A$1:$I$89,5,0)</f>
        <v>-1.0345502232667058E-13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279.43442619866738</v>
      </c>
      <c r="FK150" s="59">
        <f t="shared" si="156"/>
        <v>355.95192241448217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37.60638998343731</v>
      </c>
      <c r="FR150" s="21">
        <f>EXP(-LN(2)/25)*FR149+(1-EXP(-LN(2)/25))/(LN(2)/25)*Calculateur!FM150*Calculateur!FO150*VLOOKUP('Données projet'!$B$16,Paramètres!$A$1:$I$89,3,0)*0.475*44/12</f>
        <v>4.6996497574226295</v>
      </c>
      <c r="FS150" s="21">
        <f>EXP(-LN(2)/2)*FS149+(1-EXP(-LN(2)/2))/(LN(2)/2)*FM150*FP150*VLOOKUP('Données projet'!$B$16,Paramètres!$A$1:$I$89,3,0)*0.475*44/12</f>
        <v>3.6852247653585898E-12</v>
      </c>
      <c r="FT150" s="22">
        <f t="shared" si="132"/>
        <v>42.306039740863625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-6.7984728957526396E-14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227.89848316900191</v>
      </c>
      <c r="T151" s="59">
        <f t="shared" si="142"/>
        <v>239.85955661394541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25.084053349781406</v>
      </c>
      <c r="AA151" s="21">
        <f>EXP(-LN(2)/25)*AA150+(1-EXP(-LN(2)/25))/(LN(2)/25)*Calculateur!V151*Calculateur!X151*VLOOKUP('Données projet'!$B$9,Paramètres!$A$1:$I$89,3,0)*0.475*44/12</f>
        <v>3.0109571008983123</v>
      </c>
      <c r="AB151" s="21">
        <f>EXP(-LN(2)/2)*AB150+(1-EXP(-LN(2)/2))/(LN(2)/2)*V151*Y151*VLOOKUP('Données projet'!$B$9,Paramètres!$A$1:$I$89,3,0)*0.475*44/12</f>
        <v>4.1675389556888333E-12</v>
      </c>
      <c r="AC151" s="22">
        <f t="shared" si="111"/>
        <v>28.095010450683887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-5.6843418860808015E-14</v>
      </c>
      <c r="AJ151" s="13">
        <f>AI151*VLOOKUP('Données projet'!$B$10,Paramètres!$A$1:$I$89,3,0)*VLOOKUP('Données projet'!$B$10,Paramètres!$A$1:$I$89,5,0)</f>
        <v>-5.1431925385259088E-14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215.7418266360167</v>
      </c>
      <c r="AO151" s="59">
        <f t="shared" si="144"/>
        <v>155.78420008229949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127.4610686817269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127.4610686817269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4.8666666666666663</v>
      </c>
      <c r="BD151" s="12">
        <f>IF('Données projet'!$A$88&gt;35,BD150+BC151-BL150,IF(A151&lt;'Données projet'!$A$88,$BA$205^A151,IF(A151='Données projet'!$A$88,'Données projet'!$B$88,BD150+BC151-BL150)))</f>
        <v>271.66666666666686</v>
      </c>
      <c r="BE151" s="13">
        <f>BD151*VLOOKUP('Données projet'!$B$11,Paramètres!$A$1:$I$89,3,0)*VLOOKUP('Données projet'!$B$11,Paramètres!$A$1:$I$89,5,0)</f>
        <v>275.4700000000002</v>
      </c>
      <c r="BF151" s="13">
        <f t="shared" si="145"/>
        <v>66.008782780164225</v>
      </c>
      <c r="BG151" s="20">
        <f t="shared" si="115"/>
        <v>594.74221334211961</v>
      </c>
      <c r="BH151" s="59">
        <f t="shared" si="116"/>
        <v>888.07554667545287</v>
      </c>
      <c r="BI151" s="59">
        <f ca="1">AVERAGE(OFFSET($BH$3,0,0,'Données projet'!$E$11+1,1))-AVERAGE(OFFSET($H$3,0,0,'Données projet'!$E$11+1,1))</f>
        <v>179.53921263314447</v>
      </c>
      <c r="BJ151" s="59">
        <f t="shared" si="146"/>
        <v>120.81513023281337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50.881654322072201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50.881654322072201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500.00000000000045</v>
      </c>
      <c r="BZ151" s="13">
        <f>BY151*VLOOKUP('Données projet'!$B$12,Paramètres!$A$1:$I$89,3,0)*VLOOKUP('Données projet'!$B$12,Paramètres!$A$1:$I$89,5,0)</f>
        <v>234.00000000000023</v>
      </c>
      <c r="CA151" s="13">
        <f t="shared" si="147"/>
        <v>57.146705242557189</v>
      </c>
      <c r="CB151" s="20">
        <f t="shared" si="118"/>
        <v>507.08051163078744</v>
      </c>
      <c r="CC151" s="59">
        <f t="shared" si="119"/>
        <v>800.4138449641207</v>
      </c>
      <c r="CD151" s="59">
        <f ca="1">AVERAGE(OFFSET($CC$3,0,0,'Données projet'!$E$12+1,1))-AVERAGE(OFFSET($H$3,0,0,'Données projet'!$E$12+1,1))</f>
        <v>310.06530483941287</v>
      </c>
      <c r="CE151" s="59">
        <f t="shared" si="148"/>
        <v>170.13425794309376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43.894429832630038</v>
      </c>
      <c r="CL151" s="21">
        <f>EXP(-LN(2)/25)*CL150+(1-EXP(-LN(2)/25))/(LN(2)/25)*Calculateur!CG151*Calculateur!CI151*VLOOKUP('Données projet'!$B$12,Paramètres!$A$1:$I$89,3,0)*0.475*44/12</f>
        <v>6.3577280558865343</v>
      </c>
      <c r="CM151" s="21">
        <f>EXP(-LN(2)/2)*CM150+(1-EXP(-LN(2)/2))/(LN(2)/2)*CG151*CJ151*VLOOKUP('Données projet'!$B$12,Paramètres!$A$1:$I$89,3,0)*0.475*44/12</f>
        <v>4.3840971679857599E-7</v>
      </c>
      <c r="CN151" s="22">
        <f t="shared" si="120"/>
        <v>50.252158326926285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168.08890945052406</v>
      </c>
      <c r="CZ151" s="59">
        <f t="shared" si="150"/>
        <v>182.52462557642343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19.84850147934468</v>
      </c>
      <c r="DG151" s="21">
        <f>EXP(-LN(2)/25)*DG150+(1-EXP(-LN(2)/25))/(LN(2)/25)*Calculateur!DB151*Calculateur!DD151*VLOOKUP('Données projet'!$B$13,Paramètres!$A$1:$I$89,3,0)*0.475*44/12</f>
        <v>2.4888152780908692</v>
      </c>
      <c r="DH151" s="21">
        <f>EXP(-LN(2)/2)*DH150+(1-EXP(-LN(2)/2))/(LN(2)/2)*DB151*DE151*VLOOKUP('Données projet'!$B$13,Paramètres!$A$1:$I$89,3,0)*0.475*44/12</f>
        <v>3.2223079009297646E-12</v>
      </c>
      <c r="DI151" s="22">
        <f t="shared" si="123"/>
        <v>22.337316757438771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-2.2737367544323206E-13</v>
      </c>
      <c r="DP151" s="17">
        <f>DO151*VLOOKUP('Données projet'!$B$14,Paramètres!$A$1:$I$89,3,0)*VLOOKUP('Données projet'!$B$14,Paramètres!$A$1:$I$89,5,0)</f>
        <v>-1.2710188457276673E-13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355.23615781077405</v>
      </c>
      <c r="DU151" s="59">
        <f t="shared" si="152"/>
        <v>448.84541017639367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45.296140553722587</v>
      </c>
      <c r="EB151" s="21">
        <f>EXP(-LN(2)/25)*EB150+(1-EXP(-LN(2)/25))/(LN(2)/25)*Calculateur!DW151*Calculateur!DY151*VLOOKUP('Données projet'!$B$14,Paramètres!$A$1:$I$89,3,0)*0.475*44/12</f>
        <v>5.6159690362705366</v>
      </c>
      <c r="EC151" s="21">
        <f>EXP(-LN(2)/2)*EC150+(1-EXP(-LN(2)/2))/(LN(2)/2)*DW151*DZ151*VLOOKUP('Données projet'!$B$14,Paramètres!$A$1:$I$89,3,0)*0.475*44/12</f>
        <v>3.2014696896174708E-12</v>
      </c>
      <c r="ED151" s="22">
        <f t="shared" si="126"/>
        <v>50.912109589996327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3.8933333333333318</v>
      </c>
      <c r="EJ151" s="12">
        <f>IF('Données projet'!$A$192&gt;35,EJ150+EI151-ER150,IF(A151&lt;'Données projet'!$A$192,$EG$205^A151,IF(A151='Données projet'!$A$192,'Données projet'!$B$192,EJ150+EI151-ER150)))</f>
        <v>217.3333333333334</v>
      </c>
      <c r="EK151" s="17">
        <f>EJ151*VLOOKUP('Données projet'!$B$15,Paramètres!$A$1:$I$89,3,0)*VLOOKUP('Données projet'!$B$15,Paramètres!$A$1:$I$89,5,0)</f>
        <v>233.93760000000006</v>
      </c>
      <c r="EL151" s="13">
        <f t="shared" si="153"/>
        <v>57.133239745887877</v>
      </c>
      <c r="EM151" s="20">
        <f t="shared" si="127"/>
        <v>506.94837922408811</v>
      </c>
      <c r="EN151" s="59">
        <f t="shared" si="128"/>
        <v>800.28171255742143</v>
      </c>
      <c r="EO151" s="59">
        <f ca="1">AVERAGE(OFFSET($EN$3,0,0,'Données projet'!$E$15+1,1))-AVERAGE(OFFSET($H$3,0,0,'Données projet'!$E$15+1,1))</f>
        <v>130.76477588601989</v>
      </c>
      <c r="EP151" s="59">
        <f t="shared" si="154"/>
        <v>94.034011511502172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43.210266439667436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43.210266439667436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-2.2737367544323206E-13</v>
      </c>
      <c r="FF151" s="17">
        <f>FE151*VLOOKUP('Données projet'!$B$16,Paramètres!$A$1:$I$89,3,0)*VLOOKUP('Données projet'!$B$16,Paramètres!$A$1:$I$89,5,0)</f>
        <v>-1.0345502232667058E-13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279.43442619866738</v>
      </c>
      <c r="FK151" s="59">
        <f t="shared" si="156"/>
        <v>355.95192241448217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36.868951613495092</v>
      </c>
      <c r="FR151" s="21">
        <f>EXP(-LN(2)/25)*FR150+(1-EXP(-LN(2)/25))/(LN(2)/25)*Calculateur!FM151*Calculateur!FO151*VLOOKUP('Données projet'!$B$16,Paramètres!$A$1:$I$89,3,0)*0.475*44/12</f>
        <v>4.5711375876620677</v>
      </c>
      <c r="FS151" s="21">
        <f>EXP(-LN(2)/2)*FS150+(1-EXP(-LN(2)/2))/(LN(2)/2)*FM151*FP151*VLOOKUP('Données projet'!$B$16,Paramètres!$A$1:$I$89,3,0)*0.475*44/12</f>
        <v>2.6058474217816624E-12</v>
      </c>
      <c r="FT151" s="22">
        <f t="shared" si="132"/>
        <v>41.440089201159765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-6.7984728957526396E-14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227.89848316900191</v>
      </c>
      <c r="T152" s="59">
        <f t="shared" si="142"/>
        <v>239.85955661394541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24.592170363354011</v>
      </c>
      <c r="AA152" s="21">
        <f>EXP(-LN(2)/25)*AA151+(1-EXP(-LN(2)/25))/(LN(2)/25)*Calculateur!V152*Calculateur!X152*VLOOKUP('Données projet'!$B$9,Paramètres!$A$1:$I$89,3,0)*0.475*44/12</f>
        <v>2.9286223206348958</v>
      </c>
      <c r="AB152" s="21">
        <f>EXP(-LN(2)/2)*AB151+(1-EXP(-LN(2)/2))/(LN(2)/2)*V152*Y152*VLOOKUP('Données projet'!$B$9,Paramètres!$A$1:$I$89,3,0)*0.475*44/12</f>
        <v>2.9468950564266766E-12</v>
      </c>
      <c r="AC152" s="22">
        <f t="shared" si="111"/>
        <v>27.520792683991854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-5.6843418860808015E-14</v>
      </c>
      <c r="AJ152" s="13">
        <f>AI152*VLOOKUP('Données projet'!$B$10,Paramètres!$A$1:$I$89,3,0)*VLOOKUP('Données projet'!$B$10,Paramètres!$A$1:$I$89,5,0)</f>
        <v>-5.1431925385259088E-14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215.7418266360167</v>
      </c>
      <c r="AO152" s="59">
        <f t="shared" si="144"/>
        <v>155.78420008229949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124.96163486845359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124.96163486845359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4.8666666666666663</v>
      </c>
      <c r="BD152" s="12">
        <f>IF('Données projet'!$A$88&gt;35,BD151+BC152-BL151,IF(A152&lt;'Données projet'!$A$88,$BA$205^A152,IF(A152='Données projet'!$A$88,'Données projet'!$B$88,BD151+BC152-BL151)))</f>
        <v>276.53333333333353</v>
      </c>
      <c r="BE152" s="13">
        <f>BD152*VLOOKUP('Données projet'!$B$11,Paramètres!$A$1:$I$89,3,0)*VLOOKUP('Données projet'!$B$11,Paramètres!$A$1:$I$89,5,0)</f>
        <v>280.40480000000025</v>
      </c>
      <c r="BF152" s="13">
        <f t="shared" si="145"/>
        <v>67.052547563721319</v>
      </c>
      <c r="BG152" s="20">
        <f t="shared" si="115"/>
        <v>605.15488034014845</v>
      </c>
      <c r="BH152" s="59">
        <f t="shared" si="116"/>
        <v>898.48821367348182</v>
      </c>
      <c r="BI152" s="59">
        <f ca="1">AVERAGE(OFFSET($BH$3,0,0,'Données projet'!$E$11+1,1))-AVERAGE(OFFSET($H$3,0,0,'Données projet'!$E$11+1,1))</f>
        <v>179.53921263314447</v>
      </c>
      <c r="BJ152" s="59">
        <f t="shared" si="146"/>
        <v>120.81513023281337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49.883896115561072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49.883896115561072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500.00000000000045</v>
      </c>
      <c r="BZ152" s="13">
        <f>BY152*VLOOKUP('Données projet'!$B$12,Paramètres!$A$1:$I$89,3,0)*VLOOKUP('Données projet'!$B$12,Paramètres!$A$1:$I$89,5,0)</f>
        <v>234.00000000000023</v>
      </c>
      <c r="CA152" s="13">
        <f t="shared" si="147"/>
        <v>57.146705242557189</v>
      </c>
      <c r="CB152" s="20">
        <f t="shared" si="118"/>
        <v>507.08051163078744</v>
      </c>
      <c r="CC152" s="59">
        <f t="shared" si="119"/>
        <v>800.4138449641207</v>
      </c>
      <c r="CD152" s="59">
        <f ca="1">AVERAGE(OFFSET($CC$3,0,0,'Données projet'!$E$12+1,1))-AVERAGE(OFFSET($H$3,0,0,'Données projet'!$E$12+1,1))</f>
        <v>310.06530483941287</v>
      </c>
      <c r="CE152" s="59">
        <f t="shared" si="148"/>
        <v>170.13425794309376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43.033686836570752</v>
      </c>
      <c r="CL152" s="21">
        <f>EXP(-LN(2)/25)*CL151+(1-EXP(-LN(2)/25))/(LN(2)/25)*Calculateur!CG152*Calculateur!CI152*VLOOKUP('Données projet'!$B$12,Paramètres!$A$1:$I$89,3,0)*0.475*44/12</f>
        <v>6.1838756478599297</v>
      </c>
      <c r="CM152" s="21">
        <f>EXP(-LN(2)/2)*CM151+(1-EXP(-LN(2)/2))/(LN(2)/2)*CG152*CJ152*VLOOKUP('Données projet'!$B$12,Paramètres!$A$1:$I$89,3,0)*0.475*44/12</f>
        <v>3.1000248368634694E-7</v>
      </c>
      <c r="CN152" s="22">
        <f t="shared" si="120"/>
        <v>49.217562794433164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168.08890945052406</v>
      </c>
      <c r="CZ152" s="59">
        <f t="shared" si="150"/>
        <v>182.52462557642343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19.459284471725226</v>
      </c>
      <c r="DG152" s="21">
        <f>EXP(-LN(2)/25)*DG151+(1-EXP(-LN(2)/25))/(LN(2)/25)*Calculateur!DB152*Calculateur!DD152*VLOOKUP('Données projet'!$B$13,Paramètres!$A$1:$I$89,3,0)*0.475*44/12</f>
        <v>2.420758493430367</v>
      </c>
      <c r="DH152" s="21">
        <f>EXP(-LN(2)/2)*DH151+(1-EXP(-LN(2)/2))/(LN(2)/2)*DB152*DE152*VLOOKUP('Données projet'!$B$13,Paramètres!$A$1:$I$89,3,0)*0.475*44/12</f>
        <v>2.2785157678184263E-12</v>
      </c>
      <c r="DI152" s="22">
        <f t="shared" si="123"/>
        <v>21.88004296515787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-2.2737367544323206E-13</v>
      </c>
      <c r="DP152" s="17">
        <f>DO152*VLOOKUP('Données projet'!$B$14,Paramètres!$A$1:$I$89,3,0)*VLOOKUP('Données projet'!$B$14,Paramètres!$A$1:$I$89,5,0)</f>
        <v>-1.2710188457276673E-13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355.23615781077405</v>
      </c>
      <c r="DU152" s="59">
        <f t="shared" si="152"/>
        <v>448.84541017639367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44.407910865381794</v>
      </c>
      <c r="EB152" s="21">
        <f>EXP(-LN(2)/25)*EB151+(1-EXP(-LN(2)/25))/(LN(2)/25)*Calculateur!DW152*Calculateur!DY152*VLOOKUP('Données projet'!$B$14,Paramètres!$A$1:$I$89,3,0)*0.475*44/12</f>
        <v>5.4624000676427427</v>
      </c>
      <c r="EC152" s="21">
        <f>EXP(-LN(2)/2)*EC151+(1-EXP(-LN(2)/2))/(LN(2)/2)*DW152*DZ152*VLOOKUP('Données projet'!$B$14,Paramètres!$A$1:$I$89,3,0)*0.475*44/12</f>
        <v>2.2637809272917051E-12</v>
      </c>
      <c r="ED152" s="22">
        <f t="shared" si="126"/>
        <v>49.870310933026801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3.8933333333333318</v>
      </c>
      <c r="EJ152" s="12">
        <f>IF('Données projet'!$A$192&gt;35,EJ151+EI152-ER151,IF(A152&lt;'Données projet'!$A$192,$EG$205^A152,IF(A152='Données projet'!$A$192,'Données projet'!$B$192,EJ151+EI152-ER151)))</f>
        <v>221.22666666666674</v>
      </c>
      <c r="EK152" s="17">
        <f>EJ152*VLOOKUP('Données projet'!$B$15,Paramètres!$A$1:$I$89,3,0)*VLOOKUP('Données projet'!$B$15,Paramètres!$A$1:$I$89,5,0)</f>
        <v>238.12838400000004</v>
      </c>
      <c r="EL152" s="13">
        <f t="shared" si="153"/>
        <v>58.036659883415432</v>
      </c>
      <c r="EM152" s="20">
        <f t="shared" si="127"/>
        <v>515.82078476361528</v>
      </c>
      <c r="EN152" s="59">
        <f t="shared" si="128"/>
        <v>809.15411809694865</v>
      </c>
      <c r="EO152" s="59">
        <f ca="1">AVERAGE(OFFSET($EN$3,0,0,'Données projet'!$E$15+1,1))-AVERAGE(OFFSET($H$3,0,0,'Données projet'!$E$15+1,1))</f>
        <v>130.76477588601989</v>
      </c>
      <c r="EP152" s="59">
        <f t="shared" si="154"/>
        <v>94.034011511502172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42.362939470445681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42.362939470445681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-2.2737367544323206E-13</v>
      </c>
      <c r="FF152" s="17">
        <f>FE152*VLOOKUP('Données projet'!$B$16,Paramètres!$A$1:$I$89,3,0)*VLOOKUP('Données projet'!$B$16,Paramètres!$A$1:$I$89,5,0)</f>
        <v>-1.0345502232667058E-13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279.43442619866738</v>
      </c>
      <c r="FK152" s="59">
        <f t="shared" si="156"/>
        <v>355.95192241448217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36.145973960194446</v>
      </c>
      <c r="FR152" s="21">
        <f>EXP(-LN(2)/25)*FR151+(1-EXP(-LN(2)/25))/(LN(2)/25)*Calculateur!FM152*Calculateur!FO152*VLOOKUP('Données projet'!$B$16,Paramètres!$A$1:$I$89,3,0)*0.475*44/12</f>
        <v>4.4461395899417706</v>
      </c>
      <c r="FS152" s="21">
        <f>EXP(-LN(2)/2)*FS151+(1-EXP(-LN(2)/2))/(LN(2)/2)*FM152*FP152*VLOOKUP('Données projet'!$B$16,Paramètres!$A$1:$I$89,3,0)*0.475*44/12</f>
        <v>1.8426123826792949E-12</v>
      </c>
      <c r="FT152" s="22">
        <f t="shared" si="132"/>
        <v>40.592113550138059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-6.7984728957526396E-14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227.89848316900191</v>
      </c>
      <c r="T153" s="59">
        <f t="shared" si="142"/>
        <v>239.85955661394541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24.10993290227146</v>
      </c>
      <c r="AA153" s="21">
        <f>EXP(-LN(2)/25)*AA152+(1-EXP(-LN(2)/25))/(LN(2)/25)*Calculateur!V153*Calculateur!X153*VLOOKUP('Données projet'!$B$9,Paramètres!$A$1:$I$89,3,0)*0.475*44/12</f>
        <v>2.8485389892675803</v>
      </c>
      <c r="AB153" s="21">
        <f>EXP(-LN(2)/2)*AB152+(1-EXP(-LN(2)/2))/(LN(2)/2)*V153*Y153*VLOOKUP('Données projet'!$B$9,Paramètres!$A$1:$I$89,3,0)*0.475*44/12</f>
        <v>2.0837694778444167E-12</v>
      </c>
      <c r="AC153" s="22">
        <f t="shared" si="111"/>
        <v>26.958471891541127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-5.6843418860808015E-14</v>
      </c>
      <c r="AJ153" s="13">
        <f>AI153*VLOOKUP('Données projet'!$B$10,Paramètres!$A$1:$I$89,3,0)*VLOOKUP('Données projet'!$B$10,Paramètres!$A$1:$I$89,5,0)</f>
        <v>-5.1431925385259088E-14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215.7418266360167</v>
      </c>
      <c r="AO153" s="59">
        <f t="shared" si="144"/>
        <v>155.78420008229949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122.51121342775447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122.51121342775447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4.8666666666666663</v>
      </c>
      <c r="BD153" s="12">
        <f>IF('Données projet'!$A$88&gt;35,BD152+BC153-BL152,IF(A153&lt;'Données projet'!$A$88,$BA$205^A153,IF(A153='Données projet'!$A$88,'Données projet'!$B$88,BD152+BC153-BL152)))</f>
        <v>281.4000000000002</v>
      </c>
      <c r="BE153" s="13">
        <f>BD153*VLOOKUP('Données projet'!$B$11,Paramètres!$A$1:$I$89,3,0)*VLOOKUP('Données projet'!$B$11,Paramètres!$A$1:$I$89,5,0)</f>
        <v>285.33960000000025</v>
      </c>
      <c r="BF153" s="13">
        <f t="shared" si="145"/>
        <v>68.094176261531288</v>
      </c>
      <c r="BG153" s="20">
        <f t="shared" si="115"/>
        <v>615.56382698883408</v>
      </c>
      <c r="BH153" s="59">
        <f t="shared" si="116"/>
        <v>908.89716032216734</v>
      </c>
      <c r="BI153" s="59">
        <f ca="1">AVERAGE(OFFSET($BH$3,0,0,'Données projet'!$E$11+1,1))-AVERAGE(OFFSET($H$3,0,0,'Données projet'!$E$11+1,1))</f>
        <v>179.53921263314447</v>
      </c>
      <c r="BJ153" s="59">
        <f t="shared" si="146"/>
        <v>120.81513023281337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48.905703338907216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48.905703338907216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500.00000000000045</v>
      </c>
      <c r="BZ153" s="13">
        <f>BY153*VLOOKUP('Données projet'!$B$12,Paramètres!$A$1:$I$89,3,0)*VLOOKUP('Données projet'!$B$12,Paramètres!$A$1:$I$89,5,0)</f>
        <v>234.00000000000023</v>
      </c>
      <c r="CA153" s="13">
        <f t="shared" si="147"/>
        <v>57.146705242557189</v>
      </c>
      <c r="CB153" s="20">
        <f t="shared" si="118"/>
        <v>507.08051163078744</v>
      </c>
      <c r="CC153" s="59">
        <f t="shared" si="119"/>
        <v>800.4138449641207</v>
      </c>
      <c r="CD153" s="59">
        <f ca="1">AVERAGE(OFFSET($CC$3,0,0,'Données projet'!$E$12+1,1))-AVERAGE(OFFSET($H$3,0,0,'Données projet'!$E$12+1,1))</f>
        <v>310.06530483941287</v>
      </c>
      <c r="CE153" s="59">
        <f t="shared" si="148"/>
        <v>170.13425794309376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42.189822485662802</v>
      </c>
      <c r="CL153" s="21">
        <f>EXP(-LN(2)/25)*CL152+(1-EXP(-LN(2)/25))/(LN(2)/25)*Calculateur!CG153*Calculateur!CI153*VLOOKUP('Données projet'!$B$12,Paramètres!$A$1:$I$89,3,0)*0.475*44/12</f>
        <v>6.0147772430733131</v>
      </c>
      <c r="CM153" s="21">
        <f>EXP(-LN(2)/2)*CM152+(1-EXP(-LN(2)/2))/(LN(2)/2)*CG153*CJ153*VLOOKUP('Données projet'!$B$12,Paramètres!$A$1:$I$89,3,0)*0.475*44/12</f>
        <v>2.1920485839928799E-7</v>
      </c>
      <c r="CN153" s="22">
        <f t="shared" si="120"/>
        <v>48.20459994794097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168.08890945052406</v>
      </c>
      <c r="CZ153" s="59">
        <f t="shared" si="150"/>
        <v>182.52462557642343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19.077699772226257</v>
      </c>
      <c r="DG153" s="21">
        <f>EXP(-LN(2)/25)*DG152+(1-EXP(-LN(2)/25))/(LN(2)/25)*Calculateur!DB153*Calculateur!DD153*VLOOKUP('Données projet'!$B$13,Paramètres!$A$1:$I$89,3,0)*0.475*44/12</f>
        <v>2.3545627251253571</v>
      </c>
      <c r="DH153" s="21">
        <f>EXP(-LN(2)/2)*DH152+(1-EXP(-LN(2)/2))/(LN(2)/2)*DB153*DE153*VLOOKUP('Données projet'!$B$13,Paramètres!$A$1:$I$89,3,0)*0.475*44/12</f>
        <v>1.6111539504648823E-12</v>
      </c>
      <c r="DI153" s="22">
        <f t="shared" si="123"/>
        <v>21.432262497353225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-2.2737367544323206E-13</v>
      </c>
      <c r="DP153" s="17">
        <f>DO153*VLOOKUP('Données projet'!$B$14,Paramètres!$A$1:$I$89,3,0)*VLOOKUP('Données projet'!$B$14,Paramètres!$A$1:$I$89,5,0)</f>
        <v>-1.2710188457276673E-13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355.23615781077405</v>
      </c>
      <c r="DU153" s="59">
        <f t="shared" si="152"/>
        <v>448.84541017639367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43.537098819462749</v>
      </c>
      <c r="EB153" s="21">
        <f>EXP(-LN(2)/25)*EB152+(1-EXP(-LN(2)/25))/(LN(2)/25)*Calculateur!DW153*Calculateur!DY153*VLOOKUP('Données projet'!$B$14,Paramètres!$A$1:$I$89,3,0)*0.475*44/12</f>
        <v>5.3130304505379167</v>
      </c>
      <c r="EC153" s="21">
        <f>EXP(-LN(2)/2)*EC152+(1-EXP(-LN(2)/2))/(LN(2)/2)*DW153*DZ153*VLOOKUP('Données projet'!$B$14,Paramètres!$A$1:$I$89,3,0)*0.475*44/12</f>
        <v>1.6007348448087354E-12</v>
      </c>
      <c r="ED153" s="22">
        <f t="shared" si="126"/>
        <v>48.850129270002263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3.8933333333333318</v>
      </c>
      <c r="EJ153" s="12">
        <f>IF('Données projet'!$A$192&gt;35,EJ152+EI153-ER152,IF(A153&lt;'Données projet'!$A$192,$EG$205^A153,IF(A153='Données projet'!$A$192,'Données projet'!$B$192,EJ152+EI153-ER152)))</f>
        <v>225.12000000000009</v>
      </c>
      <c r="EK153" s="17">
        <f>EJ153*VLOOKUP('Données projet'!$B$15,Paramètres!$A$1:$I$89,3,0)*VLOOKUP('Données projet'!$B$15,Paramètres!$A$1:$I$89,5,0)</f>
        <v>242.31916800000008</v>
      </c>
      <c r="EL153" s="13">
        <f t="shared" si="153"/>
        <v>58.938231153353414</v>
      </c>
      <c r="EM153" s="20">
        <f t="shared" si="127"/>
        <v>524.68997019209064</v>
      </c>
      <c r="EN153" s="59">
        <f t="shared" si="128"/>
        <v>818.0233035254239</v>
      </c>
      <c r="EO153" s="59">
        <f ca="1">AVERAGE(OFFSET($EN$3,0,0,'Données projet'!$E$15+1,1))-AVERAGE(OFFSET($H$3,0,0,'Données projet'!$E$15+1,1))</f>
        <v>130.76477588601989</v>
      </c>
      <c r="EP153" s="59">
        <f t="shared" si="154"/>
        <v>94.034011511502172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41.532228066271948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41.532228066271948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-2.2737367544323206E-13</v>
      </c>
      <c r="FF153" s="17">
        <f>FE153*VLOOKUP('Données projet'!$B$16,Paramètres!$A$1:$I$89,3,0)*VLOOKUP('Données projet'!$B$16,Paramètres!$A$1:$I$89,5,0)</f>
        <v>-1.0345502232667058E-13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279.43442619866738</v>
      </c>
      <c r="FK153" s="59">
        <f t="shared" si="156"/>
        <v>355.95192241448217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35.437173457702201</v>
      </c>
      <c r="FR153" s="21">
        <f>EXP(-LN(2)/25)*FR152+(1-EXP(-LN(2)/25))/(LN(2)/25)*Calculateur!FM153*Calculateur!FO153*VLOOKUP('Données projet'!$B$16,Paramètres!$A$1:$I$89,3,0)*0.475*44/12</f>
        <v>4.3245596690424932</v>
      </c>
      <c r="FS153" s="21">
        <f>EXP(-LN(2)/2)*FS152+(1-EXP(-LN(2)/2))/(LN(2)/2)*FM153*FP153*VLOOKUP('Données projet'!$B$16,Paramètres!$A$1:$I$89,3,0)*0.475*44/12</f>
        <v>1.3029237108908312E-12</v>
      </c>
      <c r="FT153" s="22">
        <f t="shared" si="132"/>
        <v>39.761733126745995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-6.7984728957526396E-14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227.89848316900191</v>
      </c>
      <c r="T154" s="59">
        <f t="shared" si="142"/>
        <v>239.85955661394541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23.637151823664929</v>
      </c>
      <c r="AA154" s="21">
        <f>EXP(-LN(2)/25)*AA153+(1-EXP(-LN(2)/25))/(LN(2)/25)*Calculateur!V154*Calculateur!X154*VLOOKUP('Données projet'!$B$9,Paramètres!$A$1:$I$89,3,0)*0.475*44/12</f>
        <v>2.7706455408079034</v>
      </c>
      <c r="AB154" s="21">
        <f>EXP(-LN(2)/2)*AB153+(1-EXP(-LN(2)/2))/(LN(2)/2)*V154*Y154*VLOOKUP('Données projet'!$B$9,Paramètres!$A$1:$I$89,3,0)*0.475*44/12</f>
        <v>1.4734475282133383E-12</v>
      </c>
      <c r="AC154" s="22">
        <f t="shared" ref="AC154:AC203" si="163">SUM(Z154:AB154)</f>
        <v>26.407797364474309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-5.6843418860808015E-14</v>
      </c>
      <c r="AJ154" s="13">
        <f>AI154*VLOOKUP('Données projet'!$B$10,Paramètres!$A$1:$I$89,3,0)*VLOOKUP('Données projet'!$B$10,Paramètres!$A$1:$I$89,5,0)</f>
        <v>-5.1431925385259088E-14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215.7418266360167</v>
      </c>
      <c r="AO154" s="59">
        <f t="shared" si="144"/>
        <v>155.78420008229949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120.10884325689797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120.10884325689797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4.8666666666666663</v>
      </c>
      <c r="BD154" s="12">
        <f>IF('Données projet'!$A$88&gt;35,BD153+BC154-BL153,IF(A154&lt;'Données projet'!$A$88,$BA$205^A154,IF(A154='Données projet'!$A$88,'Données projet'!$B$88,BD153+BC154-BL153)))</f>
        <v>286.26666666666688</v>
      </c>
      <c r="BE154" s="13">
        <f>BD154*VLOOKUP('Données projet'!$B$11,Paramètres!$A$1:$I$89,3,0)*VLOOKUP('Données projet'!$B$11,Paramètres!$A$1:$I$89,5,0)</f>
        <v>290.27440000000024</v>
      </c>
      <c r="BF154" s="13">
        <f t="shared" ref="BF154:BF203" si="167">EXP(-1.0587+0.8836*LN(BE154)+0.284)</f>
        <v>69.133710078848466</v>
      </c>
      <c r="BG154" s="20">
        <f t="shared" ref="BG154:BG203" si="168">(BE154+BF154)*0.475*44/12</f>
        <v>625.96912505399484</v>
      </c>
      <c r="BH154" s="59">
        <f t="shared" si="116"/>
        <v>919.30245838732822</v>
      </c>
      <c r="BI154" s="59">
        <f ca="1">AVERAGE(OFFSET($BH$3,0,0,'Données projet'!$E$11+1,1))-AVERAGE(OFFSET($H$3,0,0,'Données projet'!$E$11+1,1))</f>
        <v>179.53921263314447</v>
      </c>
      <c r="BJ154" s="59">
        <f t="shared" si="146"/>
        <v>120.81513023281337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47.946692325964861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47.946692325964861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500.00000000000045</v>
      </c>
      <c r="BZ154" s="13">
        <f>BY154*VLOOKUP('Données projet'!$B$12,Paramètres!$A$1:$I$89,3,0)*VLOOKUP('Données projet'!$B$12,Paramètres!$A$1:$I$89,5,0)</f>
        <v>234.00000000000023</v>
      </c>
      <c r="CA154" s="13">
        <f t="shared" ref="CA154:CA203" si="170">EXP(-1.0587+0.8836*LN(BZ154)+0.284)</f>
        <v>57.146705242557189</v>
      </c>
      <c r="CB154" s="20">
        <f t="shared" ref="CB154:CB203" si="171">(BZ154+CA154)*0.475*44/12</f>
        <v>507.08051163078744</v>
      </c>
      <c r="CC154" s="59">
        <f t="shared" si="119"/>
        <v>800.4138449641207</v>
      </c>
      <c r="CD154" s="59">
        <f ca="1">AVERAGE(OFFSET($CC$3,0,0,'Données projet'!$E$12+1,1))-AVERAGE(OFFSET($H$3,0,0,'Données projet'!$E$12+1,1))</f>
        <v>310.06530483941287</v>
      </c>
      <c r="CE154" s="59">
        <f t="shared" si="148"/>
        <v>170.13425794309376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41.362505799969725</v>
      </c>
      <c r="CL154" s="21">
        <f>EXP(-LN(2)/25)*CL153+(1-EXP(-LN(2)/25))/(LN(2)/25)*Calculateur!CG154*Calculateur!CI154*VLOOKUP('Données projet'!$B$12,Paramètres!$A$1:$I$89,3,0)*0.475*44/12</f>
        <v>5.8503028430580848</v>
      </c>
      <c r="CM154" s="21">
        <f>EXP(-LN(2)/2)*CM153+(1-EXP(-LN(2)/2))/(LN(2)/2)*CG154*CJ154*VLOOKUP('Données projet'!$B$12,Paramètres!$A$1:$I$89,3,0)*0.475*44/12</f>
        <v>1.5500124184317347E-7</v>
      </c>
      <c r="CN154" s="22">
        <f t="shared" ref="CN154:CN203" si="172">SUM(CK154:CM154)</f>
        <v>47.212808798029052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168.08890945052406</v>
      </c>
      <c r="CZ154" s="59">
        <f t="shared" si="150"/>
        <v>182.52462557642343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18.703597715940777</v>
      </c>
      <c r="DG154" s="21">
        <f>EXP(-LN(2)/25)*DG153+(1-EXP(-LN(2)/25))/(LN(2)/25)*Calculateur!DB154*Calculateur!DD154*VLOOKUP('Données projet'!$B$13,Paramètres!$A$1:$I$89,3,0)*0.475*44/12</f>
        <v>2.290177083585732</v>
      </c>
      <c r="DH154" s="21">
        <f>EXP(-LN(2)/2)*DH153+(1-EXP(-LN(2)/2))/(LN(2)/2)*DB154*DE154*VLOOKUP('Données projet'!$B$13,Paramètres!$A$1:$I$89,3,0)*0.475*44/12</f>
        <v>1.1392578839092131E-12</v>
      </c>
      <c r="DI154" s="22">
        <f t="shared" ref="DI154:DI203" si="175">SUM(DF154:DH154)</f>
        <v>20.99377479952765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-2.2737367544323206E-13</v>
      </c>
      <c r="DP154" s="17">
        <f>DO154*VLOOKUP('Données projet'!$B$14,Paramètres!$A$1:$I$89,3,0)*VLOOKUP('Données projet'!$B$14,Paramètres!$A$1:$I$89,5,0)</f>
        <v>-1.2710188457276673E-13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355.23615781077405</v>
      </c>
      <c r="DU154" s="59">
        <f t="shared" si="152"/>
        <v>448.84541017639367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42.683362866621273</v>
      </c>
      <c r="EB154" s="21">
        <f>EXP(-LN(2)/25)*EB153+(1-EXP(-LN(2)/25))/(LN(2)/25)*Calculateur!DW154*Calculateur!DY154*VLOOKUP('Données projet'!$B$14,Paramètres!$A$1:$I$89,3,0)*0.475*44/12</f>
        <v>5.1677453534678293</v>
      </c>
      <c r="EC154" s="21">
        <f>EXP(-LN(2)/2)*EC153+(1-EXP(-LN(2)/2))/(LN(2)/2)*DW154*DZ154*VLOOKUP('Données projet'!$B$14,Paramètres!$A$1:$I$89,3,0)*0.475*44/12</f>
        <v>1.1318904636458526E-12</v>
      </c>
      <c r="ED154" s="22">
        <f t="shared" ref="ED154:ED203" si="178">SUM(EA154:EC154)</f>
        <v>47.851108220090232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3.8933333333333318</v>
      </c>
      <c r="EJ154" s="12">
        <f>IF('Données projet'!$A$192&gt;35,EJ153+EI154-ER153,IF(A154&lt;'Données projet'!$A$192,$EG$205^A154,IF(A154='Données projet'!$A$192,'Données projet'!$B$192,EJ153+EI154-ER153)))</f>
        <v>229.01333333333343</v>
      </c>
      <c r="EK154" s="17">
        <f>EJ154*VLOOKUP('Données projet'!$B$15,Paramètres!$A$1:$I$89,3,0)*VLOOKUP('Données projet'!$B$15,Paramètres!$A$1:$I$89,5,0)</f>
        <v>246.50995200000011</v>
      </c>
      <c r="EL154" s="13">
        <f t="shared" ref="EL154:EL203" si="179">EXP(-1.0587+0.8836*LN(EK154)+0.284)</f>
        <v>59.837989220496333</v>
      </c>
      <c r="EM154" s="20">
        <f t="shared" ref="EM154:EM203" si="180">(EK154+EL154)*0.475*44/12</f>
        <v>533.55599762569796</v>
      </c>
      <c r="EN154" s="59">
        <f t="shared" si="128"/>
        <v>826.88933095903121</v>
      </c>
      <c r="EO154" s="59">
        <f ca="1">AVERAGE(OFFSET($EN$3,0,0,'Données projet'!$E$15+1,1))-AVERAGE(OFFSET($H$3,0,0,'Données projet'!$E$15+1,1))</f>
        <v>130.76477588601989</v>
      </c>
      <c r="EP154" s="59">
        <f t="shared" si="154"/>
        <v>94.034011511502172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40.71780640605013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40.71780640605013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-2.2737367544323206E-13</v>
      </c>
      <c r="FF154" s="17">
        <f>FE154*VLOOKUP('Données projet'!$B$16,Paramètres!$A$1:$I$89,3,0)*VLOOKUP('Données projet'!$B$16,Paramètres!$A$1:$I$89,5,0)</f>
        <v>-1.0345502232667058E-13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279.43442619866738</v>
      </c>
      <c r="FK154" s="59">
        <f t="shared" si="156"/>
        <v>355.95192241448217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34.742272100738212</v>
      </c>
      <c r="FR154" s="21">
        <f>EXP(-LN(2)/25)*FR153+(1-EXP(-LN(2)/25))/(LN(2)/25)*Calculateur!FM154*Calculateur!FO154*VLOOKUP('Données projet'!$B$16,Paramètres!$A$1:$I$89,3,0)*0.475*44/12</f>
        <v>4.206304357473817</v>
      </c>
      <c r="FS154" s="21">
        <f>EXP(-LN(2)/2)*FS153+(1-EXP(-LN(2)/2))/(LN(2)/2)*FM154*FP154*VLOOKUP('Données projet'!$B$16,Paramètres!$A$1:$I$89,3,0)*0.475*44/12</f>
        <v>9.2130619133964746E-13</v>
      </c>
      <c r="FT154" s="22">
        <f t="shared" ref="FT154:FT203" si="184">SUM(FQ154:FS154)</f>
        <v>38.948576458212955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-6.7984728957526396E-14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227.89848316900191</v>
      </c>
      <c r="T155" s="59">
        <f t="shared" si="142"/>
        <v>239.85955661394541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23.173641693641887</v>
      </c>
      <c r="AA155" s="21">
        <f>EXP(-LN(2)/25)*AA154+(1-EXP(-LN(2)/25))/(LN(2)/25)*Calculateur!V155*Calculateur!X155*VLOOKUP('Données projet'!$B$9,Paramètres!$A$1:$I$89,3,0)*0.475*44/12</f>
        <v>2.6948820927925947</v>
      </c>
      <c r="AB155" s="21">
        <f>EXP(-LN(2)/2)*AB154+(1-EXP(-LN(2)/2))/(LN(2)/2)*V155*Y155*VLOOKUP('Données projet'!$B$9,Paramètres!$A$1:$I$89,3,0)*0.475*44/12</f>
        <v>1.0418847389222083E-12</v>
      </c>
      <c r="AC155" s="22">
        <f t="shared" si="163"/>
        <v>25.868523786435521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-5.6843418860808015E-14</v>
      </c>
      <c r="AJ155" s="13">
        <f>AI155*VLOOKUP('Données projet'!$B$10,Paramètres!$A$1:$I$89,3,0)*VLOOKUP('Données projet'!$B$10,Paramètres!$A$1:$I$89,5,0)</f>
        <v>-5.1431925385259088E-14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215.7418266360167</v>
      </c>
      <c r="AO155" s="59">
        <f t="shared" si="144"/>
        <v>155.78420008229949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117.75358209979085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117.75358209979085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4.8666666666666663</v>
      </c>
      <c r="BD155" s="12">
        <f>IF('Données projet'!$A$88&gt;35,BD154+BC155-BL154,IF(A155&lt;'Données projet'!$A$88,$BA$205^A155,IF(A155='Données projet'!$A$88,'Données projet'!$B$88,BD154+BC155-BL154)))</f>
        <v>291.13333333333355</v>
      </c>
      <c r="BE155" s="13">
        <f>BD155*VLOOKUP('Données projet'!$B$11,Paramètres!$A$1:$I$89,3,0)*VLOOKUP('Données projet'!$B$11,Paramètres!$A$1:$I$89,5,0)</f>
        <v>295.20920000000024</v>
      </c>
      <c r="BF155" s="13">
        <f t="shared" si="167"/>
        <v>70.17118873962329</v>
      </c>
      <c r="BG155" s="20">
        <f t="shared" si="168"/>
        <v>636.37084372151094</v>
      </c>
      <c r="BH155" s="59">
        <f t="shared" si="116"/>
        <v>929.70417705484419</v>
      </c>
      <c r="BI155" s="59">
        <f ca="1">AVERAGE(OFFSET($BH$3,0,0,'Données projet'!$E$11+1,1))-AVERAGE(OFFSET($H$3,0,0,'Données projet'!$E$11+1,1))</f>
        <v>179.53921263314447</v>
      </c>
      <c r="BJ155" s="59">
        <f t="shared" si="146"/>
        <v>120.81513023281337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47.006486934047345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47.006486934047345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500.00000000000045</v>
      </c>
      <c r="BZ155" s="13">
        <f>BY155*VLOOKUP('Données projet'!$B$12,Paramètres!$A$1:$I$89,3,0)*VLOOKUP('Données projet'!$B$12,Paramètres!$A$1:$I$89,5,0)</f>
        <v>234.00000000000023</v>
      </c>
      <c r="CA155" s="13">
        <f t="shared" si="170"/>
        <v>57.146705242557189</v>
      </c>
      <c r="CB155" s="20">
        <f t="shared" si="171"/>
        <v>507.08051163078744</v>
      </c>
      <c r="CC155" s="59">
        <f t="shared" si="119"/>
        <v>800.4138449641207</v>
      </c>
      <c r="CD155" s="59">
        <f ca="1">AVERAGE(OFFSET($CC$3,0,0,'Données projet'!$E$12+1,1))-AVERAGE(OFFSET($H$3,0,0,'Données projet'!$E$12+1,1))</f>
        <v>310.06530483941287</v>
      </c>
      <c r="CE155" s="59">
        <f t="shared" si="148"/>
        <v>170.13425794309376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40.551412289869738</v>
      </c>
      <c r="CL155" s="21">
        <f>EXP(-LN(2)/25)*CL154+(1-EXP(-LN(2)/25))/(LN(2)/25)*Calculateur!CG155*Calculateur!CI155*VLOOKUP('Données projet'!$B$12,Paramètres!$A$1:$I$89,3,0)*0.475*44/12</f>
        <v>5.6903260041606059</v>
      </c>
      <c r="CM155" s="21">
        <f>EXP(-LN(2)/2)*CM154+(1-EXP(-LN(2)/2))/(LN(2)/2)*CG155*CJ155*VLOOKUP('Données projet'!$B$12,Paramètres!$A$1:$I$89,3,0)*0.475*44/12</f>
        <v>1.09602429199644E-7</v>
      </c>
      <c r="CN155" s="22">
        <f t="shared" si="172"/>
        <v>46.241738403632773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168.08890945052406</v>
      </c>
      <c r="CZ155" s="59">
        <f t="shared" si="150"/>
        <v>182.52462557642343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18.336831572799333</v>
      </c>
      <c r="DG155" s="21">
        <f>EXP(-LN(2)/25)*DG154+(1-EXP(-LN(2)/25))/(LN(2)/25)*Calculateur!DB155*Calculateur!DD155*VLOOKUP('Données projet'!$B$13,Paramètres!$A$1:$I$89,3,0)*0.475*44/12</f>
        <v>2.2275520707999017</v>
      </c>
      <c r="DH155" s="21">
        <f>EXP(-LN(2)/2)*DH154+(1-EXP(-LN(2)/2))/(LN(2)/2)*DB155*DE155*VLOOKUP('Données projet'!$B$13,Paramètres!$A$1:$I$89,3,0)*0.475*44/12</f>
        <v>8.0557697523244114E-13</v>
      </c>
      <c r="DI155" s="22">
        <f t="shared" si="175"/>
        <v>20.564383643600042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-2.2737367544323206E-13</v>
      </c>
      <c r="DP155" s="17">
        <f>DO155*VLOOKUP('Données projet'!$B$14,Paramètres!$A$1:$I$89,3,0)*VLOOKUP('Données projet'!$B$14,Paramètres!$A$1:$I$89,5,0)</f>
        <v>-1.2710188457276673E-13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355.23615781077405</v>
      </c>
      <c r="DU155" s="59">
        <f t="shared" si="152"/>
        <v>448.84541017639367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41.846368155087504</v>
      </c>
      <c r="EB155" s="21">
        <f>EXP(-LN(2)/25)*EB154+(1-EXP(-LN(2)/25))/(LN(2)/25)*Calculateur!DW155*Calculateur!DY155*VLOOKUP('Données projet'!$B$14,Paramètres!$A$1:$I$89,3,0)*0.475*44/12</f>
        <v>5.0264330850173344</v>
      </c>
      <c r="EC155" s="21">
        <f>EXP(-LN(2)/2)*EC154+(1-EXP(-LN(2)/2))/(LN(2)/2)*DW155*DZ155*VLOOKUP('Données projet'!$B$14,Paramètres!$A$1:$I$89,3,0)*0.475*44/12</f>
        <v>8.003674224043677E-13</v>
      </c>
      <c r="ED155" s="22">
        <f t="shared" si="178"/>
        <v>46.872801240105638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3.8933333333333318</v>
      </c>
      <c r="EJ155" s="12">
        <f>IF('Données projet'!$A$192&gt;35,EJ154+EI155-ER154,IF(A155&lt;'Données projet'!$A$192,$EG$205^A155,IF(A155='Données projet'!$A$192,'Données projet'!$B$192,EJ154+EI155-ER154)))</f>
        <v>232.90666666666678</v>
      </c>
      <c r="EK155" s="17">
        <f>EJ155*VLOOKUP('Données projet'!$B$15,Paramètres!$A$1:$I$89,3,0)*VLOOKUP('Données projet'!$B$15,Paramètres!$A$1:$I$89,5,0)</f>
        <v>250.70073600000009</v>
      </c>
      <c r="EL155" s="13">
        <f t="shared" si="179"/>
        <v>60.735968467511114</v>
      </c>
      <c r="EM155" s="20">
        <f t="shared" si="180"/>
        <v>542.41892694758201</v>
      </c>
      <c r="EN155" s="59">
        <f t="shared" si="128"/>
        <v>835.75226028091538</v>
      </c>
      <c r="EO155" s="59">
        <f ca="1">AVERAGE(OFFSET($EN$3,0,0,'Données projet'!$E$15+1,1))-AVERAGE(OFFSET($H$3,0,0,'Données projet'!$E$15+1,1))</f>
        <v>130.76477588601989</v>
      </c>
      <c r="EP155" s="59">
        <f t="shared" si="154"/>
        <v>94.034011511502172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39.919355057837102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39.919355057837102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-2.2737367544323206E-13</v>
      </c>
      <c r="FF155" s="17">
        <f>FE155*VLOOKUP('Données projet'!$B$16,Paramètres!$A$1:$I$89,3,0)*VLOOKUP('Données projet'!$B$16,Paramètres!$A$1:$I$89,5,0)</f>
        <v>-1.0345502232667058E-13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279.43442619866738</v>
      </c>
      <c r="FK155" s="59">
        <f t="shared" si="156"/>
        <v>355.95192241448217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34.060997335536307</v>
      </c>
      <c r="FR155" s="21">
        <f>EXP(-LN(2)/25)*FR154+(1-EXP(-LN(2)/25))/(LN(2)/25)*Calculateur!FM155*Calculateur!FO155*VLOOKUP('Données projet'!$B$16,Paramètres!$A$1:$I$89,3,0)*0.475*44/12</f>
        <v>4.0912827436187627</v>
      </c>
      <c r="FS155" s="21">
        <f>EXP(-LN(2)/2)*FS154+(1-EXP(-LN(2)/2))/(LN(2)/2)*FM155*FP155*VLOOKUP('Données projet'!$B$16,Paramètres!$A$1:$I$89,3,0)*0.475*44/12</f>
        <v>6.5146185544541559E-13</v>
      </c>
      <c r="FT155" s="22">
        <f t="shared" si="184"/>
        <v>38.152280079155723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-6.7984728957526396E-14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227.89848316900191</v>
      </c>
      <c r="T156" s="59">
        <f t="shared" si="142"/>
        <v>239.85955661394541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22.719220714555334</v>
      </c>
      <c r="AA156" s="21">
        <f>EXP(-LN(2)/25)*AA155+(1-EXP(-LN(2)/25))/(LN(2)/25)*Calculateur!V156*Calculateur!X156*VLOOKUP('Données projet'!$B$9,Paramètres!$A$1:$I$89,3,0)*0.475*44/12</f>
        <v>2.6211904002474911</v>
      </c>
      <c r="AB156" s="21">
        <f>EXP(-LN(2)/2)*AB155+(1-EXP(-LN(2)/2))/(LN(2)/2)*V156*Y156*VLOOKUP('Données projet'!$B$9,Paramètres!$A$1:$I$89,3,0)*0.475*44/12</f>
        <v>7.3672376410666916E-13</v>
      </c>
      <c r="AC156" s="22">
        <f t="shared" si="163"/>
        <v>25.340411114803562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-5.6843418860808015E-14</v>
      </c>
      <c r="AJ156" s="13">
        <f>AI156*VLOOKUP('Données projet'!$B$10,Paramètres!$A$1:$I$89,3,0)*VLOOKUP('Données projet'!$B$10,Paramètres!$A$1:$I$89,5,0)</f>
        <v>-5.1431925385259088E-14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215.7418266360167</v>
      </c>
      <c r="AO156" s="59">
        <f t="shared" si="144"/>
        <v>155.78420008229949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115.44450617740713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115.44450617740713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>
        <f>VLOOKUP(A156,'Données projet'!$A$87:$I$107,2,0)</f>
        <v>296</v>
      </c>
      <c r="BB156" s="12">
        <f>VLOOKUP(A156,'Données projet'!$A$87:$I$107,9,0)</f>
        <v>4.8666666666666663</v>
      </c>
      <c r="BC156" s="12">
        <f t="array" ref="BC156">INDEX(BB:BB,MIN(IF(ISNUMBER(BB156:BB352),ROW(BB156:BB352),"")))</f>
        <v>4.8666666666666663</v>
      </c>
      <c r="BD156" s="12">
        <f>IF('Données projet'!$A$88&gt;35,BD155+BC156-BL155,IF(A156&lt;'Données projet'!$A$88,$BA$205^A156,IF(A156='Données projet'!$A$88,'Données projet'!$B$88,BD155+BC156-BL155)))</f>
        <v>296.00000000000023</v>
      </c>
      <c r="BE156" s="13">
        <f>BD156*VLOOKUP('Données projet'!$B$11,Paramètres!$A$1:$I$89,3,0)*VLOOKUP('Données projet'!$B$11,Paramètres!$A$1:$I$89,5,0)</f>
        <v>300.14400000000023</v>
      </c>
      <c r="BF156" s="13">
        <f t="shared" si="167"/>
        <v>71.206650563609855</v>
      </c>
      <c r="BG156" s="20">
        <f t="shared" si="168"/>
        <v>646.76904973162095</v>
      </c>
      <c r="BH156" s="59">
        <f t="shared" si="116"/>
        <v>940.10238306495421</v>
      </c>
      <c r="BI156" s="59">
        <f ca="1">AVERAGE(OFFSET($BH$3,0,0,'Données projet'!$E$11+1,1))-AVERAGE(OFFSET($H$3,0,0,'Données projet'!$E$11+1,1))</f>
        <v>179.53921263314447</v>
      </c>
      <c r="BJ156" s="59">
        <f t="shared" si="146"/>
        <v>120.81513023281337</v>
      </c>
      <c r="BK156" s="15" t="str">
        <f>IF(ISNA(VLOOKUP(A156,'Données projet'!$A$87:$I$107,3,0)),0,VLOOKUP(A156,'Données projet'!$A$87:$I$107,3,0))</f>
        <v>CR</v>
      </c>
      <c r="BL156" s="15">
        <f>IF(ISNA(VLOOKUP(A156,'Données projet'!$A$87:$I$107,4,0)),0,VLOOKUP(A156,'Données projet'!$A$87:$I$107,4,0))</f>
        <v>296</v>
      </c>
      <c r="BM156" s="16">
        <f>IF(ISNA(VLOOKUP(A156,'Données projet'!$A$87:$I$107,5,0)),0%,VLOOKUP(A156,'Données projet'!$A$87:$I$107,5,0)*VLOOKUP('Données projet'!$B$11,Paramètres!$A$1:$I$89,7,0))</f>
        <v>0.38700000000000001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174.49143511348279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174.49143511348279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500.00000000000045</v>
      </c>
      <c r="BZ156" s="13">
        <f>BY156*VLOOKUP('Données projet'!$B$12,Paramètres!$A$1:$I$89,3,0)*VLOOKUP('Données projet'!$B$12,Paramètres!$A$1:$I$89,5,0)</f>
        <v>234.00000000000023</v>
      </c>
      <c r="CA156" s="13">
        <f t="shared" si="170"/>
        <v>57.146705242557189</v>
      </c>
      <c r="CB156" s="20">
        <f t="shared" si="171"/>
        <v>507.08051163078744</v>
      </c>
      <c r="CC156" s="59">
        <f t="shared" si="119"/>
        <v>800.4138449641207</v>
      </c>
      <c r="CD156" s="59">
        <f ca="1">AVERAGE(OFFSET($CC$3,0,0,'Données projet'!$E$12+1,1))-AVERAGE(OFFSET($H$3,0,0,'Données projet'!$E$12+1,1))</f>
        <v>310.06530483941287</v>
      </c>
      <c r="CE156" s="59">
        <f t="shared" si="148"/>
        <v>170.13425794309376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39.75622382878462</v>
      </c>
      <c r="CL156" s="21">
        <f>EXP(-LN(2)/25)*CL155+(1-EXP(-LN(2)/25))/(LN(2)/25)*Calculateur!CG156*Calculateur!CI156*VLOOKUP('Données projet'!$B$12,Paramètres!$A$1:$I$89,3,0)*0.475*44/12</f>
        <v>5.5347237403355951</v>
      </c>
      <c r="CM156" s="21">
        <f>EXP(-LN(2)/2)*CM155+(1-EXP(-LN(2)/2))/(LN(2)/2)*CG156*CJ156*VLOOKUP('Données projet'!$B$12,Paramètres!$A$1:$I$89,3,0)*0.475*44/12</f>
        <v>7.7500620921586734E-8</v>
      </c>
      <c r="CN156" s="22">
        <f t="shared" si="172"/>
        <v>45.290947646620836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168.08890945052406</v>
      </c>
      <c r="CZ156" s="59">
        <f t="shared" si="150"/>
        <v>182.52462557642343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17.977257490019635</v>
      </c>
      <c r="DG156" s="21">
        <f>EXP(-LN(2)/25)*DG155+(1-EXP(-LN(2)/25))/(LN(2)/25)*Calculateur!DB156*Calculateur!DD156*VLOOKUP('Données projet'!$B$13,Paramètres!$A$1:$I$89,3,0)*0.475*44/12</f>
        <v>2.1666395422820059</v>
      </c>
      <c r="DH156" s="21">
        <f>EXP(-LN(2)/2)*DH155+(1-EXP(-LN(2)/2))/(LN(2)/2)*DB156*DE156*VLOOKUP('Données projet'!$B$13,Paramètres!$A$1:$I$89,3,0)*0.475*44/12</f>
        <v>5.6962894195460656E-13</v>
      </c>
      <c r="DI156" s="22">
        <f t="shared" si="175"/>
        <v>20.14389703230221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-2.2737367544323206E-13</v>
      </c>
      <c r="DP156" s="17">
        <f>DO156*VLOOKUP('Données projet'!$B$14,Paramètres!$A$1:$I$89,3,0)*VLOOKUP('Données projet'!$B$14,Paramètres!$A$1:$I$89,5,0)</f>
        <v>-1.2710188457276673E-13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355.23615781077405</v>
      </c>
      <c r="DU156" s="59">
        <f t="shared" si="152"/>
        <v>448.84541017639367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41.025786399330549</v>
      </c>
      <c r="EB156" s="21">
        <f>EXP(-LN(2)/25)*EB155+(1-EXP(-LN(2)/25))/(LN(2)/25)*Calculateur!DW156*Calculateur!DY156*VLOOKUP('Données projet'!$B$14,Paramètres!$A$1:$I$89,3,0)*0.475*44/12</f>
        <v>4.8889850079789072</v>
      </c>
      <c r="EC156" s="21">
        <f>EXP(-LN(2)/2)*EC155+(1-EXP(-LN(2)/2))/(LN(2)/2)*DW156*DZ156*VLOOKUP('Données projet'!$B$14,Paramètres!$A$1:$I$89,3,0)*0.475*44/12</f>
        <v>5.6594523182292628E-13</v>
      </c>
      <c r="ED156" s="22">
        <f t="shared" si="178"/>
        <v>45.914771407310027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>
        <f>VLOOKUP(A156,'Données projet'!$A$191:$I$211,2,0)</f>
        <v>236.8</v>
      </c>
      <c r="EH156" s="12">
        <f>VLOOKUP(A156,'Données projet'!$A$191:$I$211,9,0)</f>
        <v>3.8933333333333318</v>
      </c>
      <c r="EI156" s="12">
        <f t="array" ref="EI156">INDEX(EH:EH,MIN(IF(ISNUMBER(EH156:EH352),ROW(EH156:EH352),"")))</f>
        <v>3.8933333333333318</v>
      </c>
      <c r="EJ156" s="12">
        <f>IF('Données projet'!$A$192&gt;35,EJ155+EI156-ER155,IF(A156&lt;'Données projet'!$A$192,$EG$205^A156,IF(A156='Données projet'!$A$192,'Données projet'!$B$192,EJ155+EI156-ER155)))</f>
        <v>236.80000000000013</v>
      </c>
      <c r="EK156" s="17">
        <f>EJ156*VLOOKUP('Données projet'!$B$15,Paramètres!$A$1:$I$89,3,0)*VLOOKUP('Données projet'!$B$15,Paramètres!$A$1:$I$89,5,0)</f>
        <v>254.89152000000013</v>
      </c>
      <c r="EL156" s="13">
        <f t="shared" si="179"/>
        <v>61.632202061676409</v>
      </c>
      <c r="EM156" s="20">
        <f t="shared" si="180"/>
        <v>551.27881592408664</v>
      </c>
      <c r="EN156" s="59">
        <f t="shared" si="128"/>
        <v>844.61214925742001</v>
      </c>
      <c r="EO156" s="59">
        <f ca="1">AVERAGE(OFFSET($EN$3,0,0,'Données projet'!$E$15+1,1))-AVERAGE(OFFSET($H$3,0,0,'Données projet'!$E$15+1,1))</f>
        <v>130.76477588601989</v>
      </c>
      <c r="EP156" s="59">
        <f t="shared" si="154"/>
        <v>94.034011511502172</v>
      </c>
      <c r="EQ156" s="15" t="str">
        <f>IF(ISNA(VLOOKUP(A156,'Données projet'!$A$191:$I$211,3,0)),0,VLOOKUP(A156,'Données projet'!$A$191:$I$211,3,0))</f>
        <v>CR</v>
      </c>
      <c r="ER156" s="15">
        <f>IF(ISNA(VLOOKUP(A156,'Données projet'!$A$191:$I$211,4,0)),0,VLOOKUP(A156,'Données projet'!$A$191:$I$211,4,0))</f>
        <v>236.8</v>
      </c>
      <c r="ES156" s="16">
        <f>IF(ISNA(VLOOKUP(A156,'Données projet'!$A$191:$I$211,5,0)),0%,VLOOKUP(A156,'Données projet'!$A$191:$I$211,5,0)*VLOOKUP('Données projet'!$B$15,Paramètres!$A$1:$I$89,7,0))</f>
        <v>0.38700000000000001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148.1834956656038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148.1834956656038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-2.2737367544323206E-13</v>
      </c>
      <c r="FF156" s="17">
        <f>FE156*VLOOKUP('Données projet'!$B$16,Paramètres!$A$1:$I$89,3,0)*VLOOKUP('Données projet'!$B$16,Paramètres!$A$1:$I$89,5,0)</f>
        <v>-1.0345502232667058E-13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279.43442619866738</v>
      </c>
      <c r="FK156" s="59">
        <f t="shared" si="156"/>
        <v>355.95192241448217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33.39308195294344</v>
      </c>
      <c r="FR156" s="21">
        <f>EXP(-LN(2)/25)*FR155+(1-EXP(-LN(2)/25))/(LN(2)/25)*Calculateur!FM156*Calculateur!FO156*VLOOKUP('Données projet'!$B$16,Paramètres!$A$1:$I$89,3,0)*0.475*44/12</f>
        <v>3.9794064018432986</v>
      </c>
      <c r="FS156" s="21">
        <f>EXP(-LN(2)/2)*FS155+(1-EXP(-LN(2)/2))/(LN(2)/2)*FM156*FP156*VLOOKUP('Données projet'!$B$16,Paramètres!$A$1:$I$89,3,0)*0.475*44/12</f>
        <v>4.6065309566982373E-13</v>
      </c>
      <c r="FT156" s="22">
        <f t="shared" si="184"/>
        <v>37.372488354787201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-6.7984728957526396E-14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227.89848316900191</v>
      </c>
      <c r="T157" s="59">
        <f t="shared" si="142"/>
        <v>239.85955661394541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22.27371065369924</v>
      </c>
      <c r="AA157" s="21">
        <f>EXP(-LN(2)/25)*AA156+(1-EXP(-LN(2)/25))/(LN(2)/25)*Calculateur!V157*Calculateur!X157*VLOOKUP('Données projet'!$B$9,Paramètres!$A$1:$I$89,3,0)*0.475*44/12</f>
        <v>2.549513810910311</v>
      </c>
      <c r="AB157" s="21">
        <f>EXP(-LN(2)/2)*AB156+(1-EXP(-LN(2)/2))/(LN(2)/2)*V157*Y157*VLOOKUP('Données projet'!$B$9,Paramètres!$A$1:$I$89,3,0)*0.475*44/12</f>
        <v>5.2094236946110416E-13</v>
      </c>
      <c r="AC157" s="22">
        <f t="shared" si="163"/>
        <v>24.823224464610075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-5.6843418860808015E-14</v>
      </c>
      <c r="AJ157" s="13">
        <f>AI157*VLOOKUP('Données projet'!$B$10,Paramètres!$A$1:$I$89,3,0)*VLOOKUP('Données projet'!$B$10,Paramètres!$A$1:$I$89,5,0)</f>
        <v>-5.1431925385259088E-14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215.7418266360167</v>
      </c>
      <c r="AO157" s="59">
        <f t="shared" si="144"/>
        <v>155.78420008229949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113.18070982546412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113.18070982546412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2.2737367544323206E-13</v>
      </c>
      <c r="BE157" s="13">
        <f>BD157*VLOOKUP('Données projet'!$B$11,Paramètres!$A$1:$I$89,3,0)*VLOOKUP('Données projet'!$B$11,Paramètres!$A$1:$I$89,5,0)</f>
        <v>2.3055690689943731E-13</v>
      </c>
      <c r="BF157" s="13">
        <f t="shared" si="167"/>
        <v>3.142699285622457E-12</v>
      </c>
      <c r="BG157" s="20">
        <f t="shared" si="168"/>
        <v>5.8750878686422984E-12</v>
      </c>
      <c r="BH157" s="59">
        <f t="shared" si="116"/>
        <v>293.33333333333917</v>
      </c>
      <c r="BI157" s="59">
        <f ca="1">AVERAGE(OFFSET($BH$3,0,0,'Données projet'!$E$11+1,1))-AVERAGE(OFFSET($H$3,0,0,'Données projet'!$E$11+1,1))</f>
        <v>179.53921263314447</v>
      </c>
      <c r="BJ157" s="59">
        <f t="shared" si="146"/>
        <v>120.81513023281337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171.06976450017379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171.06976450017379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500.00000000000045</v>
      </c>
      <c r="BZ157" s="13">
        <f>BY157*VLOOKUP('Données projet'!$B$12,Paramètres!$A$1:$I$89,3,0)*VLOOKUP('Données projet'!$B$12,Paramètres!$A$1:$I$89,5,0)</f>
        <v>234.00000000000023</v>
      </c>
      <c r="CA157" s="13">
        <f t="shared" si="170"/>
        <v>57.146705242557189</v>
      </c>
      <c r="CB157" s="20">
        <f t="shared" si="171"/>
        <v>507.08051163078744</v>
      </c>
      <c r="CC157" s="59">
        <f t="shared" si="119"/>
        <v>800.4138449641207</v>
      </c>
      <c r="CD157" s="59">
        <f ca="1">AVERAGE(OFFSET($CC$3,0,0,'Données projet'!$E$12+1,1))-AVERAGE(OFFSET($H$3,0,0,'Données projet'!$E$12+1,1))</f>
        <v>310.06530483941287</v>
      </c>
      <c r="CE157" s="59">
        <f t="shared" si="148"/>
        <v>170.13425794309376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38.976628528404312</v>
      </c>
      <c r="CL157" s="21">
        <f>EXP(-LN(2)/25)*CL156+(1-EXP(-LN(2)/25))/(LN(2)/25)*Calculateur!CG157*Calculateur!CI157*VLOOKUP('Données projet'!$B$12,Paramètres!$A$1:$I$89,3,0)*0.475*44/12</f>
        <v>5.3833764285976464</v>
      </c>
      <c r="CM157" s="21">
        <f>EXP(-LN(2)/2)*CM156+(1-EXP(-LN(2)/2))/(LN(2)/2)*CG157*CJ157*VLOOKUP('Données projet'!$B$12,Paramètres!$A$1:$I$89,3,0)*0.475*44/12</f>
        <v>5.4801214599821998E-8</v>
      </c>
      <c r="CN157" s="22">
        <f t="shared" si="172"/>
        <v>44.360005011803175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168.08890945052406</v>
      </c>
      <c r="CZ157" s="59">
        <f t="shared" si="150"/>
        <v>182.52462557642343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17.624734435684712</v>
      </c>
      <c r="DG157" s="21">
        <f>EXP(-LN(2)/25)*DG156+(1-EXP(-LN(2)/25))/(LN(2)/25)*Calculateur!DB157*Calculateur!DD157*VLOOKUP('Données projet'!$B$13,Paramètres!$A$1:$I$89,3,0)*0.475*44/12</f>
        <v>2.1073926700596828</v>
      </c>
      <c r="DH157" s="21">
        <f>EXP(-LN(2)/2)*DH156+(1-EXP(-LN(2)/2))/(LN(2)/2)*DB157*DE157*VLOOKUP('Données projet'!$B$13,Paramètres!$A$1:$I$89,3,0)*0.475*44/12</f>
        <v>4.0278848761622057E-13</v>
      </c>
      <c r="DI157" s="22">
        <f t="shared" si="175"/>
        <v>19.732127105744794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-2.2737367544323206E-13</v>
      </c>
      <c r="DP157" s="17">
        <f>DO157*VLOOKUP('Données projet'!$B$14,Paramètres!$A$1:$I$89,3,0)*VLOOKUP('Données projet'!$B$14,Paramètres!$A$1:$I$89,5,0)</f>
        <v>-1.2710188457276673E-13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355.23615781077405</v>
      </c>
      <c r="DU157" s="59">
        <f t="shared" si="152"/>
        <v>448.84541017639367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40.221295751298541</v>
      </c>
      <c r="EB157" s="21">
        <f>EXP(-LN(2)/25)*EB156+(1-EXP(-LN(2)/25))/(LN(2)/25)*Calculateur!DW157*Calculateur!DY157*VLOOKUP('Données projet'!$B$14,Paramètres!$A$1:$I$89,3,0)*0.475*44/12</f>
        <v>4.7552954558351761</v>
      </c>
      <c r="EC157" s="21">
        <f>EXP(-LN(2)/2)*EC156+(1-EXP(-LN(2)/2))/(LN(2)/2)*DW157*DZ157*VLOOKUP('Données projet'!$B$14,Paramètres!$A$1:$I$89,3,0)*0.475*44/12</f>
        <v>4.0018371120218385E-13</v>
      </c>
      <c r="ED157" s="22">
        <f t="shared" si="178"/>
        <v>44.976591207134113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1.1368683772161603E-13</v>
      </c>
      <c r="EK157" s="17">
        <f>EJ157*VLOOKUP('Données projet'!$B$15,Paramètres!$A$1:$I$89,3,0)*VLOOKUP('Données projet'!$B$15,Paramètres!$A$1:$I$89,5,0)</f>
        <v>1.223725121235475E-13</v>
      </c>
      <c r="EL157" s="13">
        <f t="shared" si="179"/>
        <v>1.7956824466038182E-12</v>
      </c>
      <c r="EM157" s="20">
        <f t="shared" si="180"/>
        <v>3.3406123864501612E-12</v>
      </c>
      <c r="EN157" s="59">
        <f t="shared" si="128"/>
        <v>293.33333333333667</v>
      </c>
      <c r="EO157" s="59">
        <f ca="1">AVERAGE(OFFSET($EN$3,0,0,'Données projet'!$E$15+1,1))-AVERAGE(OFFSET($H$3,0,0,'Données projet'!$E$15+1,1))</f>
        <v>130.76477588601989</v>
      </c>
      <c r="EP157" s="59">
        <f t="shared" si="154"/>
        <v>94.034011511502172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145.27770769860908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145.27770769860908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-2.2737367544323206E-13</v>
      </c>
      <c r="FF157" s="17">
        <f>FE157*VLOOKUP('Données projet'!$B$16,Paramètres!$A$1:$I$89,3,0)*VLOOKUP('Données projet'!$B$16,Paramètres!$A$1:$I$89,5,0)</f>
        <v>-1.0345502232667058E-13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279.43442619866738</v>
      </c>
      <c r="FK157" s="59">
        <f t="shared" si="156"/>
        <v>355.95192241448217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32.738263983615063</v>
      </c>
      <c r="FR157" s="21">
        <f>EXP(-LN(2)/25)*FR156+(1-EXP(-LN(2)/25))/(LN(2)/25)*Calculateur!FM157*Calculateur!FO157*VLOOKUP('Données projet'!$B$16,Paramètres!$A$1:$I$89,3,0)*0.475*44/12</f>
        <v>3.870589324517006</v>
      </c>
      <c r="FS157" s="21">
        <f>EXP(-LN(2)/2)*FS156+(1-EXP(-LN(2)/2))/(LN(2)/2)*FM157*FP157*VLOOKUP('Données projet'!$B$16,Paramètres!$A$1:$I$89,3,0)*0.475*44/12</f>
        <v>3.2573092772270779E-13</v>
      </c>
      <c r="FT157" s="22">
        <f t="shared" si="184"/>
        <v>36.608853308132396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-6.7984728957526396E-14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227.89848316900191</v>
      </c>
      <c r="T158" s="59">
        <f t="shared" si="142"/>
        <v>239.85955661394541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21.836936773402229</v>
      </c>
      <c r="AA158" s="21">
        <f>EXP(-LN(2)/25)*AA157+(1-EXP(-LN(2)/25))/(LN(2)/25)*Calculateur!V158*Calculateur!X158*VLOOKUP('Données projet'!$B$9,Paramètres!$A$1:$I$89,3,0)*0.475*44/12</f>
        <v>2.4797972216778641</v>
      </c>
      <c r="AB158" s="21">
        <f>EXP(-LN(2)/2)*AB157+(1-EXP(-LN(2)/2))/(LN(2)/2)*V158*Y158*VLOOKUP('Données projet'!$B$9,Paramètres!$A$1:$I$89,3,0)*0.475*44/12</f>
        <v>3.6836188205333458E-13</v>
      </c>
      <c r="AC158" s="22">
        <f t="shared" si="163"/>
        <v>24.316733995080462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-5.6843418860808015E-14</v>
      </c>
      <c r="AJ158" s="13">
        <f>AI158*VLOOKUP('Données projet'!$B$10,Paramètres!$A$1:$I$89,3,0)*VLOOKUP('Données projet'!$B$10,Paramètres!$A$1:$I$89,5,0)</f>
        <v>-5.1431925385259088E-14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215.7418266360167</v>
      </c>
      <c r="AO158" s="59">
        <f t="shared" si="144"/>
        <v>155.78420008229949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110.96130513920328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110.96130513920328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2.2737367544323206E-13</v>
      </c>
      <c r="BE158" s="13">
        <f>BD158*VLOOKUP('Données projet'!$B$11,Paramètres!$A$1:$I$89,3,0)*VLOOKUP('Données projet'!$B$11,Paramètres!$A$1:$I$89,5,0)</f>
        <v>2.3055690689943731E-13</v>
      </c>
      <c r="BF158" s="13">
        <f t="shared" si="167"/>
        <v>3.142699285622457E-12</v>
      </c>
      <c r="BG158" s="20">
        <f t="shared" si="168"/>
        <v>5.8750878686422984E-12</v>
      </c>
      <c r="BH158" s="59">
        <f t="shared" si="116"/>
        <v>293.33333333333917</v>
      </c>
      <c r="BI158" s="59">
        <f ca="1">AVERAGE(OFFSET($BH$3,0,0,'Données projet'!$E$11+1,1))-AVERAGE(OFFSET($H$3,0,0,'Données projet'!$E$11+1,1))</f>
        <v>179.53921263314447</v>
      </c>
      <c r="BJ158" s="59">
        <f t="shared" si="146"/>
        <v>120.81513023281337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167.71519076057879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167.71519076057879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500.00000000000045</v>
      </c>
      <c r="BZ158" s="13">
        <f>BY158*VLOOKUP('Données projet'!$B$12,Paramètres!$A$1:$I$89,3,0)*VLOOKUP('Données projet'!$B$12,Paramètres!$A$1:$I$89,5,0)</f>
        <v>234.00000000000023</v>
      </c>
      <c r="CA158" s="13">
        <f t="shared" si="170"/>
        <v>57.146705242557189</v>
      </c>
      <c r="CB158" s="20">
        <f t="shared" si="171"/>
        <v>507.08051163078744</v>
      </c>
      <c r="CC158" s="59">
        <f t="shared" si="119"/>
        <v>800.4138449641207</v>
      </c>
      <c r="CD158" s="59">
        <f ca="1">AVERAGE(OFFSET($CC$3,0,0,'Données projet'!$E$12+1,1))-AVERAGE(OFFSET($H$3,0,0,'Données projet'!$E$12+1,1))</f>
        <v>310.06530483941287</v>
      </c>
      <c r="CE158" s="59">
        <f t="shared" si="148"/>
        <v>170.13425794309376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38.212320616358276</v>
      </c>
      <c r="CL158" s="21">
        <f>EXP(-LN(2)/25)*CL157+(1-EXP(-LN(2)/25))/(LN(2)/25)*Calculateur!CG158*Calculateur!CI158*VLOOKUP('Données projet'!$B$12,Paramètres!$A$1:$I$89,3,0)*0.475*44/12</f>
        <v>5.2361677170581808</v>
      </c>
      <c r="CM158" s="21">
        <f>EXP(-LN(2)/2)*CM157+(1-EXP(-LN(2)/2))/(LN(2)/2)*CG158*CJ158*VLOOKUP('Données projet'!$B$12,Paramètres!$A$1:$I$89,3,0)*0.475*44/12</f>
        <v>3.8750310460793367E-8</v>
      </c>
      <c r="CN158" s="22">
        <f t="shared" si="172"/>
        <v>43.448488372166764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168.08890945052406</v>
      </c>
      <c r="CZ158" s="59">
        <f t="shared" si="150"/>
        <v>182.52462557642343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17.279124143427463</v>
      </c>
      <c r="DG158" s="21">
        <f>EXP(-LN(2)/25)*DG157+(1-EXP(-LN(2)/25))/(LN(2)/25)*Calculateur!DB158*Calculateur!DD158*VLOOKUP('Données projet'!$B$13,Paramètres!$A$1:$I$89,3,0)*0.475*44/12</f>
        <v>2.0497659066739367</v>
      </c>
      <c r="DH158" s="21">
        <f>EXP(-LN(2)/2)*DH157+(1-EXP(-LN(2)/2))/(LN(2)/2)*DB158*DE158*VLOOKUP('Données projet'!$B$13,Paramètres!$A$1:$I$89,3,0)*0.475*44/12</f>
        <v>2.8481447097730328E-13</v>
      </c>
      <c r="DI158" s="22">
        <f t="shared" si="175"/>
        <v>19.328890050101684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-2.2737367544323206E-13</v>
      </c>
      <c r="DP158" s="17">
        <f>DO158*VLOOKUP('Données projet'!$B$14,Paramètres!$A$1:$I$89,3,0)*VLOOKUP('Données projet'!$B$14,Paramètres!$A$1:$I$89,5,0)</f>
        <v>-1.2710188457276673E-13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355.23615781077405</v>
      </c>
      <c r="DU158" s="59">
        <f t="shared" si="152"/>
        <v>448.84541017639367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39.432580674183598</v>
      </c>
      <c r="EB158" s="21">
        <f>EXP(-LN(2)/25)*EB157+(1-EXP(-LN(2)/25))/(LN(2)/25)*Calculateur!DW158*Calculateur!DY158*VLOOKUP('Données projet'!$B$14,Paramètres!$A$1:$I$89,3,0)*0.475*44/12</f>
        <v>4.6252616515252436</v>
      </c>
      <c r="EC158" s="21">
        <f>EXP(-LN(2)/2)*EC157+(1-EXP(-LN(2)/2))/(LN(2)/2)*DW158*DZ158*VLOOKUP('Données projet'!$B$14,Paramètres!$A$1:$I$89,3,0)*0.475*44/12</f>
        <v>2.8297261591146314E-13</v>
      </c>
      <c r="ED158" s="22">
        <f t="shared" si="178"/>
        <v>44.057842325709125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1.1368683772161603E-13</v>
      </c>
      <c r="EK158" s="17">
        <f>EJ158*VLOOKUP('Données projet'!$B$15,Paramètres!$A$1:$I$89,3,0)*VLOOKUP('Données projet'!$B$15,Paramètres!$A$1:$I$89,5,0)</f>
        <v>1.223725121235475E-13</v>
      </c>
      <c r="EL158" s="13">
        <f t="shared" si="179"/>
        <v>1.7956824466038182E-12</v>
      </c>
      <c r="EM158" s="20">
        <f t="shared" si="180"/>
        <v>3.3406123864501612E-12</v>
      </c>
      <c r="EN158" s="59">
        <f t="shared" si="128"/>
        <v>293.33333333333667</v>
      </c>
      <c r="EO158" s="59">
        <f ca="1">AVERAGE(OFFSET($EN$3,0,0,'Données projet'!$E$15+1,1))-AVERAGE(OFFSET($H$3,0,0,'Données projet'!$E$15+1,1))</f>
        <v>130.76477588601989</v>
      </c>
      <c r="EP158" s="59">
        <f t="shared" si="154"/>
        <v>94.034011511502172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142.42890046129148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142.42890046129148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-2.2737367544323206E-13</v>
      </c>
      <c r="FF158" s="17">
        <f>FE158*VLOOKUP('Données projet'!$B$16,Paramètres!$A$1:$I$89,3,0)*VLOOKUP('Données projet'!$B$16,Paramètres!$A$1:$I$89,5,0)</f>
        <v>-1.0345502232667058E-13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279.43442619866738</v>
      </c>
      <c r="FK158" s="59">
        <f t="shared" si="156"/>
        <v>355.95192241448217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32.096286595265688</v>
      </c>
      <c r="FR158" s="21">
        <f>EXP(-LN(2)/25)*FR157+(1-EXP(-LN(2)/25))/(LN(2)/25)*Calculateur!FM158*Calculateur!FO158*VLOOKUP('Données projet'!$B$16,Paramètres!$A$1:$I$89,3,0)*0.475*44/12</f>
        <v>3.7647478558926424</v>
      </c>
      <c r="FS158" s="21">
        <f>EXP(-LN(2)/2)*FS157+(1-EXP(-LN(2)/2))/(LN(2)/2)*FM158*FP158*VLOOKUP('Données projet'!$B$16,Paramètres!$A$1:$I$89,3,0)*0.475*44/12</f>
        <v>2.3032654783491186E-13</v>
      </c>
      <c r="FT158" s="22">
        <f t="shared" si="184"/>
        <v>35.861034451158559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-6.7984728957526396E-14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227.89848316900191</v>
      </c>
      <c r="T159" s="59">
        <f t="shared" si="142"/>
        <v>239.85955661394541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21.408727762492081</v>
      </c>
      <c r="AA159" s="21">
        <f>EXP(-LN(2)/25)*AA158+(1-EXP(-LN(2)/25))/(LN(2)/25)*Calculateur!V159*Calculateur!X159*VLOOKUP('Données projet'!$B$9,Paramètres!$A$1:$I$89,3,0)*0.475*44/12</f>
        <v>2.4119870362442146</v>
      </c>
      <c r="AB159" s="21">
        <f>EXP(-LN(2)/2)*AB158+(1-EXP(-LN(2)/2))/(LN(2)/2)*V159*Y159*VLOOKUP('Données projet'!$B$9,Paramètres!$A$1:$I$89,3,0)*0.475*44/12</f>
        <v>2.6047118473055208E-13</v>
      </c>
      <c r="AC159" s="22">
        <f t="shared" si="163"/>
        <v>23.820714798736557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-5.6843418860808015E-14</v>
      </c>
      <c r="AJ159" s="13">
        <f>AI159*VLOOKUP('Données projet'!$B$10,Paramètres!$A$1:$I$89,3,0)*VLOOKUP('Données projet'!$B$10,Paramètres!$A$1:$I$89,5,0)</f>
        <v>-5.1431925385259088E-14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215.7418266360167</v>
      </c>
      <c r="AO159" s="59">
        <f t="shared" si="144"/>
        <v>155.78420008229949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108.78542162513682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108.78542162513682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2.2737367544323206E-13</v>
      </c>
      <c r="BE159" s="13">
        <f>BD159*VLOOKUP('Données projet'!$B$11,Paramètres!$A$1:$I$89,3,0)*VLOOKUP('Données projet'!$B$11,Paramètres!$A$1:$I$89,5,0)</f>
        <v>2.3055690689943731E-13</v>
      </c>
      <c r="BF159" s="13">
        <f t="shared" si="167"/>
        <v>3.142699285622457E-12</v>
      </c>
      <c r="BG159" s="20">
        <f t="shared" si="168"/>
        <v>5.8750878686422984E-12</v>
      </c>
      <c r="BH159" s="59">
        <f t="shared" si="116"/>
        <v>293.33333333333917</v>
      </c>
      <c r="BI159" s="59">
        <f ca="1">AVERAGE(OFFSET($BH$3,0,0,'Données projet'!$E$11+1,1))-AVERAGE(OFFSET($H$3,0,0,'Données projet'!$E$11+1,1))</f>
        <v>179.53921263314447</v>
      </c>
      <c r="BJ159" s="59">
        <f t="shared" si="146"/>
        <v>120.81513023281337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164.4263981659293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164.4263981659293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500.00000000000045</v>
      </c>
      <c r="BZ159" s="13">
        <f>BY159*VLOOKUP('Données projet'!$B$12,Paramètres!$A$1:$I$89,3,0)*VLOOKUP('Données projet'!$B$12,Paramètres!$A$1:$I$89,5,0)</f>
        <v>234.00000000000023</v>
      </c>
      <c r="CA159" s="13">
        <f t="shared" si="170"/>
        <v>57.146705242557189</v>
      </c>
      <c r="CB159" s="20">
        <f t="shared" si="171"/>
        <v>507.08051163078744</v>
      </c>
      <c r="CC159" s="59">
        <f t="shared" si="119"/>
        <v>800.4138449641207</v>
      </c>
      <c r="CD159" s="59">
        <f ca="1">AVERAGE(OFFSET($CC$3,0,0,'Données projet'!$E$12+1,1))-AVERAGE(OFFSET($H$3,0,0,'Données projet'!$E$12+1,1))</f>
        <v>310.06530483941287</v>
      </c>
      <c r="CE159" s="59">
        <f t="shared" si="148"/>
        <v>170.13425794309376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37.463000316285672</v>
      </c>
      <c r="CL159" s="21">
        <f>EXP(-LN(2)/25)*CL158+(1-EXP(-LN(2)/25))/(LN(2)/25)*Calculateur!CG159*Calculateur!CI159*VLOOKUP('Données projet'!$B$12,Paramètres!$A$1:$I$89,3,0)*0.475*44/12</f>
        <v>5.0929844354771321</v>
      </c>
      <c r="CM159" s="21">
        <f>EXP(-LN(2)/2)*CM158+(1-EXP(-LN(2)/2))/(LN(2)/2)*CG159*CJ159*VLOOKUP('Données projet'!$B$12,Paramètres!$A$1:$I$89,3,0)*0.475*44/12</f>
        <v>2.7400607299910999E-8</v>
      </c>
      <c r="CN159" s="22">
        <f t="shared" si="172"/>
        <v>42.555984779163417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168.08890945052406</v>
      </c>
      <c r="CZ159" s="59">
        <f t="shared" si="150"/>
        <v>182.52462557642343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16.940291058199914</v>
      </c>
      <c r="DG159" s="21">
        <f>EXP(-LN(2)/25)*DG158+(1-EXP(-LN(2)/25))/(LN(2)/25)*Calculateur!DB159*Calculateur!DD159*VLOOKUP('Données projet'!$B$13,Paramètres!$A$1:$I$89,3,0)*0.475*44/12</f>
        <v>1.9937149501634337</v>
      </c>
      <c r="DH159" s="21">
        <f>EXP(-LN(2)/2)*DH158+(1-EXP(-LN(2)/2))/(LN(2)/2)*DB159*DE159*VLOOKUP('Données projet'!$B$13,Paramètres!$A$1:$I$89,3,0)*0.475*44/12</f>
        <v>2.0139424380811029E-13</v>
      </c>
      <c r="DI159" s="22">
        <f t="shared" si="175"/>
        <v>18.93400600836355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-2.2737367544323206E-13</v>
      </c>
      <c r="DP159" s="17">
        <f>DO159*VLOOKUP('Données projet'!$B$14,Paramètres!$A$1:$I$89,3,0)*VLOOKUP('Données projet'!$B$14,Paramètres!$A$1:$I$89,5,0)</f>
        <v>-1.2710188457276673E-13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355.23615781077405</v>
      </c>
      <c r="DU159" s="59">
        <f t="shared" si="152"/>
        <v>448.84541017639367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38.659331818662181</v>
      </c>
      <c r="EB159" s="21">
        <f>EXP(-LN(2)/25)*EB158+(1-EXP(-LN(2)/25))/(LN(2)/25)*Calculateur!DW159*Calculateur!DY159*VLOOKUP('Données projet'!$B$14,Paramètres!$A$1:$I$89,3,0)*0.475*44/12</f>
        <v>4.4987836284323466</v>
      </c>
      <c r="EC159" s="21">
        <f>EXP(-LN(2)/2)*EC158+(1-EXP(-LN(2)/2))/(LN(2)/2)*DW159*DZ159*VLOOKUP('Données projet'!$B$14,Paramètres!$A$1:$I$89,3,0)*0.475*44/12</f>
        <v>2.0009185560109193E-13</v>
      </c>
      <c r="ED159" s="22">
        <f t="shared" si="178"/>
        <v>43.15811544709473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1.1368683772161603E-13</v>
      </c>
      <c r="EK159" s="17">
        <f>EJ159*VLOOKUP('Données projet'!$B$15,Paramètres!$A$1:$I$89,3,0)*VLOOKUP('Données projet'!$B$15,Paramètres!$A$1:$I$89,5,0)</f>
        <v>1.223725121235475E-13</v>
      </c>
      <c r="EL159" s="13">
        <f t="shared" si="179"/>
        <v>1.7956824466038182E-12</v>
      </c>
      <c r="EM159" s="20">
        <f t="shared" si="180"/>
        <v>3.3406123864501612E-12</v>
      </c>
      <c r="EN159" s="59">
        <f t="shared" si="128"/>
        <v>293.33333333333667</v>
      </c>
      <c r="EO159" s="59">
        <f ca="1">AVERAGE(OFFSET($EN$3,0,0,'Données projet'!$E$15+1,1))-AVERAGE(OFFSET($H$3,0,0,'Données projet'!$E$15+1,1))</f>
        <v>130.76477588601989</v>
      </c>
      <c r="EP159" s="59">
        <f t="shared" si="154"/>
        <v>94.034011511502172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139.63595659629684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139.63595659629684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-2.2737367544323206E-13</v>
      </c>
      <c r="FF159" s="17">
        <f>FE159*VLOOKUP('Données projet'!$B$16,Paramètres!$A$1:$I$89,3,0)*VLOOKUP('Données projet'!$B$16,Paramètres!$A$1:$I$89,5,0)</f>
        <v>-1.0345502232667058E-13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279.43442619866738</v>
      </c>
      <c r="FK159" s="59">
        <f t="shared" si="156"/>
        <v>355.95192241448217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31.466897991934303</v>
      </c>
      <c r="FR159" s="21">
        <f>EXP(-LN(2)/25)*FR158+(1-EXP(-LN(2)/25))/(LN(2)/25)*Calculateur!FM159*Calculateur!FO159*VLOOKUP('Données projet'!$B$16,Paramètres!$A$1:$I$89,3,0)*0.475*44/12</f>
        <v>3.6618006277937729</v>
      </c>
      <c r="FS159" s="21">
        <f>EXP(-LN(2)/2)*FS158+(1-EXP(-LN(2)/2))/(LN(2)/2)*FM159*FP159*VLOOKUP('Données projet'!$B$16,Paramètres!$A$1:$I$89,3,0)*0.475*44/12</f>
        <v>1.628654638613539E-13</v>
      </c>
      <c r="FT159" s="22">
        <f t="shared" si="184"/>
        <v>35.12869861972824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-6.7984728957526396E-14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227.89848316900191</v>
      </c>
      <c r="T160" s="59">
        <f t="shared" si="142"/>
        <v>239.85955661394541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20.988915669104173</v>
      </c>
      <c r="AA160" s="21">
        <f>EXP(-LN(2)/25)*AA159+(1-EXP(-LN(2)/25))/(LN(2)/25)*Calculateur!V160*Calculateur!X160*VLOOKUP('Données projet'!$B$9,Paramètres!$A$1:$I$89,3,0)*0.475*44/12</f>
        <v>2.3460311238972311</v>
      </c>
      <c r="AB160" s="21">
        <f>EXP(-LN(2)/2)*AB159+(1-EXP(-LN(2)/2))/(LN(2)/2)*V160*Y160*VLOOKUP('Données projet'!$B$9,Paramètres!$A$1:$I$89,3,0)*0.475*44/12</f>
        <v>1.8418094102666729E-13</v>
      </c>
      <c r="AC160" s="22">
        <f t="shared" si="163"/>
        <v>23.334946793001588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-5.6843418860808015E-14</v>
      </c>
      <c r="AJ160" s="13">
        <f>AI160*VLOOKUP('Données projet'!$B$10,Paramètres!$A$1:$I$89,3,0)*VLOOKUP('Données projet'!$B$10,Paramètres!$A$1:$I$89,5,0)</f>
        <v>-5.1431925385259088E-14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215.7418266360167</v>
      </c>
      <c r="AO160" s="59">
        <f t="shared" si="144"/>
        <v>155.78420008229949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106.65220585962331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106.65220585962331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2.2737367544323206E-13</v>
      </c>
      <c r="BE160" s="13">
        <f>BD160*VLOOKUP('Données projet'!$B$11,Paramètres!$A$1:$I$89,3,0)*VLOOKUP('Données projet'!$B$11,Paramètres!$A$1:$I$89,5,0)</f>
        <v>2.3055690689943731E-13</v>
      </c>
      <c r="BF160" s="13">
        <f t="shared" si="167"/>
        <v>3.142699285622457E-12</v>
      </c>
      <c r="BG160" s="20">
        <f t="shared" si="168"/>
        <v>5.8750878686422984E-12</v>
      </c>
      <c r="BH160" s="59">
        <f t="shared" si="116"/>
        <v>293.33333333333917</v>
      </c>
      <c r="BI160" s="59">
        <f ca="1">AVERAGE(OFFSET($BH$3,0,0,'Données projet'!$E$11+1,1))-AVERAGE(OFFSET($H$3,0,0,'Données projet'!$E$11+1,1))</f>
        <v>179.53921263314447</v>
      </c>
      <c r="BJ160" s="59">
        <f t="shared" si="146"/>
        <v>120.81513023281337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161.20209678809547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161.20209678809547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500.00000000000045</v>
      </c>
      <c r="BZ160" s="13">
        <f>BY160*VLOOKUP('Données projet'!$B$12,Paramètres!$A$1:$I$89,3,0)*VLOOKUP('Données projet'!$B$12,Paramètres!$A$1:$I$89,5,0)</f>
        <v>234.00000000000023</v>
      </c>
      <c r="CA160" s="13">
        <f t="shared" si="170"/>
        <v>57.146705242557189</v>
      </c>
      <c r="CB160" s="20">
        <f t="shared" si="171"/>
        <v>507.08051163078744</v>
      </c>
      <c r="CC160" s="59">
        <f t="shared" si="119"/>
        <v>800.4138449641207</v>
      </c>
      <c r="CD160" s="59">
        <f ca="1">AVERAGE(OFFSET($CC$3,0,0,'Données projet'!$E$12+1,1))-AVERAGE(OFFSET($H$3,0,0,'Données projet'!$E$12+1,1))</f>
        <v>310.06530483941287</v>
      </c>
      <c r="CE160" s="59">
        <f t="shared" si="148"/>
        <v>170.13425794309376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36.728373730257239</v>
      </c>
      <c r="CL160" s="21">
        <f>EXP(-LN(2)/25)*CL159+(1-EXP(-LN(2)/25))/(LN(2)/25)*Calculateur!CG160*Calculateur!CI160*VLOOKUP('Données projet'!$B$12,Paramètres!$A$1:$I$89,3,0)*0.475*44/12</f>
        <v>4.9537165082605989</v>
      </c>
      <c r="CM160" s="21">
        <f>EXP(-LN(2)/2)*CM159+(1-EXP(-LN(2)/2))/(LN(2)/2)*CG160*CJ160*VLOOKUP('Données projet'!$B$12,Paramètres!$A$1:$I$89,3,0)*0.475*44/12</f>
        <v>1.9375155230396684E-8</v>
      </c>
      <c r="CN160" s="22">
        <f t="shared" si="172"/>
        <v>41.682090257892995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168.08890945052406</v>
      </c>
      <c r="CZ160" s="59">
        <f t="shared" si="150"/>
        <v>182.52462557642343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16.608102283105904</v>
      </c>
      <c r="DG160" s="21">
        <f>EXP(-LN(2)/25)*DG159+(1-EXP(-LN(2)/25))/(LN(2)/25)*Calculateur!DB160*Calculateur!DD160*VLOOKUP('Données projet'!$B$13,Paramètres!$A$1:$I$89,3,0)*0.475*44/12</f>
        <v>1.9391967100063021</v>
      </c>
      <c r="DH160" s="21">
        <f>EXP(-LN(2)/2)*DH159+(1-EXP(-LN(2)/2))/(LN(2)/2)*DB160*DE160*VLOOKUP('Données projet'!$B$13,Paramètres!$A$1:$I$89,3,0)*0.475*44/12</f>
        <v>1.4240723548865164E-13</v>
      </c>
      <c r="DI160" s="22">
        <f t="shared" si="175"/>
        <v>18.547298993112349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-2.2737367544323206E-13</v>
      </c>
      <c r="DP160" s="17">
        <f>DO160*VLOOKUP('Données projet'!$B$14,Paramètres!$A$1:$I$89,3,0)*VLOOKUP('Données projet'!$B$14,Paramètres!$A$1:$I$89,5,0)</f>
        <v>-1.2710188457276673E-13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355.23615781077405</v>
      </c>
      <c r="DU160" s="59">
        <f t="shared" si="152"/>
        <v>448.84541017639367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37.901245901562305</v>
      </c>
      <c r="EB160" s="21">
        <f>EXP(-LN(2)/25)*EB159+(1-EXP(-LN(2)/25))/(LN(2)/25)*Calculateur!DW160*Calculateur!DY160*VLOOKUP('Données projet'!$B$14,Paramètres!$A$1:$I$89,3,0)*0.475*44/12</f>
        <v>4.3757641535321152</v>
      </c>
      <c r="EC160" s="21">
        <f>EXP(-LN(2)/2)*EC159+(1-EXP(-LN(2)/2))/(LN(2)/2)*DW160*DZ160*VLOOKUP('Données projet'!$B$14,Paramètres!$A$1:$I$89,3,0)*0.475*44/12</f>
        <v>1.4148630795573157E-13</v>
      </c>
      <c r="ED160" s="22">
        <f t="shared" si="178"/>
        <v>42.277010055094564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1.1368683772161603E-13</v>
      </c>
      <c r="EK160" s="17">
        <f>EJ160*VLOOKUP('Données projet'!$B$15,Paramètres!$A$1:$I$89,3,0)*VLOOKUP('Données projet'!$B$15,Paramètres!$A$1:$I$89,5,0)</f>
        <v>1.223725121235475E-13</v>
      </c>
      <c r="EL160" s="13">
        <f t="shared" si="179"/>
        <v>1.7956824466038182E-12</v>
      </c>
      <c r="EM160" s="20">
        <f t="shared" si="180"/>
        <v>3.3406123864501612E-12</v>
      </c>
      <c r="EN160" s="59">
        <f t="shared" si="128"/>
        <v>293.33333333333667</v>
      </c>
      <c r="EO160" s="59">
        <f ca="1">AVERAGE(OFFSET($EN$3,0,0,'Données projet'!$E$15+1,1))-AVERAGE(OFFSET($H$3,0,0,'Données projet'!$E$15+1,1))</f>
        <v>130.76477588601989</v>
      </c>
      <c r="EP160" s="59">
        <f t="shared" si="154"/>
        <v>94.034011511502172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136.8977806569672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136.8977806569672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-2.2737367544323206E-13</v>
      </c>
      <c r="FF160" s="17">
        <f>FE160*VLOOKUP('Données projet'!$B$16,Paramètres!$A$1:$I$89,3,0)*VLOOKUP('Données projet'!$B$16,Paramètres!$A$1:$I$89,5,0)</f>
        <v>-1.0345502232667058E-13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279.43442619866738</v>
      </c>
      <c r="FK160" s="59">
        <f t="shared" si="156"/>
        <v>355.95192241448217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30.849851315225102</v>
      </c>
      <c r="FR160" s="21">
        <f>EXP(-LN(2)/25)*FR159+(1-EXP(-LN(2)/25))/(LN(2)/25)*Calculateur!FM160*Calculateur!FO160*VLOOKUP('Données projet'!$B$16,Paramètres!$A$1:$I$89,3,0)*0.475*44/12</f>
        <v>3.5616684970610262</v>
      </c>
      <c r="FS160" s="21">
        <f>EXP(-LN(2)/2)*FS159+(1-EXP(-LN(2)/2))/(LN(2)/2)*FM160*FP160*VLOOKUP('Données projet'!$B$16,Paramètres!$A$1:$I$89,3,0)*0.475*44/12</f>
        <v>1.1516327391745593E-13</v>
      </c>
      <c r="FT160" s="22">
        <f t="shared" si="184"/>
        <v>34.411519812286244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-6.7984728957526396E-14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227.89848316900191</v>
      </c>
      <c r="T161" s="59">
        <f t="shared" si="142"/>
        <v>239.85955661394541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20.57733583480751</v>
      </c>
      <c r="AA161" s="21">
        <f>EXP(-LN(2)/25)*AA160+(1-EXP(-LN(2)/25))/(LN(2)/25)*Calculateur!V161*Calculateur!X161*VLOOKUP('Données projet'!$B$9,Paramètres!$A$1:$I$89,3,0)*0.475*44/12</f>
        <v>2.2818787794418465</v>
      </c>
      <c r="AB161" s="21">
        <f>EXP(-LN(2)/2)*AB160+(1-EXP(-LN(2)/2))/(LN(2)/2)*V161*Y161*VLOOKUP('Données projet'!$B$9,Paramètres!$A$1:$I$89,3,0)*0.475*44/12</f>
        <v>1.3023559236527604E-13</v>
      </c>
      <c r="AC161" s="22">
        <f t="shared" si="163"/>
        <v>22.859214614249488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-5.6843418860808015E-14</v>
      </c>
      <c r="AJ161" s="13">
        <f>AI161*VLOOKUP('Données projet'!$B$10,Paramètres!$A$1:$I$89,3,0)*VLOOKUP('Données projet'!$B$10,Paramètres!$A$1:$I$89,5,0)</f>
        <v>-5.1431925385259088E-14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215.7418266360167</v>
      </c>
      <c r="AO161" s="59">
        <f t="shared" si="144"/>
        <v>155.78420008229949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104.56082115413838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104.56082115413838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2.2737367544323206E-13</v>
      </c>
      <c r="BE161" s="13">
        <f>BD161*VLOOKUP('Données projet'!$B$11,Paramètres!$A$1:$I$89,3,0)*VLOOKUP('Données projet'!$B$11,Paramètres!$A$1:$I$89,5,0)</f>
        <v>2.3055690689943731E-13</v>
      </c>
      <c r="BF161" s="13">
        <f t="shared" si="167"/>
        <v>3.142699285622457E-12</v>
      </c>
      <c r="BG161" s="20">
        <f t="shared" si="168"/>
        <v>5.8750878686422984E-12</v>
      </c>
      <c r="BH161" s="59">
        <f t="shared" si="116"/>
        <v>293.33333333333917</v>
      </c>
      <c r="BI161" s="59">
        <f ca="1">AVERAGE(OFFSET($BH$3,0,0,'Données projet'!$E$11+1,1))-AVERAGE(OFFSET($H$3,0,0,'Données projet'!$E$11+1,1))</f>
        <v>179.53921263314447</v>
      </c>
      <c r="BJ161" s="59">
        <f t="shared" si="146"/>
        <v>120.81513023281337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158.04102199365133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158.04102199365133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500.00000000000045</v>
      </c>
      <c r="BZ161" s="13">
        <f>BY161*VLOOKUP('Données projet'!$B$12,Paramètres!$A$1:$I$89,3,0)*VLOOKUP('Données projet'!$B$12,Paramètres!$A$1:$I$89,5,0)</f>
        <v>234.00000000000023</v>
      </c>
      <c r="CA161" s="13">
        <f t="shared" si="170"/>
        <v>57.146705242557189</v>
      </c>
      <c r="CB161" s="20">
        <f t="shared" si="171"/>
        <v>507.08051163078744</v>
      </c>
      <c r="CC161" s="59">
        <f t="shared" si="119"/>
        <v>800.4138449641207</v>
      </c>
      <c r="CD161" s="59">
        <f ca="1">AVERAGE(OFFSET($CC$3,0,0,'Données projet'!$E$12+1,1))-AVERAGE(OFFSET($H$3,0,0,'Données projet'!$E$12+1,1))</f>
        <v>310.06530483941287</v>
      </c>
      <c r="CE161" s="59">
        <f t="shared" si="148"/>
        <v>170.13425794309376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36.008152723502846</v>
      </c>
      <c r="CL161" s="21">
        <f>EXP(-LN(2)/25)*CL160+(1-EXP(-LN(2)/25))/(LN(2)/25)*Calculateur!CG161*Calculateur!CI161*VLOOKUP('Données projet'!$B$12,Paramètres!$A$1:$I$89,3,0)*0.475*44/12</f>
        <v>4.8182568698375832</v>
      </c>
      <c r="CM161" s="21">
        <f>EXP(-LN(2)/2)*CM160+(1-EXP(-LN(2)/2))/(LN(2)/2)*CG161*CJ161*VLOOKUP('Données projet'!$B$12,Paramètres!$A$1:$I$89,3,0)*0.475*44/12</f>
        <v>1.37003036499555E-8</v>
      </c>
      <c r="CN161" s="22">
        <f t="shared" si="172"/>
        <v>40.826409607040731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168.08890945052406</v>
      </c>
      <c r="CZ161" s="59">
        <f t="shared" si="150"/>
        <v>182.52462557642343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16.28242752727634</v>
      </c>
      <c r="DG161" s="21">
        <f>EXP(-LN(2)/25)*DG160+(1-EXP(-LN(2)/25))/(LN(2)/25)*Calculateur!DB161*Calculateur!DD161*VLOOKUP('Données projet'!$B$13,Paramètres!$A$1:$I$89,3,0)*0.475*44/12</f>
        <v>1.886169273993257</v>
      </c>
      <c r="DH161" s="21">
        <f>EXP(-LN(2)/2)*DH160+(1-EXP(-LN(2)/2))/(LN(2)/2)*DB161*DE161*VLOOKUP('Données projet'!$B$13,Paramètres!$A$1:$I$89,3,0)*0.475*44/12</f>
        <v>1.0069712190405514E-13</v>
      </c>
      <c r="DI161" s="22">
        <f t="shared" si="175"/>
        <v>18.168596801269697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-2.2737367544323206E-13</v>
      </c>
      <c r="DP161" s="17">
        <f>DO161*VLOOKUP('Données projet'!$B$14,Paramètres!$A$1:$I$89,3,0)*VLOOKUP('Données projet'!$B$14,Paramètres!$A$1:$I$89,5,0)</f>
        <v>-1.2710188457276673E-13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355.23615781077405</v>
      </c>
      <c r="DU161" s="59">
        <f t="shared" si="152"/>
        <v>448.84541017639367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37.158025586910007</v>
      </c>
      <c r="EB161" s="21">
        <f>EXP(-LN(2)/25)*EB160+(1-EXP(-LN(2)/25))/(LN(2)/25)*Calculateur!DW161*Calculateur!DY161*VLOOKUP('Données projet'!$B$14,Paramètres!$A$1:$I$89,3,0)*0.475*44/12</f>
        <v>4.2561086526423439</v>
      </c>
      <c r="EC161" s="21">
        <f>EXP(-LN(2)/2)*EC160+(1-EXP(-LN(2)/2))/(LN(2)/2)*DW161*DZ161*VLOOKUP('Données projet'!$B$14,Paramètres!$A$1:$I$89,3,0)*0.475*44/12</f>
        <v>1.0004592780054596E-13</v>
      </c>
      <c r="ED161" s="22">
        <f t="shared" si="178"/>
        <v>41.414134239552453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1.1368683772161603E-13</v>
      </c>
      <c r="EK161" s="17">
        <f>EJ161*VLOOKUP('Données projet'!$B$15,Paramètres!$A$1:$I$89,3,0)*VLOOKUP('Données projet'!$B$15,Paramètres!$A$1:$I$89,5,0)</f>
        <v>1.223725121235475E-13</v>
      </c>
      <c r="EL161" s="13">
        <f t="shared" si="179"/>
        <v>1.7956824466038182E-12</v>
      </c>
      <c r="EM161" s="20">
        <f t="shared" si="180"/>
        <v>3.3406123864501612E-12</v>
      </c>
      <c r="EN161" s="59">
        <f t="shared" si="128"/>
        <v>293.33333333333667</v>
      </c>
      <c r="EO161" s="59">
        <f ca="1">AVERAGE(OFFSET($EN$3,0,0,'Données projet'!$E$15+1,1))-AVERAGE(OFFSET($H$3,0,0,'Données projet'!$E$15+1,1))</f>
        <v>130.76477588601989</v>
      </c>
      <c r="EP161" s="59">
        <f t="shared" si="154"/>
        <v>94.034011511502172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134.2132986776854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134.2132986776854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-2.2737367544323206E-13</v>
      </c>
      <c r="FF161" s="17">
        <f>FE161*VLOOKUP('Données projet'!$B$16,Paramètres!$A$1:$I$89,3,0)*VLOOKUP('Données projet'!$B$16,Paramètres!$A$1:$I$89,5,0)</f>
        <v>-1.0345502232667058E-13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279.43442619866738</v>
      </c>
      <c r="FK161" s="59">
        <f t="shared" si="156"/>
        <v>355.95192241448217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30.244904547484861</v>
      </c>
      <c r="FR161" s="21">
        <f>EXP(-LN(2)/25)*FR160+(1-EXP(-LN(2)/25))/(LN(2)/25)*Calculateur!FM161*Calculateur!FO161*VLOOKUP('Données projet'!$B$16,Paramètres!$A$1:$I$89,3,0)*0.475*44/12</f>
        <v>3.4642744847088864</v>
      </c>
      <c r="FS161" s="21">
        <f>EXP(-LN(2)/2)*FS160+(1-EXP(-LN(2)/2))/(LN(2)/2)*FM161*FP161*VLOOKUP('Données projet'!$B$16,Paramètres!$A$1:$I$89,3,0)*0.475*44/12</f>
        <v>8.1432731930676949E-14</v>
      </c>
      <c r="FT161" s="22">
        <f t="shared" si="184"/>
        <v>33.709179032193823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-6.7984728957526396E-14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227.89848316900191</v>
      </c>
      <c r="T162" s="59">
        <f t="shared" si="142"/>
        <v>239.85955661394541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20.173826830022492</v>
      </c>
      <c r="AA162" s="21">
        <f>EXP(-LN(2)/25)*AA161+(1-EXP(-LN(2)/25))/(LN(2)/25)*Calculateur!V162*Calculateur!X162*VLOOKUP('Données projet'!$B$9,Paramètres!$A$1:$I$89,3,0)*0.475*44/12</f>
        <v>2.2194806842192194</v>
      </c>
      <c r="AB162" s="21">
        <f>EXP(-LN(2)/2)*AB161+(1-EXP(-LN(2)/2))/(LN(2)/2)*V162*Y162*VLOOKUP('Données projet'!$B$9,Paramètres!$A$1:$I$89,3,0)*0.475*44/12</f>
        <v>9.2090470513333645E-14</v>
      </c>
      <c r="AC162" s="22">
        <f t="shared" si="163"/>
        <v>22.393307514241805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-5.6843418860808015E-14</v>
      </c>
      <c r="AJ162" s="13">
        <f>AI162*VLOOKUP('Données projet'!$B$10,Paramètres!$A$1:$I$89,3,0)*VLOOKUP('Données projet'!$B$10,Paramètres!$A$1:$I$89,5,0)</f>
        <v>-5.1431925385259088E-14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215.7418266360167</v>
      </c>
      <c r="AO162" s="59">
        <f t="shared" si="144"/>
        <v>155.78420008229949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102.5104472271093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102.5104472271093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2.2737367544323206E-13</v>
      </c>
      <c r="BE162" s="13">
        <f>BD162*VLOOKUP('Données projet'!$B$11,Paramètres!$A$1:$I$89,3,0)*VLOOKUP('Données projet'!$B$11,Paramètres!$A$1:$I$89,5,0)</f>
        <v>2.3055690689943731E-13</v>
      </c>
      <c r="BF162" s="13">
        <f t="shared" si="167"/>
        <v>3.142699285622457E-12</v>
      </c>
      <c r="BG162" s="20">
        <f t="shared" si="168"/>
        <v>5.8750878686422984E-12</v>
      </c>
      <c r="BH162" s="59">
        <f t="shared" si="116"/>
        <v>293.33333333333917</v>
      </c>
      <c r="BI162" s="59">
        <f ca="1">AVERAGE(OFFSET($BH$3,0,0,'Données projet'!$E$11+1,1))-AVERAGE(OFFSET($H$3,0,0,'Données projet'!$E$11+1,1))</f>
        <v>179.53921263314447</v>
      </c>
      <c r="BJ162" s="59">
        <f t="shared" si="146"/>
        <v>120.81513023281337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154.94193394786097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154.94193394786097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500.00000000000045</v>
      </c>
      <c r="BZ162" s="13">
        <f>BY162*VLOOKUP('Données projet'!$B$12,Paramètres!$A$1:$I$89,3,0)*VLOOKUP('Données projet'!$B$12,Paramètres!$A$1:$I$89,5,0)</f>
        <v>234.00000000000023</v>
      </c>
      <c r="CA162" s="13">
        <f t="shared" si="170"/>
        <v>57.146705242557189</v>
      </c>
      <c r="CB162" s="20">
        <f t="shared" si="171"/>
        <v>507.08051163078744</v>
      </c>
      <c r="CC162" s="59">
        <f t="shared" si="119"/>
        <v>800.4138449641207</v>
      </c>
      <c r="CD162" s="59">
        <f ca="1">AVERAGE(OFFSET($CC$3,0,0,'Données projet'!$E$12+1,1))-AVERAGE(OFFSET($H$3,0,0,'Données projet'!$E$12+1,1))</f>
        <v>310.06530483941287</v>
      </c>
      <c r="CE162" s="59">
        <f t="shared" si="148"/>
        <v>170.13425794309376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35.302054811399472</v>
      </c>
      <c r="CL162" s="21">
        <f>EXP(-LN(2)/25)*CL161+(1-EXP(-LN(2)/25))/(LN(2)/25)*Calculateur!CG162*Calculateur!CI162*VLOOKUP('Données projet'!$B$12,Paramètres!$A$1:$I$89,3,0)*0.475*44/12</f>
        <v>4.686501382350758</v>
      </c>
      <c r="CM162" s="21">
        <f>EXP(-LN(2)/2)*CM161+(1-EXP(-LN(2)/2))/(LN(2)/2)*CG162*CJ162*VLOOKUP('Données projet'!$B$12,Paramètres!$A$1:$I$89,3,0)*0.475*44/12</f>
        <v>9.6875776151983418E-9</v>
      </c>
      <c r="CN162" s="22">
        <f t="shared" si="172"/>
        <v>39.988556203437803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168.08890945052406</v>
      </c>
      <c r="CZ162" s="59">
        <f t="shared" si="150"/>
        <v>182.52462557642343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15.963139054766609</v>
      </c>
      <c r="DG162" s="21">
        <f>EXP(-LN(2)/25)*DG161+(1-EXP(-LN(2)/25))/(LN(2)/25)*Calculateur!DB162*Calculateur!DD162*VLOOKUP('Données projet'!$B$13,Paramètres!$A$1:$I$89,3,0)*0.475*44/12</f>
        <v>1.83459187600658</v>
      </c>
      <c r="DH162" s="21">
        <f>EXP(-LN(2)/2)*DH161+(1-EXP(-LN(2)/2))/(LN(2)/2)*DB162*DE162*VLOOKUP('Données projet'!$B$13,Paramètres!$A$1:$I$89,3,0)*0.475*44/12</f>
        <v>7.120361774432582E-14</v>
      </c>
      <c r="DI162" s="22">
        <f t="shared" si="175"/>
        <v>17.797730930773259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-2.2737367544323206E-13</v>
      </c>
      <c r="DP162" s="17">
        <f>DO162*VLOOKUP('Données projet'!$B$14,Paramètres!$A$1:$I$89,3,0)*VLOOKUP('Données projet'!$B$14,Paramètres!$A$1:$I$89,5,0)</f>
        <v>-1.2710188457276673E-13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355.23615781077405</v>
      </c>
      <c r="DU162" s="59">
        <f t="shared" si="152"/>
        <v>448.84541017639367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36.429379369308407</v>
      </c>
      <c r="EB162" s="21">
        <f>EXP(-LN(2)/25)*EB161+(1-EXP(-LN(2)/25))/(LN(2)/25)*Calculateur!DW162*Calculateur!DY162*VLOOKUP('Données projet'!$B$14,Paramètres!$A$1:$I$89,3,0)*0.475*44/12</f>
        <v>4.1397251377168125</v>
      </c>
      <c r="EC162" s="21">
        <f>EXP(-LN(2)/2)*EC161+(1-EXP(-LN(2)/2))/(LN(2)/2)*DW162*DZ162*VLOOKUP('Données projet'!$B$14,Paramètres!$A$1:$I$89,3,0)*0.475*44/12</f>
        <v>7.0743153977865784E-14</v>
      </c>
      <c r="ED162" s="22">
        <f t="shared" si="178"/>
        <v>40.569104507025287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1.1368683772161603E-13</v>
      </c>
      <c r="EK162" s="17">
        <f>EJ162*VLOOKUP('Données projet'!$B$15,Paramètres!$A$1:$I$89,3,0)*VLOOKUP('Données projet'!$B$15,Paramètres!$A$1:$I$89,5,0)</f>
        <v>1.223725121235475E-13</v>
      </c>
      <c r="EL162" s="13">
        <f t="shared" si="179"/>
        <v>1.7956824466038182E-12</v>
      </c>
      <c r="EM162" s="20">
        <f t="shared" si="180"/>
        <v>3.3406123864501612E-12</v>
      </c>
      <c r="EN162" s="59">
        <f t="shared" si="128"/>
        <v>293.33333333333667</v>
      </c>
      <c r="EO162" s="59">
        <f ca="1">AVERAGE(OFFSET($EN$3,0,0,'Données projet'!$E$15+1,1))-AVERAGE(OFFSET($H$3,0,0,'Données projet'!$E$15+1,1))</f>
        <v>130.76477588601989</v>
      </c>
      <c r="EP162" s="59">
        <f t="shared" si="154"/>
        <v>94.034011511502172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131.58145775264498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131.58145775264498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-2.2737367544323206E-13</v>
      </c>
      <c r="FF162" s="17">
        <f>FE162*VLOOKUP('Données projet'!$B$16,Paramètres!$A$1:$I$89,3,0)*VLOOKUP('Données projet'!$B$16,Paramètres!$A$1:$I$89,5,0)</f>
        <v>-1.0345502232667058E-13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279.43442619866738</v>
      </c>
      <c r="FK162" s="59">
        <f t="shared" si="156"/>
        <v>355.95192241448217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29.651820416878909</v>
      </c>
      <c r="FR162" s="21">
        <f>EXP(-LN(2)/25)*FR161+(1-EXP(-LN(2)/25))/(LN(2)/25)*Calculateur!FM162*Calculateur!FO162*VLOOKUP('Données projet'!$B$16,Paramètres!$A$1:$I$89,3,0)*0.475*44/12</f>
        <v>3.3695437167462443</v>
      </c>
      <c r="FS162" s="21">
        <f>EXP(-LN(2)/2)*FS161+(1-EXP(-LN(2)/2))/(LN(2)/2)*FM162*FP162*VLOOKUP('Données projet'!$B$16,Paramètres!$A$1:$I$89,3,0)*0.475*44/12</f>
        <v>5.7581636958727966E-14</v>
      </c>
      <c r="FT162" s="22">
        <f t="shared" si="184"/>
        <v>33.021364133625212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-6.7984728957526396E-14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227.89848316900191</v>
      </c>
      <c r="T163" s="59">
        <f t="shared" si="142"/>
        <v>239.85955661394541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19.778230390705119</v>
      </c>
      <c r="AA163" s="21">
        <f>EXP(-LN(2)/25)*AA162+(1-EXP(-LN(2)/25))/(LN(2)/25)*Calculateur!V163*Calculateur!X163*VLOOKUP('Données projet'!$B$9,Paramètres!$A$1:$I$89,3,0)*0.475*44/12</f>
        <v>2.1587888681918281</v>
      </c>
      <c r="AB163" s="21">
        <f>EXP(-LN(2)/2)*AB162+(1-EXP(-LN(2)/2))/(LN(2)/2)*V163*Y163*VLOOKUP('Données projet'!$B$9,Paramètres!$A$1:$I$89,3,0)*0.475*44/12</f>
        <v>6.5117796182638021E-14</v>
      </c>
      <c r="AC163" s="22">
        <f t="shared" si="163"/>
        <v>21.93701925889701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-5.6843418860808015E-14</v>
      </c>
      <c r="AJ163" s="13">
        <f>AI163*VLOOKUP('Données projet'!$B$10,Paramètres!$A$1:$I$89,3,0)*VLOOKUP('Données projet'!$B$10,Paramètres!$A$1:$I$89,5,0)</f>
        <v>-5.1431925385259088E-14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215.7418266360167</v>
      </c>
      <c r="AO163" s="59">
        <f t="shared" si="144"/>
        <v>155.78420008229949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100.50027988218464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100.50027988218464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2.2737367544323206E-13</v>
      </c>
      <c r="BE163" s="13">
        <f>BD163*VLOOKUP('Données projet'!$B$11,Paramètres!$A$1:$I$89,3,0)*VLOOKUP('Données projet'!$B$11,Paramètres!$A$1:$I$89,5,0)</f>
        <v>2.3055690689943731E-13</v>
      </c>
      <c r="BF163" s="13">
        <f t="shared" si="167"/>
        <v>3.142699285622457E-12</v>
      </c>
      <c r="BG163" s="20">
        <f t="shared" si="168"/>
        <v>5.8750878686422984E-12</v>
      </c>
      <c r="BH163" s="59">
        <f t="shared" si="116"/>
        <v>293.33333333333917</v>
      </c>
      <c r="BI163" s="59">
        <f ca="1">AVERAGE(OFFSET($BH$3,0,0,'Données projet'!$E$11+1,1))-AVERAGE(OFFSET($H$3,0,0,'Données projet'!$E$11+1,1))</f>
        <v>179.53921263314447</v>
      </c>
      <c r="BJ163" s="59">
        <f t="shared" si="146"/>
        <v>120.81513023281337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151.90361712839152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151.90361712839152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500.00000000000045</v>
      </c>
      <c r="BZ163" s="13">
        <f>BY163*VLOOKUP('Données projet'!$B$12,Paramètres!$A$1:$I$89,3,0)*VLOOKUP('Données projet'!$B$12,Paramètres!$A$1:$I$89,5,0)</f>
        <v>234.00000000000023</v>
      </c>
      <c r="CA163" s="13">
        <f t="shared" si="170"/>
        <v>57.146705242557189</v>
      </c>
      <c r="CB163" s="20">
        <f t="shared" si="171"/>
        <v>507.08051163078744</v>
      </c>
      <c r="CC163" s="59">
        <f t="shared" si="119"/>
        <v>800.4138449641207</v>
      </c>
      <c r="CD163" s="59">
        <f ca="1">AVERAGE(OFFSET($CC$3,0,0,'Données projet'!$E$12+1,1))-AVERAGE(OFFSET($H$3,0,0,'Données projet'!$E$12+1,1))</f>
        <v>310.06530483941287</v>
      </c>
      <c r="CE163" s="59">
        <f t="shared" si="148"/>
        <v>170.13425794309376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34.609803048675239</v>
      </c>
      <c r="CL163" s="21">
        <f>EXP(-LN(2)/25)*CL162+(1-EXP(-LN(2)/25))/(LN(2)/25)*Calculateur!CG163*Calculateur!CI163*VLOOKUP('Données projet'!$B$12,Paramètres!$A$1:$I$89,3,0)*0.475*44/12</f>
        <v>4.5583487555979803</v>
      </c>
      <c r="CM163" s="21">
        <f>EXP(-LN(2)/2)*CM162+(1-EXP(-LN(2)/2))/(LN(2)/2)*CG163*CJ163*VLOOKUP('Données projet'!$B$12,Paramètres!$A$1:$I$89,3,0)*0.475*44/12</f>
        <v>6.8501518249777498E-9</v>
      </c>
      <c r="CN163" s="22">
        <f t="shared" si="172"/>
        <v>39.168151811123373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168.08890945052406</v>
      </c>
      <c r="CZ163" s="59">
        <f t="shared" si="150"/>
        <v>182.52462557642343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15.650111634456055</v>
      </c>
      <c r="DG163" s="21">
        <f>EXP(-LN(2)/25)*DG162+(1-EXP(-LN(2)/25))/(LN(2)/25)*Calculateur!DB163*Calculateur!DD163*VLOOKUP('Données projet'!$B$13,Paramètres!$A$1:$I$89,3,0)*0.475*44/12</f>
        <v>1.7844248646801864</v>
      </c>
      <c r="DH163" s="21">
        <f>EXP(-LN(2)/2)*DH162+(1-EXP(-LN(2)/2))/(LN(2)/2)*DB163*DE163*VLOOKUP('Données projet'!$B$13,Paramètres!$A$1:$I$89,3,0)*0.475*44/12</f>
        <v>5.0348560952027571E-14</v>
      </c>
      <c r="DI163" s="22">
        <f t="shared" si="175"/>
        <v>17.434536499136289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-2.2737367544323206E-13</v>
      </c>
      <c r="DP163" s="17">
        <f>DO163*VLOOKUP('Données projet'!$B$14,Paramètres!$A$1:$I$89,3,0)*VLOOKUP('Données projet'!$B$14,Paramètres!$A$1:$I$89,5,0)</f>
        <v>-1.2710188457276673E-13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355.23615781077405</v>
      </c>
      <c r="DU163" s="59">
        <f t="shared" si="152"/>
        <v>448.84541017639367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35.715021459603669</v>
      </c>
      <c r="EB163" s="21">
        <f>EXP(-LN(2)/25)*EB162+(1-EXP(-LN(2)/25))/(LN(2)/25)*Calculateur!DW163*Calculateur!DY163*VLOOKUP('Données projet'!$B$14,Paramètres!$A$1:$I$89,3,0)*0.475*44/12</f>
        <v>4.0265241361272626</v>
      </c>
      <c r="EC163" s="21">
        <f>EXP(-LN(2)/2)*EC162+(1-EXP(-LN(2)/2))/(LN(2)/2)*DW163*DZ163*VLOOKUP('Données projet'!$B$14,Paramètres!$A$1:$I$89,3,0)*0.475*44/12</f>
        <v>5.0022963900272981E-14</v>
      </c>
      <c r="ED163" s="22">
        <f t="shared" si="178"/>
        <v>39.741545595730983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1.1368683772161603E-13</v>
      </c>
      <c r="EK163" s="17">
        <f>EJ163*VLOOKUP('Données projet'!$B$15,Paramètres!$A$1:$I$89,3,0)*VLOOKUP('Données projet'!$B$15,Paramètres!$A$1:$I$89,5,0)</f>
        <v>1.223725121235475E-13</v>
      </c>
      <c r="EL163" s="13">
        <f t="shared" si="179"/>
        <v>1.7956824466038182E-12</v>
      </c>
      <c r="EM163" s="20">
        <f t="shared" si="180"/>
        <v>3.3406123864501612E-12</v>
      </c>
      <c r="EN163" s="59">
        <f t="shared" si="128"/>
        <v>293.33333333333667</v>
      </c>
      <c r="EO163" s="59">
        <f ca="1">AVERAGE(OFFSET($EN$3,0,0,'Données projet'!$E$15+1,1))-AVERAGE(OFFSET($H$3,0,0,'Données projet'!$E$15+1,1))</f>
        <v>130.76477588601989</v>
      </c>
      <c r="EP163" s="59">
        <f t="shared" si="154"/>
        <v>94.034011511502172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129.00122562288016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129.00122562288016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-2.2737367544323206E-13</v>
      </c>
      <c r="FF163" s="17">
        <f>FE163*VLOOKUP('Données projet'!$B$16,Paramètres!$A$1:$I$89,3,0)*VLOOKUP('Données projet'!$B$16,Paramètres!$A$1:$I$89,5,0)</f>
        <v>-1.0345502232667058E-13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279.43442619866738</v>
      </c>
      <c r="FK163" s="59">
        <f t="shared" si="156"/>
        <v>355.95192241448217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29.070366304328541</v>
      </c>
      <c r="FR163" s="21">
        <f>EXP(-LN(2)/25)*FR162+(1-EXP(-LN(2)/25))/(LN(2)/25)*Calculateur!FM163*Calculateur!FO163*VLOOKUP('Données projet'!$B$16,Paramètres!$A$1:$I$89,3,0)*0.475*44/12</f>
        <v>3.2774033666152156</v>
      </c>
      <c r="FS163" s="21">
        <f>EXP(-LN(2)/2)*FS162+(1-EXP(-LN(2)/2))/(LN(2)/2)*FM163*FP163*VLOOKUP('Données projet'!$B$16,Paramètres!$A$1:$I$89,3,0)*0.475*44/12</f>
        <v>4.0716365965338474E-14</v>
      </c>
      <c r="FT163" s="22">
        <f t="shared" si="184"/>
        <v>32.347769670943798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-6.7984728957526396E-14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227.89848316900191</v>
      </c>
      <c r="T164" s="59">
        <f t="shared" si="142"/>
        <v>239.85955661394541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19.390391356272755</v>
      </c>
      <c r="AA164" s="21">
        <f>EXP(-LN(2)/25)*AA163+(1-EXP(-LN(2)/25))/(LN(2)/25)*Calculateur!V164*Calculateur!X164*VLOOKUP('Données projet'!$B$9,Paramètres!$A$1:$I$89,3,0)*0.475*44/12</f>
        <v>2.0997566730653499</v>
      </c>
      <c r="AB164" s="21">
        <f>EXP(-LN(2)/2)*AB163+(1-EXP(-LN(2)/2))/(LN(2)/2)*V164*Y164*VLOOKUP('Données projet'!$B$9,Paramètres!$A$1:$I$89,3,0)*0.475*44/12</f>
        <v>4.6045235256666822E-14</v>
      </c>
      <c r="AC164" s="22">
        <f t="shared" si="163"/>
        <v>21.490148029338151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-5.6843418860808015E-14</v>
      </c>
      <c r="AJ164" s="13">
        <f>AI164*VLOOKUP('Données projet'!$B$10,Paramètres!$A$1:$I$89,3,0)*VLOOKUP('Données projet'!$B$10,Paramètres!$A$1:$I$89,5,0)</f>
        <v>-5.1431925385259088E-14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215.7418266360167</v>
      </c>
      <c r="AO164" s="59">
        <f t="shared" si="144"/>
        <v>155.78420008229949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98.529530692812941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98.529530692812941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2.2737367544323206E-13</v>
      </c>
      <c r="BE164" s="13">
        <f>BD164*VLOOKUP('Données projet'!$B$11,Paramètres!$A$1:$I$89,3,0)*VLOOKUP('Données projet'!$B$11,Paramètres!$A$1:$I$89,5,0)</f>
        <v>2.3055690689943731E-13</v>
      </c>
      <c r="BF164" s="13">
        <f t="shared" si="167"/>
        <v>3.142699285622457E-12</v>
      </c>
      <c r="BG164" s="20">
        <f t="shared" si="168"/>
        <v>5.8750878686422984E-12</v>
      </c>
      <c r="BH164" s="59">
        <f t="shared" si="116"/>
        <v>293.33333333333917</v>
      </c>
      <c r="BI164" s="59">
        <f ca="1">AVERAGE(OFFSET($BH$3,0,0,'Données projet'!$E$11+1,1))-AVERAGE(OFFSET($H$3,0,0,'Données projet'!$E$11+1,1))</f>
        <v>179.53921263314447</v>
      </c>
      <c r="BJ164" s="59">
        <f t="shared" si="146"/>
        <v>120.81513023281337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148.92487984856157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148.92487984856157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500.00000000000045</v>
      </c>
      <c r="BZ164" s="13">
        <f>BY164*VLOOKUP('Données projet'!$B$12,Paramètres!$A$1:$I$89,3,0)*VLOOKUP('Données projet'!$B$12,Paramètres!$A$1:$I$89,5,0)</f>
        <v>234.00000000000023</v>
      </c>
      <c r="CA164" s="13">
        <f t="shared" si="170"/>
        <v>57.146705242557189</v>
      </c>
      <c r="CB164" s="20">
        <f t="shared" si="171"/>
        <v>507.08051163078744</v>
      </c>
      <c r="CC164" s="59">
        <f t="shared" si="119"/>
        <v>800.4138449641207</v>
      </c>
      <c r="CD164" s="59">
        <f ca="1">AVERAGE(OFFSET($CC$3,0,0,'Données projet'!$E$12+1,1))-AVERAGE(OFFSET($H$3,0,0,'Données projet'!$E$12+1,1))</f>
        <v>310.06530483941287</v>
      </c>
      <c r="CE164" s="59">
        <f t="shared" si="148"/>
        <v>170.13425794309376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33.931125920786151</v>
      </c>
      <c r="CL164" s="21">
        <f>EXP(-LN(2)/25)*CL163+(1-EXP(-LN(2)/25))/(LN(2)/25)*Calculateur!CG164*Calculateur!CI164*VLOOKUP('Données projet'!$B$12,Paramètres!$A$1:$I$89,3,0)*0.475*44/12</f>
        <v>4.4337004691630106</v>
      </c>
      <c r="CM164" s="21">
        <f>EXP(-LN(2)/2)*CM163+(1-EXP(-LN(2)/2))/(LN(2)/2)*CG164*CJ164*VLOOKUP('Données projet'!$B$12,Paramètres!$A$1:$I$89,3,0)*0.475*44/12</f>
        <v>4.8437888075991709E-9</v>
      </c>
      <c r="CN164" s="22">
        <f t="shared" si="172"/>
        <v>38.364826394792949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168.08890945052406</v>
      </c>
      <c r="CZ164" s="59">
        <f t="shared" si="150"/>
        <v>182.52462557642343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15.343222490929916</v>
      </c>
      <c r="DG164" s="21">
        <f>EXP(-LN(2)/25)*DG163+(1-EXP(-LN(2)/25))/(LN(2)/25)*Calculateur!DB164*Calculateur!DD164*VLOOKUP('Données projet'!$B$13,Paramètres!$A$1:$I$89,3,0)*0.475*44/12</f>
        <v>1.7356296729166814</v>
      </c>
      <c r="DH164" s="21">
        <f>EXP(-LN(2)/2)*DH163+(1-EXP(-LN(2)/2))/(LN(2)/2)*DB164*DE164*VLOOKUP('Données projet'!$B$13,Paramètres!$A$1:$I$89,3,0)*0.475*44/12</f>
        <v>3.560180887216291E-14</v>
      </c>
      <c r="DI164" s="22">
        <f t="shared" si="175"/>
        <v>17.078852163846634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-2.2737367544323206E-13</v>
      </c>
      <c r="DP164" s="17">
        <f>DO164*VLOOKUP('Données projet'!$B$14,Paramètres!$A$1:$I$89,3,0)*VLOOKUP('Données projet'!$B$14,Paramètres!$A$1:$I$89,5,0)</f>
        <v>-1.2710188457276673E-13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355.23615781077405</v>
      </c>
      <c r="DU164" s="59">
        <f t="shared" si="152"/>
        <v>448.84541017639367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35.014671672792936</v>
      </c>
      <c r="EB164" s="21">
        <f>EXP(-LN(2)/25)*EB163+(1-EXP(-LN(2)/25))/(LN(2)/25)*Calculateur!DW164*Calculateur!DY164*VLOOKUP('Données projet'!$B$14,Paramètres!$A$1:$I$89,3,0)*0.475*44/12</f>
        <v>3.9164186218791608</v>
      </c>
      <c r="EC164" s="21">
        <f>EXP(-LN(2)/2)*EC163+(1-EXP(-LN(2)/2))/(LN(2)/2)*DW164*DZ164*VLOOKUP('Données projet'!$B$14,Paramètres!$A$1:$I$89,3,0)*0.475*44/12</f>
        <v>3.5371576988932892E-14</v>
      </c>
      <c r="ED164" s="22">
        <f t="shared" si="178"/>
        <v>38.931090294672131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1.1368683772161603E-13</v>
      </c>
      <c r="EK164" s="17">
        <f>EJ164*VLOOKUP('Données projet'!$B$15,Paramètres!$A$1:$I$89,3,0)*VLOOKUP('Données projet'!$B$15,Paramètres!$A$1:$I$89,5,0)</f>
        <v>1.223725121235475E-13</v>
      </c>
      <c r="EL164" s="13">
        <f t="shared" si="179"/>
        <v>1.7956824466038182E-12</v>
      </c>
      <c r="EM164" s="20">
        <f t="shared" si="180"/>
        <v>3.3406123864501612E-12</v>
      </c>
      <c r="EN164" s="59">
        <f t="shared" si="128"/>
        <v>293.33333333333667</v>
      </c>
      <c r="EO164" s="59">
        <f ca="1">AVERAGE(OFFSET($EN$3,0,0,'Données projet'!$E$15+1,1))-AVERAGE(OFFSET($H$3,0,0,'Données projet'!$E$15+1,1))</f>
        <v>130.76477588601989</v>
      </c>
      <c r="EP164" s="59">
        <f t="shared" si="154"/>
        <v>94.034011511502172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126.47159027139381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126.47159027139381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-2.2737367544323206E-13</v>
      </c>
      <c r="FF164" s="17">
        <f>FE164*VLOOKUP('Données projet'!$B$16,Paramètres!$A$1:$I$89,3,0)*VLOOKUP('Données projet'!$B$16,Paramètres!$A$1:$I$89,5,0)</f>
        <v>-1.0345502232667058E-13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279.43442619866738</v>
      </c>
      <c r="FK164" s="59">
        <f t="shared" si="156"/>
        <v>355.95192241448217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28.500314152273297</v>
      </c>
      <c r="FR164" s="21">
        <f>EXP(-LN(2)/25)*FR163+(1-EXP(-LN(2)/25))/(LN(2)/25)*Calculateur!FM164*Calculateur!FO164*VLOOKUP('Données projet'!$B$16,Paramètres!$A$1:$I$89,3,0)*0.475*44/12</f>
        <v>3.1877825992039699</v>
      </c>
      <c r="FS164" s="21">
        <f>EXP(-LN(2)/2)*FS163+(1-EXP(-LN(2)/2))/(LN(2)/2)*FM164*FP164*VLOOKUP('Données projet'!$B$16,Paramètres!$A$1:$I$89,3,0)*0.475*44/12</f>
        <v>2.8790818479363983E-14</v>
      </c>
      <c r="FT164" s="22">
        <f t="shared" si="184"/>
        <v>31.688096751477296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-6.7984728957526396E-14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227.89848316900191</v>
      </c>
      <c r="T165" s="59">
        <f t="shared" si="142"/>
        <v>239.85955661394541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19.010157608747157</v>
      </c>
      <c r="AA165" s="21">
        <f>EXP(-LN(2)/25)*AA164+(1-EXP(-LN(2)/25))/(LN(2)/25)*Calculateur!V165*Calculateur!X165*VLOOKUP('Données projet'!$B$9,Paramètres!$A$1:$I$89,3,0)*0.475*44/12</f>
        <v>2.0423387164189735</v>
      </c>
      <c r="AB165" s="21">
        <f>EXP(-LN(2)/2)*AB164+(1-EXP(-LN(2)/2))/(LN(2)/2)*V165*Y165*VLOOKUP('Données projet'!$B$9,Paramètres!$A$1:$I$89,3,0)*0.475*44/12</f>
        <v>3.255889809131901E-14</v>
      </c>
      <c r="AC165" s="22">
        <f t="shared" si="163"/>
        <v>21.052496325166164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-5.6843418860808015E-14</v>
      </c>
      <c r="AJ165" s="13">
        <f>AI165*VLOOKUP('Données projet'!$B$10,Paramètres!$A$1:$I$89,3,0)*VLOOKUP('Données projet'!$B$10,Paramètres!$A$1:$I$89,5,0)</f>
        <v>-5.1431925385259088E-14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215.7418266360167</v>
      </c>
      <c r="AO165" s="59">
        <f t="shared" si="144"/>
        <v>155.78420008229949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96.597426693006511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96.597426693006511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2.2737367544323206E-13</v>
      </c>
      <c r="BE165" s="13">
        <f>BD165*VLOOKUP('Données projet'!$B$11,Paramètres!$A$1:$I$89,3,0)*VLOOKUP('Données projet'!$B$11,Paramètres!$A$1:$I$89,5,0)</f>
        <v>2.3055690689943731E-13</v>
      </c>
      <c r="BF165" s="13">
        <f t="shared" si="167"/>
        <v>3.142699285622457E-12</v>
      </c>
      <c r="BG165" s="20">
        <f t="shared" si="168"/>
        <v>5.8750878686422984E-12</v>
      </c>
      <c r="BH165" s="59">
        <f t="shared" si="116"/>
        <v>293.33333333333917</v>
      </c>
      <c r="BI165" s="59">
        <f ca="1">AVERAGE(OFFSET($BH$3,0,0,'Données projet'!$E$11+1,1))-AVERAGE(OFFSET($H$3,0,0,'Données projet'!$E$11+1,1))</f>
        <v>179.53921263314447</v>
      </c>
      <c r="BJ165" s="59">
        <f t="shared" si="146"/>
        <v>120.81513023281337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146.00455378993877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146.00455378993877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500.00000000000045</v>
      </c>
      <c r="BZ165" s="13">
        <f>BY165*VLOOKUP('Données projet'!$B$12,Paramètres!$A$1:$I$89,3,0)*VLOOKUP('Données projet'!$B$12,Paramètres!$A$1:$I$89,5,0)</f>
        <v>234.00000000000023</v>
      </c>
      <c r="CA165" s="13">
        <f t="shared" si="170"/>
        <v>57.146705242557189</v>
      </c>
      <c r="CB165" s="20">
        <f t="shared" si="171"/>
        <v>507.08051163078744</v>
      </c>
      <c r="CC165" s="59">
        <f t="shared" si="119"/>
        <v>800.4138449641207</v>
      </c>
      <c r="CD165" s="59">
        <f ca="1">AVERAGE(OFFSET($CC$3,0,0,'Données projet'!$E$12+1,1))-AVERAGE(OFFSET($H$3,0,0,'Données projet'!$E$12+1,1))</f>
        <v>310.06530483941287</v>
      </c>
      <c r="CE165" s="59">
        <f t="shared" si="148"/>
        <v>170.13425794309376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33.26575723742279</v>
      </c>
      <c r="CL165" s="21">
        <f>EXP(-LN(2)/25)*CL164+(1-EXP(-LN(2)/25))/(LN(2)/25)*Calculateur!CG165*Calculateur!CI165*VLOOKUP('Données projet'!$B$12,Paramètres!$A$1:$I$89,3,0)*0.475*44/12</f>
        <v>4.3124606966755739</v>
      </c>
      <c r="CM165" s="21">
        <f>EXP(-LN(2)/2)*CM164+(1-EXP(-LN(2)/2))/(LN(2)/2)*CG165*CJ165*VLOOKUP('Données projet'!$B$12,Paramètres!$A$1:$I$89,3,0)*0.475*44/12</f>
        <v>3.4250759124888749E-9</v>
      </c>
      <c r="CN165" s="22">
        <f t="shared" si="172"/>
        <v>37.578217937523441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168.08890945052406</v>
      </c>
      <c r="CZ165" s="59">
        <f t="shared" si="150"/>
        <v>182.52462557642343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15.04235125632443</v>
      </c>
      <c r="DG165" s="21">
        <f>EXP(-LN(2)/25)*DG164+(1-EXP(-LN(2)/25))/(LN(2)/25)*Calculateur!DB165*Calculateur!DD165*VLOOKUP('Données projet'!$B$13,Paramètres!$A$1:$I$89,3,0)*0.475*44/12</f>
        <v>1.688168788237977</v>
      </c>
      <c r="DH165" s="21">
        <f>EXP(-LN(2)/2)*DH164+(1-EXP(-LN(2)/2))/(LN(2)/2)*DB165*DE165*VLOOKUP('Données projet'!$B$13,Paramètres!$A$1:$I$89,3,0)*0.475*44/12</f>
        <v>2.5174280476013786E-14</v>
      </c>
      <c r="DI165" s="22">
        <f t="shared" si="175"/>
        <v>16.730520044562432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-2.2737367544323206E-13</v>
      </c>
      <c r="DP165" s="17">
        <f>DO165*VLOOKUP('Données projet'!$B$14,Paramètres!$A$1:$I$89,3,0)*VLOOKUP('Données projet'!$B$14,Paramètres!$A$1:$I$89,5,0)</f>
        <v>-1.2710188457276673E-13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355.23615781077405</v>
      </c>
      <c r="DU165" s="59">
        <f t="shared" si="152"/>
        <v>448.84541017639367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34.328055318130374</v>
      </c>
      <c r="EB165" s="21">
        <f>EXP(-LN(2)/25)*EB164+(1-EXP(-LN(2)/25))/(LN(2)/25)*Calculateur!DW165*Calculateur!DY165*VLOOKUP('Données projet'!$B$14,Paramètres!$A$1:$I$89,3,0)*0.475*44/12</f>
        <v>3.809323948708371</v>
      </c>
      <c r="EC165" s="21">
        <f>EXP(-LN(2)/2)*EC164+(1-EXP(-LN(2)/2))/(LN(2)/2)*DW165*DZ165*VLOOKUP('Données projet'!$B$14,Paramètres!$A$1:$I$89,3,0)*0.475*44/12</f>
        <v>2.5011481950136491E-14</v>
      </c>
      <c r="ED165" s="22">
        <f t="shared" si="178"/>
        <v>38.137379266838771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1.1368683772161603E-13</v>
      </c>
      <c r="EK165" s="17">
        <f>EJ165*VLOOKUP('Données projet'!$B$15,Paramètres!$A$1:$I$89,3,0)*VLOOKUP('Données projet'!$B$15,Paramètres!$A$1:$I$89,5,0)</f>
        <v>1.223725121235475E-13</v>
      </c>
      <c r="EL165" s="13">
        <f t="shared" si="179"/>
        <v>1.7956824466038182E-12</v>
      </c>
      <c r="EM165" s="20">
        <f t="shared" si="180"/>
        <v>3.3406123864501612E-12</v>
      </c>
      <c r="EN165" s="59">
        <f t="shared" si="128"/>
        <v>293.33333333333667</v>
      </c>
      <c r="EO165" s="59">
        <f ca="1">AVERAGE(OFFSET($EN$3,0,0,'Données projet'!$E$15+1,1))-AVERAGE(OFFSET($H$3,0,0,'Données projet'!$E$15+1,1))</f>
        <v>130.76477588601989</v>
      </c>
      <c r="EP165" s="59">
        <f t="shared" si="154"/>
        <v>94.034011511502172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123.99155952622489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123.99155952622489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-2.2737367544323206E-13</v>
      </c>
      <c r="FF165" s="17">
        <f>FE165*VLOOKUP('Données projet'!$B$16,Paramètres!$A$1:$I$89,3,0)*VLOOKUP('Données projet'!$B$16,Paramètres!$A$1:$I$89,5,0)</f>
        <v>-1.0345502232667058E-13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279.43442619866738</v>
      </c>
      <c r="FK165" s="59">
        <f t="shared" si="156"/>
        <v>355.95192241448217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27.941440375222374</v>
      </c>
      <c r="FR165" s="21">
        <f>EXP(-LN(2)/25)*FR164+(1-EXP(-LN(2)/25))/(LN(2)/25)*Calculateur!FM165*Calculateur!FO165*VLOOKUP('Données projet'!$B$16,Paramètres!$A$1:$I$89,3,0)*0.475*44/12</f>
        <v>3.100612516390536</v>
      </c>
      <c r="FS165" s="21">
        <f>EXP(-LN(2)/2)*FS164+(1-EXP(-LN(2)/2))/(LN(2)/2)*FM165*FP165*VLOOKUP('Données projet'!$B$16,Paramètres!$A$1:$I$89,3,0)*0.475*44/12</f>
        <v>2.0358182982669237E-14</v>
      </c>
      <c r="FT165" s="22">
        <f t="shared" si="184"/>
        <v>31.042052891612933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-6.7984728957526396E-14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227.89848316900191</v>
      </c>
      <c r="T166" s="59">
        <f t="shared" si="142"/>
        <v>239.85955661394541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18.637380013090851</v>
      </c>
      <c r="AA166" s="21">
        <f>EXP(-LN(2)/25)*AA165+(1-EXP(-LN(2)/25))/(LN(2)/25)*Calculateur!V166*Calculateur!X166*VLOOKUP('Données projet'!$B$9,Paramètres!$A$1:$I$89,3,0)*0.475*44/12</f>
        <v>1.9864908568165713</v>
      </c>
      <c r="AB166" s="21">
        <f>EXP(-LN(2)/2)*AB165+(1-EXP(-LN(2)/2))/(LN(2)/2)*V166*Y166*VLOOKUP('Données projet'!$B$9,Paramètres!$A$1:$I$89,3,0)*0.475*44/12</f>
        <v>2.3022617628333411E-14</v>
      </c>
      <c r="AC166" s="22">
        <f t="shared" si="163"/>
        <v>20.623870869907442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-5.6843418860808015E-14</v>
      </c>
      <c r="AJ166" s="13">
        <f>AI166*VLOOKUP('Données projet'!$B$10,Paramètres!$A$1:$I$89,3,0)*VLOOKUP('Données projet'!$B$10,Paramètres!$A$1:$I$89,5,0)</f>
        <v>-5.1431925385259088E-14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215.7418266360167</v>
      </c>
      <c r="AO166" s="59">
        <f t="shared" si="144"/>
        <v>155.78420008229949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94.703210074169206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94.703210074169206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2.2737367544323206E-13</v>
      </c>
      <c r="BE166" s="13">
        <f>BD166*VLOOKUP('Données projet'!$B$11,Paramètres!$A$1:$I$89,3,0)*VLOOKUP('Données projet'!$B$11,Paramètres!$A$1:$I$89,5,0)</f>
        <v>2.3055690689943731E-13</v>
      </c>
      <c r="BF166" s="13">
        <f t="shared" si="167"/>
        <v>3.142699285622457E-12</v>
      </c>
      <c r="BG166" s="20">
        <f t="shared" si="168"/>
        <v>5.8750878686422984E-12</v>
      </c>
      <c r="BH166" s="59">
        <f t="shared" si="116"/>
        <v>293.33333333333917</v>
      </c>
      <c r="BI166" s="59">
        <f ca="1">AVERAGE(OFFSET($BH$3,0,0,'Données projet'!$E$11+1,1))-AVERAGE(OFFSET($H$3,0,0,'Données projet'!$E$11+1,1))</f>
        <v>179.53921263314447</v>
      </c>
      <c r="BJ166" s="59">
        <f t="shared" si="146"/>
        <v>120.81513023281337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143.14149354410253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143.14149354410253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500.00000000000045</v>
      </c>
      <c r="BZ166" s="13">
        <f>BY166*VLOOKUP('Données projet'!$B$12,Paramètres!$A$1:$I$89,3,0)*VLOOKUP('Données projet'!$B$12,Paramètres!$A$1:$I$89,5,0)</f>
        <v>234.00000000000023</v>
      </c>
      <c r="CA166" s="13">
        <f t="shared" si="170"/>
        <v>57.146705242557189</v>
      </c>
      <c r="CB166" s="20">
        <f t="shared" si="171"/>
        <v>507.08051163078744</v>
      </c>
      <c r="CC166" s="59">
        <f t="shared" si="119"/>
        <v>800.4138449641207</v>
      </c>
      <c r="CD166" s="59">
        <f ca="1">AVERAGE(OFFSET($CC$3,0,0,'Données projet'!$E$12+1,1))-AVERAGE(OFFSET($H$3,0,0,'Données projet'!$E$12+1,1))</f>
        <v>310.06530483941287</v>
      </c>
      <c r="CE166" s="59">
        <f t="shared" si="148"/>
        <v>170.13425794309376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32.613436028105362</v>
      </c>
      <c r="CL166" s="21">
        <f>EXP(-LN(2)/25)*CL165+(1-EXP(-LN(2)/25))/(LN(2)/25)*Calculateur!CG166*Calculateur!CI166*VLOOKUP('Données projet'!$B$12,Paramètres!$A$1:$I$89,3,0)*0.475*44/12</f>
        <v>4.1945362321425286</v>
      </c>
      <c r="CM166" s="21">
        <f>EXP(-LN(2)/2)*CM165+(1-EXP(-LN(2)/2))/(LN(2)/2)*CG166*CJ166*VLOOKUP('Données projet'!$B$12,Paramètres!$A$1:$I$89,3,0)*0.475*44/12</f>
        <v>2.4218944037995854E-9</v>
      </c>
      <c r="CN166" s="22">
        <f t="shared" si="172"/>
        <v>36.807972262669786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168.08890945052406</v>
      </c>
      <c r="CZ166" s="59">
        <f t="shared" si="150"/>
        <v>182.52462557642343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14.747379923116226</v>
      </c>
      <c r="DG166" s="21">
        <f>EXP(-LN(2)/25)*DG165+(1-EXP(-LN(2)/25))/(LN(2)/25)*Calculateur!DB166*Calculateur!DD166*VLOOKUP('Données projet'!$B$13,Paramètres!$A$1:$I$89,3,0)*0.475*44/12</f>
        <v>1.6420057239466712</v>
      </c>
      <c r="DH166" s="21">
        <f>EXP(-LN(2)/2)*DH165+(1-EXP(-LN(2)/2))/(LN(2)/2)*DB166*DE166*VLOOKUP('Données projet'!$B$13,Paramètres!$A$1:$I$89,3,0)*0.475*44/12</f>
        <v>1.7800904436081455E-14</v>
      </c>
      <c r="DI166" s="22">
        <f t="shared" si="175"/>
        <v>16.389385647062916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-2.2737367544323206E-13</v>
      </c>
      <c r="DP166" s="17">
        <f>DO166*VLOOKUP('Données projet'!$B$14,Paramètres!$A$1:$I$89,3,0)*VLOOKUP('Données projet'!$B$14,Paramètres!$A$1:$I$89,5,0)</f>
        <v>-1.2710188457276673E-13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355.23615781077405</v>
      </c>
      <c r="DU166" s="59">
        <f t="shared" si="152"/>
        <v>448.84541017639367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33.654903091388121</v>
      </c>
      <c r="EB166" s="21">
        <f>EXP(-LN(2)/25)*EB165+(1-EXP(-LN(2)/25))/(LN(2)/25)*Calculateur!DW166*Calculateur!DY166*VLOOKUP('Données projet'!$B$14,Paramètres!$A$1:$I$89,3,0)*0.475*44/12</f>
        <v>3.7051577850073003</v>
      </c>
      <c r="EC166" s="21">
        <f>EXP(-LN(2)/2)*EC165+(1-EXP(-LN(2)/2))/(LN(2)/2)*DW166*DZ166*VLOOKUP('Données projet'!$B$14,Paramètres!$A$1:$I$89,3,0)*0.475*44/12</f>
        <v>1.7685788494466446E-14</v>
      </c>
      <c r="ED166" s="22">
        <f t="shared" si="178"/>
        <v>37.360060876395437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1.1368683772161603E-13</v>
      </c>
      <c r="EK166" s="17">
        <f>EJ166*VLOOKUP('Données projet'!$B$15,Paramètres!$A$1:$I$89,3,0)*VLOOKUP('Données projet'!$B$15,Paramètres!$A$1:$I$89,5,0)</f>
        <v>1.223725121235475E-13</v>
      </c>
      <c r="EL166" s="13">
        <f t="shared" si="179"/>
        <v>1.7956824466038182E-12</v>
      </c>
      <c r="EM166" s="20">
        <f t="shared" si="180"/>
        <v>3.3406123864501612E-12</v>
      </c>
      <c r="EN166" s="59">
        <f t="shared" si="128"/>
        <v>293.33333333333667</v>
      </c>
      <c r="EO166" s="59">
        <f ca="1">AVERAGE(OFFSET($EN$3,0,0,'Données projet'!$E$15+1,1))-AVERAGE(OFFSET($H$3,0,0,'Données projet'!$E$15+1,1))</f>
        <v>130.76477588601989</v>
      </c>
      <c r="EP166" s="59">
        <f t="shared" si="154"/>
        <v>94.034011511502172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121.56016067129934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121.56016067129934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-2.2737367544323206E-13</v>
      </c>
      <c r="FF166" s="17">
        <f>FE166*VLOOKUP('Données projet'!$B$16,Paramètres!$A$1:$I$89,3,0)*VLOOKUP('Données projet'!$B$16,Paramètres!$A$1:$I$89,5,0)</f>
        <v>-1.0345502232667058E-13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279.43442619866738</v>
      </c>
      <c r="FK166" s="59">
        <f t="shared" si="156"/>
        <v>355.95192241448217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27.393525772060077</v>
      </c>
      <c r="FR166" s="21">
        <f>EXP(-LN(2)/25)*FR165+(1-EXP(-LN(2)/25))/(LN(2)/25)*Calculateur!FM166*Calculateur!FO166*VLOOKUP('Données projet'!$B$16,Paramètres!$A$1:$I$89,3,0)*0.475*44/12</f>
        <v>3.0158261040757113</v>
      </c>
      <c r="FS166" s="21">
        <f>EXP(-LN(2)/2)*FS165+(1-EXP(-LN(2)/2))/(LN(2)/2)*FM166*FP166*VLOOKUP('Données projet'!$B$16,Paramètres!$A$1:$I$89,3,0)*0.475*44/12</f>
        <v>1.4395409239681992E-14</v>
      </c>
      <c r="FT166" s="22">
        <f t="shared" si="184"/>
        <v>30.409351876135801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-6.7984728957526396E-14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227.89848316900191</v>
      </c>
      <c r="T167" s="59">
        <f t="shared" si="142"/>
        <v>239.85955661394541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18.271912358713482</v>
      </c>
      <c r="AA167" s="21">
        <f>EXP(-LN(2)/25)*AA166+(1-EXP(-LN(2)/25))/(LN(2)/25)*Calculateur!V167*Calculateur!X167*VLOOKUP('Données projet'!$B$9,Paramètres!$A$1:$I$89,3,0)*0.475*44/12</f>
        <v>1.9321701598719083</v>
      </c>
      <c r="AB167" s="21">
        <f>EXP(-LN(2)/2)*AB166+(1-EXP(-LN(2)/2))/(LN(2)/2)*V167*Y167*VLOOKUP('Données projet'!$B$9,Paramètres!$A$1:$I$89,3,0)*0.475*44/12</f>
        <v>1.6279449045659505E-14</v>
      </c>
      <c r="AC167" s="22">
        <f t="shared" si="163"/>
        <v>20.204082518585409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-5.6843418860808015E-14</v>
      </c>
      <c r="AJ167" s="13">
        <f>AI167*VLOOKUP('Données projet'!$B$10,Paramètres!$A$1:$I$89,3,0)*VLOOKUP('Données projet'!$B$10,Paramètres!$A$1:$I$89,5,0)</f>
        <v>-5.1431925385259088E-14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215.7418266360167</v>
      </c>
      <c r="AO167" s="59">
        <f t="shared" si="144"/>
        <v>155.78420008229949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92.846137887869247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92.846137887869247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2.2737367544323206E-13</v>
      </c>
      <c r="BE167" s="13">
        <f>BD167*VLOOKUP('Données projet'!$B$11,Paramètres!$A$1:$I$89,3,0)*VLOOKUP('Données projet'!$B$11,Paramètres!$A$1:$I$89,5,0)</f>
        <v>2.3055690689943731E-13</v>
      </c>
      <c r="BF167" s="13">
        <f t="shared" si="167"/>
        <v>3.142699285622457E-12</v>
      </c>
      <c r="BG167" s="20">
        <f t="shared" si="168"/>
        <v>5.8750878686422984E-12</v>
      </c>
      <c r="BH167" s="59">
        <f t="shared" si="116"/>
        <v>293.33333333333917</v>
      </c>
      <c r="BI167" s="59">
        <f ca="1">AVERAGE(OFFSET($BH$3,0,0,'Données projet'!$E$11+1,1))-AVERAGE(OFFSET($H$3,0,0,'Données projet'!$E$11+1,1))</f>
        <v>179.53921263314447</v>
      </c>
      <c r="BJ167" s="59">
        <f t="shared" si="146"/>
        <v>120.81513023281337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140.33457616339282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140.33457616339282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500.00000000000045</v>
      </c>
      <c r="BZ167" s="13">
        <f>BY167*VLOOKUP('Données projet'!$B$12,Paramètres!$A$1:$I$89,3,0)*VLOOKUP('Données projet'!$B$12,Paramètres!$A$1:$I$89,5,0)</f>
        <v>234.00000000000023</v>
      </c>
      <c r="CA167" s="13">
        <f t="shared" si="170"/>
        <v>57.146705242557189</v>
      </c>
      <c r="CB167" s="20">
        <f t="shared" si="171"/>
        <v>507.08051163078744</v>
      </c>
      <c r="CC167" s="59">
        <f t="shared" si="119"/>
        <v>800.4138449641207</v>
      </c>
      <c r="CD167" s="59">
        <f ca="1">AVERAGE(OFFSET($CC$3,0,0,'Données projet'!$E$12+1,1))-AVERAGE(OFFSET($H$3,0,0,'Données projet'!$E$12+1,1))</f>
        <v>310.06530483941287</v>
      </c>
      <c r="CE167" s="59">
        <f t="shared" si="148"/>
        <v>170.13425794309376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31.973906439825999</v>
      </c>
      <c r="CL167" s="21">
        <f>EXP(-LN(2)/25)*CL166+(1-EXP(-LN(2)/25))/(LN(2)/25)*Calculateur!CG167*Calculateur!CI167*VLOOKUP('Données projet'!$B$12,Paramètres!$A$1:$I$89,3,0)*0.475*44/12</f>
        <v>4.0798364182935174</v>
      </c>
      <c r="CM167" s="21">
        <f>EXP(-LN(2)/2)*CM166+(1-EXP(-LN(2)/2))/(LN(2)/2)*CG167*CJ167*VLOOKUP('Données projet'!$B$12,Paramètres!$A$1:$I$89,3,0)*0.475*44/12</f>
        <v>1.7125379562444375E-9</v>
      </c>
      <c r="CN167" s="22">
        <f t="shared" si="172"/>
        <v>36.053742859832056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168.08890945052406</v>
      </c>
      <c r="CZ167" s="59">
        <f t="shared" si="150"/>
        <v>182.52462557642343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14.458192797837485</v>
      </c>
      <c r="DG167" s="21">
        <f>EXP(-LN(2)/25)*DG166+(1-EXP(-LN(2)/25))/(LN(2)/25)*Calculateur!DB167*Calculateur!DD167*VLOOKUP('Données projet'!$B$13,Paramètres!$A$1:$I$89,3,0)*0.475*44/12</f>
        <v>1.5971049910760213</v>
      </c>
      <c r="DH167" s="21">
        <f>EXP(-LN(2)/2)*DH166+(1-EXP(-LN(2)/2))/(LN(2)/2)*DB167*DE167*VLOOKUP('Données projet'!$B$13,Paramètres!$A$1:$I$89,3,0)*0.475*44/12</f>
        <v>1.2587140238006893E-14</v>
      </c>
      <c r="DI167" s="22">
        <f t="shared" si="175"/>
        <v>16.055297788913521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-2.2737367544323206E-13</v>
      </c>
      <c r="DP167" s="17">
        <f>DO167*VLOOKUP('Données projet'!$B$14,Paramètres!$A$1:$I$89,3,0)*VLOOKUP('Données projet'!$B$14,Paramètres!$A$1:$I$89,5,0)</f>
        <v>-1.2710188457276673E-13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355.23615781077405</v>
      </c>
      <c r="DU167" s="59">
        <f t="shared" si="152"/>
        <v>448.84541017639367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32.994950969229969</v>
      </c>
      <c r="EB167" s="21">
        <f>EXP(-LN(2)/25)*EB166+(1-EXP(-LN(2)/25))/(LN(2)/25)*Calculateur!DW167*Calculateur!DY167*VLOOKUP('Données projet'!$B$14,Paramètres!$A$1:$I$89,3,0)*0.475*44/12</f>
        <v>3.6038400505304962</v>
      </c>
      <c r="EC167" s="21">
        <f>EXP(-LN(2)/2)*EC166+(1-EXP(-LN(2)/2))/(LN(2)/2)*DW167*DZ167*VLOOKUP('Données projet'!$B$14,Paramètres!$A$1:$I$89,3,0)*0.475*44/12</f>
        <v>1.2505740975068245E-14</v>
      </c>
      <c r="ED167" s="22">
        <f t="shared" si="178"/>
        <v>36.598791019760476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1.1368683772161603E-13</v>
      </c>
      <c r="EK167" s="17">
        <f>EJ167*VLOOKUP('Données projet'!$B$15,Paramètres!$A$1:$I$89,3,0)*VLOOKUP('Données projet'!$B$15,Paramètres!$A$1:$I$89,5,0)</f>
        <v>1.223725121235475E-13</v>
      </c>
      <c r="EL167" s="13">
        <f t="shared" si="179"/>
        <v>1.7956824466038182E-12</v>
      </c>
      <c r="EM167" s="20">
        <f t="shared" si="180"/>
        <v>3.3406123864501612E-12</v>
      </c>
      <c r="EN167" s="59">
        <f t="shared" si="128"/>
        <v>293.33333333333667</v>
      </c>
      <c r="EO167" s="59">
        <f ca="1">AVERAGE(OFFSET($EN$3,0,0,'Données projet'!$E$15+1,1))-AVERAGE(OFFSET($H$3,0,0,'Données projet'!$E$15+1,1))</f>
        <v>130.76477588601989</v>
      </c>
      <c r="EP167" s="59">
        <f t="shared" si="154"/>
        <v>94.034011511502172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119.17644006491203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119.17644006491203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-2.2737367544323206E-13</v>
      </c>
      <c r="FF167" s="17">
        <f>FE167*VLOOKUP('Données projet'!$B$16,Paramètres!$A$1:$I$89,3,0)*VLOOKUP('Données projet'!$B$16,Paramètres!$A$1:$I$89,5,0)</f>
        <v>-1.0345502232667058E-13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279.43442619866738</v>
      </c>
      <c r="FK167" s="59">
        <f t="shared" si="156"/>
        <v>355.95192241448217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26.856355440070882</v>
      </c>
      <c r="FR167" s="21">
        <f>EXP(-LN(2)/25)*FR166+(1-EXP(-LN(2)/25))/(LN(2)/25)*Calculateur!FM167*Calculateur!FO167*VLOOKUP('Données projet'!$B$16,Paramètres!$A$1:$I$89,3,0)*0.475*44/12</f>
        <v>2.9333581806643587</v>
      </c>
      <c r="FS167" s="21">
        <f>EXP(-LN(2)/2)*FS166+(1-EXP(-LN(2)/2))/(LN(2)/2)*FM167*FP167*VLOOKUP('Données projet'!$B$16,Paramètres!$A$1:$I$89,3,0)*0.475*44/12</f>
        <v>1.0179091491334619E-14</v>
      </c>
      <c r="FT167" s="22">
        <f t="shared" si="184"/>
        <v>29.789713620735252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-6.7984728957526396E-14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227.89848316900191</v>
      </c>
      <c r="T168" s="59">
        <f t="shared" si="142"/>
        <v>239.85955661394541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17.913611302125197</v>
      </c>
      <c r="AA168" s="21">
        <f>EXP(-LN(2)/25)*AA167+(1-EXP(-LN(2)/25))/(LN(2)/25)*Calculateur!V168*Calculateur!X168*VLOOKUP('Données projet'!$B$9,Paramètres!$A$1:$I$89,3,0)*0.475*44/12</f>
        <v>1.8793348652417983</v>
      </c>
      <c r="AB168" s="21">
        <f>EXP(-LN(2)/2)*AB167+(1-EXP(-LN(2)/2))/(LN(2)/2)*V168*Y168*VLOOKUP('Données projet'!$B$9,Paramètres!$A$1:$I$89,3,0)*0.475*44/12</f>
        <v>1.1511308814166706E-14</v>
      </c>
      <c r="AC168" s="22">
        <f t="shared" si="163"/>
        <v>19.792946167367006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-5.6843418860808015E-14</v>
      </c>
      <c r="AJ168" s="13">
        <f>AI168*VLOOKUP('Données projet'!$B$10,Paramètres!$A$1:$I$89,3,0)*VLOOKUP('Données projet'!$B$10,Paramètres!$A$1:$I$89,5,0)</f>
        <v>-5.1431925385259088E-14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215.7418266360167</v>
      </c>
      <c r="AO168" s="59">
        <f t="shared" si="144"/>
        <v>155.78420008229949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91.025481754440435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91.025481754440435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2.2737367544323206E-13</v>
      </c>
      <c r="BE168" s="13">
        <f>BD168*VLOOKUP('Données projet'!$B$11,Paramètres!$A$1:$I$89,3,0)*VLOOKUP('Données projet'!$B$11,Paramètres!$A$1:$I$89,5,0)</f>
        <v>2.3055690689943731E-13</v>
      </c>
      <c r="BF168" s="13">
        <f t="shared" si="167"/>
        <v>3.142699285622457E-12</v>
      </c>
      <c r="BG168" s="20">
        <f t="shared" si="168"/>
        <v>5.8750878686422984E-12</v>
      </c>
      <c r="BH168" s="59">
        <f t="shared" si="116"/>
        <v>293.33333333333917</v>
      </c>
      <c r="BI168" s="59">
        <f ca="1">AVERAGE(OFFSET($BH$3,0,0,'Données projet'!$E$11+1,1))-AVERAGE(OFFSET($H$3,0,0,'Données projet'!$E$11+1,1))</f>
        <v>179.53921263314447</v>
      </c>
      <c r="BJ168" s="59">
        <f t="shared" si="146"/>
        <v>120.81513023281337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137.5827007204683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137.5827007204683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500.00000000000045</v>
      </c>
      <c r="BZ168" s="13">
        <f>BY168*VLOOKUP('Données projet'!$B$12,Paramètres!$A$1:$I$89,3,0)*VLOOKUP('Données projet'!$B$12,Paramètres!$A$1:$I$89,5,0)</f>
        <v>234.00000000000023</v>
      </c>
      <c r="CA168" s="13">
        <f t="shared" si="170"/>
        <v>57.146705242557189</v>
      </c>
      <c r="CB168" s="20">
        <f t="shared" si="171"/>
        <v>507.08051163078744</v>
      </c>
      <c r="CC168" s="59">
        <f t="shared" si="119"/>
        <v>800.4138449641207</v>
      </c>
      <c r="CD168" s="59">
        <f ca="1">AVERAGE(OFFSET($CC$3,0,0,'Données projet'!$E$12+1,1))-AVERAGE(OFFSET($H$3,0,0,'Données projet'!$E$12+1,1))</f>
        <v>310.06530483941287</v>
      </c>
      <c r="CE168" s="59">
        <f t="shared" si="148"/>
        <v>170.13425794309376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31.346917636698262</v>
      </c>
      <c r="CL168" s="21">
        <f>EXP(-LN(2)/25)*CL167+(1-EXP(-LN(2)/25))/(LN(2)/25)*Calculateur!CG168*Calculateur!CI168*VLOOKUP('Données projet'!$B$12,Paramètres!$A$1:$I$89,3,0)*0.475*44/12</f>
        <v>3.9682730768860086</v>
      </c>
      <c r="CM168" s="21">
        <f>EXP(-LN(2)/2)*CM167+(1-EXP(-LN(2)/2))/(LN(2)/2)*CG168*CJ168*VLOOKUP('Données projet'!$B$12,Paramètres!$A$1:$I$89,3,0)*0.475*44/12</f>
        <v>1.2109472018997927E-9</v>
      </c>
      <c r="CN168" s="22">
        <f t="shared" si="172"/>
        <v>35.315190714795222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168.08890945052406</v>
      </c>
      <c r="CZ168" s="59">
        <f t="shared" si="150"/>
        <v>182.52462557642343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14.174676455698732</v>
      </c>
      <c r="DG168" s="21">
        <f>EXP(-LN(2)/25)*DG167+(1-EXP(-LN(2)/25))/(LN(2)/25)*Calculateur!DB168*Calculateur!DD168*VLOOKUP('Données projet'!$B$13,Paramètres!$A$1:$I$89,3,0)*0.475*44/12</f>
        <v>1.5534320711069463</v>
      </c>
      <c r="DH168" s="21">
        <f>EXP(-LN(2)/2)*DH167+(1-EXP(-LN(2)/2))/(LN(2)/2)*DB168*DE168*VLOOKUP('Données projet'!$B$13,Paramètres!$A$1:$I$89,3,0)*0.475*44/12</f>
        <v>8.9004522180407276E-15</v>
      </c>
      <c r="DI168" s="22">
        <f t="shared" si="175"/>
        <v>15.728108526805688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-2.2737367544323206E-13</v>
      </c>
      <c r="DP168" s="17">
        <f>DO168*VLOOKUP('Données projet'!$B$14,Paramètres!$A$1:$I$89,3,0)*VLOOKUP('Données projet'!$B$14,Paramètres!$A$1:$I$89,5,0)</f>
        <v>-1.2710188457276673E-13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355.23615781077405</v>
      </c>
      <c r="DU168" s="59">
        <f t="shared" si="152"/>
        <v>448.84541017639367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32.347940105656285</v>
      </c>
      <c r="EB168" s="21">
        <f>EXP(-LN(2)/25)*EB167+(1-EXP(-LN(2)/25))/(LN(2)/25)*Calculateur!DW168*Calculateur!DY168*VLOOKUP('Données projet'!$B$14,Paramètres!$A$1:$I$89,3,0)*0.475*44/12</f>
        <v>3.505292854831028</v>
      </c>
      <c r="EC168" s="21">
        <f>EXP(-LN(2)/2)*EC167+(1-EXP(-LN(2)/2))/(LN(2)/2)*DW168*DZ168*VLOOKUP('Données projet'!$B$14,Paramètres!$A$1:$I$89,3,0)*0.475*44/12</f>
        <v>8.842894247233223E-15</v>
      </c>
      <c r="ED168" s="22">
        <f t="shared" si="178"/>
        <v>35.853232960487318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1.1368683772161603E-13</v>
      </c>
      <c r="EK168" s="17">
        <f>EJ168*VLOOKUP('Données projet'!$B$15,Paramètres!$A$1:$I$89,3,0)*VLOOKUP('Données projet'!$B$15,Paramètres!$A$1:$I$89,5,0)</f>
        <v>1.223725121235475E-13</v>
      </c>
      <c r="EL168" s="13">
        <f t="shared" si="179"/>
        <v>1.7956824466038182E-12</v>
      </c>
      <c r="EM168" s="20">
        <f t="shared" si="180"/>
        <v>3.3406123864501612E-12</v>
      </c>
      <c r="EN168" s="59">
        <f t="shared" si="128"/>
        <v>293.33333333333667</v>
      </c>
      <c r="EO168" s="59">
        <f ca="1">AVERAGE(OFFSET($EN$3,0,0,'Données projet'!$E$15+1,1))-AVERAGE(OFFSET($H$3,0,0,'Données projet'!$E$15+1,1))</f>
        <v>130.76477588601989</v>
      </c>
      <c r="EP168" s="59">
        <f t="shared" si="154"/>
        <v>94.034011511502172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116.83946276568996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116.83946276568996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-2.2737367544323206E-13</v>
      </c>
      <c r="FF168" s="17">
        <f>FE168*VLOOKUP('Données projet'!$B$16,Paramètres!$A$1:$I$89,3,0)*VLOOKUP('Données projet'!$B$16,Paramètres!$A$1:$I$89,5,0)</f>
        <v>-1.0345502232667058E-13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279.43442619866738</v>
      </c>
      <c r="FK168" s="59">
        <f t="shared" si="156"/>
        <v>355.95192241448217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26.329718690650445</v>
      </c>
      <c r="FR168" s="21">
        <f>EXP(-LN(2)/25)*FR167+(1-EXP(-LN(2)/25))/(LN(2)/25)*Calculateur!FM168*Calculateur!FO168*VLOOKUP('Données projet'!$B$16,Paramètres!$A$1:$I$89,3,0)*0.475*44/12</f>
        <v>2.8531453469554893</v>
      </c>
      <c r="FS168" s="21">
        <f>EXP(-LN(2)/2)*FS167+(1-EXP(-LN(2)/2))/(LN(2)/2)*FM168*FP168*VLOOKUP('Données projet'!$B$16,Paramètres!$A$1:$I$89,3,0)*0.475*44/12</f>
        <v>7.1977046198409958E-15</v>
      </c>
      <c r="FT168" s="22">
        <f t="shared" si="184"/>
        <v>29.182864037605942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-6.7984728957526396E-14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227.89848316900191</v>
      </c>
      <c r="T169" s="59">
        <f t="shared" si="142"/>
        <v>239.85955661394541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17.562336310714542</v>
      </c>
      <c r="AA169" s="21">
        <f>EXP(-LN(2)/25)*AA168+(1-EXP(-LN(2)/25))/(LN(2)/25)*Calculateur!V169*Calculateur!X169*VLOOKUP('Données projet'!$B$9,Paramètres!$A$1:$I$89,3,0)*0.475*44/12</f>
        <v>1.8279443545218359</v>
      </c>
      <c r="AB169" s="21">
        <f>EXP(-LN(2)/2)*AB168+(1-EXP(-LN(2)/2))/(LN(2)/2)*V169*Y169*VLOOKUP('Données projet'!$B$9,Paramètres!$A$1:$I$89,3,0)*0.475*44/12</f>
        <v>8.1397245228297526E-15</v>
      </c>
      <c r="AC169" s="22">
        <f t="shared" si="163"/>
        <v>19.390280665236386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-5.6843418860808015E-14</v>
      </c>
      <c r="AJ169" s="13">
        <f>AI169*VLOOKUP('Données projet'!$B$10,Paramètres!$A$1:$I$89,3,0)*VLOOKUP('Données projet'!$B$10,Paramètres!$A$1:$I$89,5,0)</f>
        <v>-5.1431925385259088E-14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215.7418266360167</v>
      </c>
      <c r="AO169" s="59">
        <f t="shared" si="144"/>
        <v>155.78420008229949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89.240527577297584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89.240527577297584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2.2737367544323206E-13</v>
      </c>
      <c r="BE169" s="13">
        <f>BD169*VLOOKUP('Données projet'!$B$11,Paramètres!$A$1:$I$89,3,0)*VLOOKUP('Données projet'!$B$11,Paramètres!$A$1:$I$89,5,0)</f>
        <v>2.3055690689943731E-13</v>
      </c>
      <c r="BF169" s="13">
        <f t="shared" si="167"/>
        <v>3.142699285622457E-12</v>
      </c>
      <c r="BG169" s="20">
        <f t="shared" si="168"/>
        <v>5.8750878686422984E-12</v>
      </c>
      <c r="BH169" s="59">
        <f t="shared" si="116"/>
        <v>293.33333333333917</v>
      </c>
      <c r="BI169" s="59">
        <f ca="1">AVERAGE(OFFSET($BH$3,0,0,'Données projet'!$E$11+1,1))-AVERAGE(OFFSET($H$3,0,0,'Données projet'!$E$11+1,1))</f>
        <v>179.53921263314447</v>
      </c>
      <c r="BJ169" s="59">
        <f t="shared" si="146"/>
        <v>120.81513023281337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134.88478787650121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134.88478787650121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500.00000000000045</v>
      </c>
      <c r="BZ169" s="13">
        <f>BY169*VLOOKUP('Données projet'!$B$12,Paramètres!$A$1:$I$89,3,0)*VLOOKUP('Données projet'!$B$12,Paramètres!$A$1:$I$89,5,0)</f>
        <v>234.00000000000023</v>
      </c>
      <c r="CA169" s="13">
        <f t="shared" si="170"/>
        <v>57.146705242557189</v>
      </c>
      <c r="CB169" s="20">
        <f t="shared" si="171"/>
        <v>507.08051163078744</v>
      </c>
      <c r="CC169" s="59">
        <f t="shared" si="119"/>
        <v>800.4138449641207</v>
      </c>
      <c r="CD169" s="59">
        <f ca="1">AVERAGE(OFFSET($CC$3,0,0,'Données projet'!$E$12+1,1))-AVERAGE(OFFSET($H$3,0,0,'Données projet'!$E$12+1,1))</f>
        <v>310.06530483941287</v>
      </c>
      <c r="CE169" s="59">
        <f t="shared" si="148"/>
        <v>170.13425794309376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30.732223701574451</v>
      </c>
      <c r="CL169" s="21">
        <f>EXP(-LN(2)/25)*CL168+(1-EXP(-LN(2)/25))/(LN(2)/25)*Calculateur!CG169*Calculateur!CI169*VLOOKUP('Données projet'!$B$12,Paramètres!$A$1:$I$89,3,0)*0.475*44/12</f>
        <v>3.859760440916149</v>
      </c>
      <c r="CM169" s="21">
        <f>EXP(-LN(2)/2)*CM168+(1-EXP(-LN(2)/2))/(LN(2)/2)*CG169*CJ169*VLOOKUP('Données projet'!$B$12,Paramètres!$A$1:$I$89,3,0)*0.475*44/12</f>
        <v>8.5626897812221873E-10</v>
      </c>
      <c r="CN169" s="22">
        <f t="shared" si="172"/>
        <v>34.59198414334687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168.08890945052406</v>
      </c>
      <c r="CZ169" s="59">
        <f t="shared" si="150"/>
        <v>182.52462557642343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13.896719696101426</v>
      </c>
      <c r="DG169" s="21">
        <f>EXP(-LN(2)/25)*DG168+(1-EXP(-LN(2)/25))/(LN(2)/25)*Calculateur!DB169*Calculateur!DD169*VLOOKUP('Données projet'!$B$13,Paramètres!$A$1:$I$89,3,0)*0.475*44/12</f>
        <v>1.5109533894310847</v>
      </c>
      <c r="DH169" s="21">
        <f>EXP(-LN(2)/2)*DH168+(1-EXP(-LN(2)/2))/(LN(2)/2)*DB169*DE169*VLOOKUP('Données projet'!$B$13,Paramètres!$A$1:$I$89,3,0)*0.475*44/12</f>
        <v>6.2935701190034464E-15</v>
      </c>
      <c r="DI169" s="22">
        <f t="shared" si="175"/>
        <v>15.407673085532519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-2.2737367544323206E-13</v>
      </c>
      <c r="DP169" s="17">
        <f>DO169*VLOOKUP('Données projet'!$B$14,Paramètres!$A$1:$I$89,3,0)*VLOOKUP('Données projet'!$B$14,Paramètres!$A$1:$I$89,5,0)</f>
        <v>-1.2710188457276673E-13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355.23615781077405</v>
      </c>
      <c r="DU169" s="59">
        <f t="shared" si="152"/>
        <v>448.84541017639367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31.713616730479625</v>
      </c>
      <c r="EB169" s="21">
        <f>EXP(-LN(2)/25)*EB168+(1-EXP(-LN(2)/25))/(LN(2)/25)*Calculateur!DW169*Calculateur!DY169*VLOOKUP('Données projet'!$B$14,Paramètres!$A$1:$I$89,3,0)*0.475*44/12</f>
        <v>3.4094404373803338</v>
      </c>
      <c r="EC169" s="21">
        <f>EXP(-LN(2)/2)*EC168+(1-EXP(-LN(2)/2))/(LN(2)/2)*DW169*DZ169*VLOOKUP('Données projet'!$B$14,Paramètres!$A$1:$I$89,3,0)*0.475*44/12</f>
        <v>6.2528704875341227E-15</v>
      </c>
      <c r="ED169" s="22">
        <f t="shared" si="178"/>
        <v>35.123057167859969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1.1368683772161603E-13</v>
      </c>
      <c r="EK169" s="17">
        <f>EJ169*VLOOKUP('Données projet'!$B$15,Paramètres!$A$1:$I$89,3,0)*VLOOKUP('Données projet'!$B$15,Paramètres!$A$1:$I$89,5,0)</f>
        <v>1.223725121235475E-13</v>
      </c>
      <c r="EL169" s="13">
        <f t="shared" si="179"/>
        <v>1.7956824466038182E-12</v>
      </c>
      <c r="EM169" s="20">
        <f t="shared" si="180"/>
        <v>3.3406123864501612E-12</v>
      </c>
      <c r="EN169" s="59">
        <f t="shared" si="128"/>
        <v>293.33333333333667</v>
      </c>
      <c r="EO169" s="59">
        <f ca="1">AVERAGE(OFFSET($EN$3,0,0,'Données projet'!$E$15+1,1))-AVERAGE(OFFSET($H$3,0,0,'Données projet'!$E$15+1,1))</f>
        <v>130.76477588601989</v>
      </c>
      <c r="EP169" s="59">
        <f t="shared" si="154"/>
        <v>94.034011511502172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114.54831216589022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114.54831216589022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-2.2737367544323206E-13</v>
      </c>
      <c r="FF169" s="17">
        <f>FE169*VLOOKUP('Données projet'!$B$16,Paramètres!$A$1:$I$89,3,0)*VLOOKUP('Données projet'!$B$16,Paramètres!$A$1:$I$89,5,0)</f>
        <v>-1.0345502232667058E-13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279.43442619866738</v>
      </c>
      <c r="FK169" s="59">
        <f t="shared" si="156"/>
        <v>355.95192241448217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25.813408966669442</v>
      </c>
      <c r="FR169" s="21">
        <f>EXP(-LN(2)/25)*FR168+(1-EXP(-LN(2)/25))/(LN(2)/25)*Calculateur!FM169*Calculateur!FO169*VLOOKUP('Données projet'!$B$16,Paramètres!$A$1:$I$89,3,0)*0.475*44/12</f>
        <v>2.7751259374025987</v>
      </c>
      <c r="FS169" s="21">
        <f>EXP(-LN(2)/2)*FS168+(1-EXP(-LN(2)/2))/(LN(2)/2)*FM169*FP169*VLOOKUP('Données projet'!$B$16,Paramètres!$A$1:$I$89,3,0)*0.475*44/12</f>
        <v>5.0895457456673093E-15</v>
      </c>
      <c r="FT169" s="22">
        <f t="shared" si="184"/>
        <v>28.588534904072045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-6.7984728957526396E-14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227.89848316900191</v>
      </c>
      <c r="T170" s="59">
        <f t="shared" si="142"/>
        <v>239.85955661394541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17.21794960762886</v>
      </c>
      <c r="AA170" s="21">
        <f>EXP(-LN(2)/25)*AA169+(1-EXP(-LN(2)/25))/(LN(2)/25)*Calculateur!V170*Calculateur!X170*VLOOKUP('Données projet'!$B$9,Paramètres!$A$1:$I$89,3,0)*0.475*44/12</f>
        <v>1.7779591200200204</v>
      </c>
      <c r="AB170" s="21">
        <f>EXP(-LN(2)/2)*AB169+(1-EXP(-LN(2)/2))/(LN(2)/2)*V170*Y170*VLOOKUP('Données projet'!$B$9,Paramètres!$A$1:$I$89,3,0)*0.475*44/12</f>
        <v>5.7556544070833528E-15</v>
      </c>
      <c r="AC170" s="22">
        <f t="shared" si="163"/>
        <v>18.995908727648889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-5.6843418860808015E-14</v>
      </c>
      <c r="AJ170" s="13">
        <f>AI170*VLOOKUP('Données projet'!$B$10,Paramètres!$A$1:$I$89,3,0)*VLOOKUP('Données projet'!$B$10,Paramètres!$A$1:$I$89,5,0)</f>
        <v>-5.1431925385259088E-14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215.7418266360167</v>
      </c>
      <c r="AO170" s="59">
        <f t="shared" si="144"/>
        <v>155.78420008229949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87.490575262853952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87.490575262853952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2.2737367544323206E-13</v>
      </c>
      <c r="BE170" s="13">
        <f>BD170*VLOOKUP('Données projet'!$B$11,Paramètres!$A$1:$I$89,3,0)*VLOOKUP('Données projet'!$B$11,Paramètres!$A$1:$I$89,5,0)</f>
        <v>2.3055690689943731E-13</v>
      </c>
      <c r="BF170" s="13">
        <f t="shared" si="167"/>
        <v>3.142699285622457E-12</v>
      </c>
      <c r="BG170" s="20">
        <f t="shared" si="168"/>
        <v>5.8750878686422984E-12</v>
      </c>
      <c r="BH170" s="59">
        <f t="shared" si="116"/>
        <v>293.33333333333917</v>
      </c>
      <c r="BI170" s="59">
        <f ca="1">AVERAGE(OFFSET($BH$3,0,0,'Données projet'!$E$11+1,1))-AVERAGE(OFFSET($H$3,0,0,'Données projet'!$E$11+1,1))</f>
        <v>179.53921263314447</v>
      </c>
      <c r="BJ170" s="59">
        <f t="shared" si="146"/>
        <v>120.81513023281337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132.23977945783997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132.23977945783997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500.00000000000045</v>
      </c>
      <c r="BZ170" s="13">
        <f>BY170*VLOOKUP('Données projet'!$B$12,Paramètres!$A$1:$I$89,3,0)*VLOOKUP('Données projet'!$B$12,Paramètres!$A$1:$I$89,5,0)</f>
        <v>234.00000000000023</v>
      </c>
      <c r="CA170" s="13">
        <f t="shared" si="170"/>
        <v>57.146705242557189</v>
      </c>
      <c r="CB170" s="20">
        <f t="shared" si="171"/>
        <v>507.08051163078744</v>
      </c>
      <c r="CC170" s="59">
        <f t="shared" si="119"/>
        <v>800.4138449641207</v>
      </c>
      <c r="CD170" s="59">
        <f ca="1">AVERAGE(OFFSET($CC$3,0,0,'Données projet'!$E$12+1,1))-AVERAGE(OFFSET($H$3,0,0,'Données projet'!$E$12+1,1))</f>
        <v>310.06530483941287</v>
      </c>
      <c r="CE170" s="59">
        <f t="shared" si="148"/>
        <v>170.13425794309376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30.12958353959214</v>
      </c>
      <c r="CL170" s="21">
        <f>EXP(-LN(2)/25)*CL169+(1-EXP(-LN(2)/25))/(LN(2)/25)*Calculateur!CG170*Calculateur!CI170*VLOOKUP('Données projet'!$B$12,Paramètres!$A$1:$I$89,3,0)*0.475*44/12</f>
        <v>3.754215088683317</v>
      </c>
      <c r="CM170" s="21">
        <f>EXP(-LN(2)/2)*CM169+(1-EXP(-LN(2)/2))/(LN(2)/2)*CG170*CJ170*VLOOKUP('Données projet'!$B$12,Paramètres!$A$1:$I$89,3,0)*0.475*44/12</f>
        <v>6.0547360094989636E-10</v>
      </c>
      <c r="CN170" s="22">
        <f t="shared" si="172"/>
        <v>33.883798628880932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168.08890945052406</v>
      </c>
      <c r="CZ170" s="59">
        <f t="shared" si="150"/>
        <v>182.52462557642343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13.624213499022941</v>
      </c>
      <c r="DG170" s="21">
        <f>EXP(-LN(2)/25)*DG169+(1-EXP(-LN(2)/25))/(LN(2)/25)*Calculateur!DB170*Calculateur!DD170*VLOOKUP('Données projet'!$B$13,Paramètres!$A$1:$I$89,3,0)*0.475*44/12</f>
        <v>1.4696362895395063</v>
      </c>
      <c r="DH170" s="21">
        <f>EXP(-LN(2)/2)*DH169+(1-EXP(-LN(2)/2))/(LN(2)/2)*DB170*DE170*VLOOKUP('Données projet'!$B$13,Paramètres!$A$1:$I$89,3,0)*0.475*44/12</f>
        <v>4.4502261090203638E-15</v>
      </c>
      <c r="DI170" s="22">
        <f t="shared" si="175"/>
        <v>15.093849788562453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-2.2737367544323206E-13</v>
      </c>
      <c r="DP170" s="17">
        <f>DO170*VLOOKUP('Données projet'!$B$14,Paramètres!$A$1:$I$89,3,0)*VLOOKUP('Données projet'!$B$14,Paramètres!$A$1:$I$89,5,0)</f>
        <v>-1.2710188457276673E-13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355.23615781077405</v>
      </c>
      <c r="DU170" s="59">
        <f t="shared" si="152"/>
        <v>448.84541017639367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31.091732049791123</v>
      </c>
      <c r="EB170" s="21">
        <f>EXP(-LN(2)/25)*EB169+(1-EXP(-LN(2)/25))/(LN(2)/25)*Calculateur!DW170*Calculateur!DY170*VLOOKUP('Données projet'!$B$14,Paramètres!$A$1:$I$89,3,0)*0.475*44/12</f>
        <v>3.3162091093254884</v>
      </c>
      <c r="EC170" s="21">
        <f>EXP(-LN(2)/2)*EC169+(1-EXP(-LN(2)/2))/(LN(2)/2)*DW170*DZ170*VLOOKUP('Données projet'!$B$14,Paramètres!$A$1:$I$89,3,0)*0.475*44/12</f>
        <v>4.4214471236166115E-15</v>
      </c>
      <c r="ED170" s="22">
        <f t="shared" si="178"/>
        <v>34.407941159116618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1.1368683772161603E-13</v>
      </c>
      <c r="EK170" s="17">
        <f>EJ170*VLOOKUP('Données projet'!$B$15,Paramètres!$A$1:$I$89,3,0)*VLOOKUP('Données projet'!$B$15,Paramètres!$A$1:$I$89,5,0)</f>
        <v>1.223725121235475E-13</v>
      </c>
      <c r="EL170" s="13">
        <f t="shared" si="179"/>
        <v>1.7956824466038182E-12</v>
      </c>
      <c r="EM170" s="20">
        <f t="shared" si="180"/>
        <v>3.3406123864501612E-12</v>
      </c>
      <c r="EN170" s="59">
        <f t="shared" si="128"/>
        <v>293.33333333333667</v>
      </c>
      <c r="EO170" s="59">
        <f ca="1">AVERAGE(OFFSET($EN$3,0,0,'Données projet'!$E$15+1,1))-AVERAGE(OFFSET($H$3,0,0,'Données projet'!$E$15+1,1))</f>
        <v>130.76477588601989</v>
      </c>
      <c r="EP170" s="59">
        <f t="shared" si="154"/>
        <v>94.034011511502172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112.30208963188869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112.30208963188869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-2.2737367544323206E-13</v>
      </c>
      <c r="FF170" s="17">
        <f>FE170*VLOOKUP('Données projet'!$B$16,Paramètres!$A$1:$I$89,3,0)*VLOOKUP('Données projet'!$B$16,Paramètres!$A$1:$I$89,5,0)</f>
        <v>-1.0345502232667058E-13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279.43442619866738</v>
      </c>
      <c r="FK170" s="59">
        <f t="shared" si="156"/>
        <v>355.95192241448217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25.307223761457873</v>
      </c>
      <c r="FR170" s="21">
        <f>EXP(-LN(2)/25)*FR169+(1-EXP(-LN(2)/25))/(LN(2)/25)*Calculateur!FM170*Calculateur!FO170*VLOOKUP('Données projet'!$B$16,Paramètres!$A$1:$I$89,3,0)*0.475*44/12</f>
        <v>2.6992399727067942</v>
      </c>
      <c r="FS170" s="21">
        <f>EXP(-LN(2)/2)*FS169+(1-EXP(-LN(2)/2))/(LN(2)/2)*FM170*FP170*VLOOKUP('Données projet'!$B$16,Paramètres!$A$1:$I$89,3,0)*0.475*44/12</f>
        <v>3.5988523099204979E-15</v>
      </c>
      <c r="FT170" s="22">
        <f t="shared" si="184"/>
        <v>28.006463734164672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-6.7984728957526396E-14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227.89848316900191</v>
      </c>
      <c r="T171" s="59">
        <f t="shared" si="142"/>
        <v>239.85955661394541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16.880316117735543</v>
      </c>
      <c r="AA171" s="21">
        <f>EXP(-LN(2)/25)*AA170+(1-EXP(-LN(2)/25))/(LN(2)/25)*Calculateur!V171*Calculateur!X171*VLOOKUP('Données projet'!$B$9,Paramètres!$A$1:$I$89,3,0)*0.475*44/12</f>
        <v>1.7293407343842664</v>
      </c>
      <c r="AB171" s="21">
        <f>EXP(-LN(2)/2)*AB170+(1-EXP(-LN(2)/2))/(LN(2)/2)*V171*Y171*VLOOKUP('Données projet'!$B$9,Paramètres!$A$1:$I$89,3,0)*0.475*44/12</f>
        <v>4.0698622614148763E-15</v>
      </c>
      <c r="AC171" s="22">
        <f t="shared" si="163"/>
        <v>18.609656852119812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-5.6843418860808015E-14</v>
      </c>
      <c r="AJ171" s="13">
        <f>AI171*VLOOKUP('Données projet'!$B$10,Paramètres!$A$1:$I$89,3,0)*VLOOKUP('Données projet'!$B$10,Paramètres!$A$1:$I$89,5,0)</f>
        <v>-5.1431925385259088E-14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215.7418266360167</v>
      </c>
      <c r="AO171" s="59">
        <f t="shared" si="144"/>
        <v>155.78420008229949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85.774938445931042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85.774938445931042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2.2737367544323206E-13</v>
      </c>
      <c r="BE171" s="13">
        <f>BD171*VLOOKUP('Données projet'!$B$11,Paramètres!$A$1:$I$89,3,0)*VLOOKUP('Données projet'!$B$11,Paramètres!$A$1:$I$89,5,0)</f>
        <v>2.3055690689943731E-13</v>
      </c>
      <c r="BF171" s="13">
        <f t="shared" si="167"/>
        <v>3.142699285622457E-12</v>
      </c>
      <c r="BG171" s="20">
        <f t="shared" si="168"/>
        <v>5.8750878686422984E-12</v>
      </c>
      <c r="BH171" s="59">
        <f t="shared" si="116"/>
        <v>293.33333333333917</v>
      </c>
      <c r="BI171" s="59">
        <f ca="1">AVERAGE(OFFSET($BH$3,0,0,'Données projet'!$E$11+1,1))-AVERAGE(OFFSET($H$3,0,0,'Données projet'!$E$11+1,1))</f>
        <v>179.53921263314447</v>
      </c>
      <c r="BJ171" s="59">
        <f t="shared" si="146"/>
        <v>120.81513023281337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129.64663804097285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129.64663804097285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500.00000000000045</v>
      </c>
      <c r="BZ171" s="13">
        <f>BY171*VLOOKUP('Données projet'!$B$12,Paramètres!$A$1:$I$89,3,0)*VLOOKUP('Données projet'!$B$12,Paramètres!$A$1:$I$89,5,0)</f>
        <v>234.00000000000023</v>
      </c>
      <c r="CA171" s="13">
        <f t="shared" si="170"/>
        <v>57.146705242557189</v>
      </c>
      <c r="CB171" s="20">
        <f t="shared" si="171"/>
        <v>507.08051163078744</v>
      </c>
      <c r="CC171" s="59">
        <f t="shared" si="119"/>
        <v>800.4138449641207</v>
      </c>
      <c r="CD171" s="59">
        <f ca="1">AVERAGE(OFFSET($CC$3,0,0,'Données projet'!$E$12+1,1))-AVERAGE(OFFSET($H$3,0,0,'Données projet'!$E$12+1,1))</f>
        <v>310.06530483941287</v>
      </c>
      <c r="CE171" s="59">
        <f t="shared" si="148"/>
        <v>170.13425794309376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29.538760783612098</v>
      </c>
      <c r="CL171" s="21">
        <f>EXP(-LN(2)/25)*CL170+(1-EXP(-LN(2)/25))/(LN(2)/25)*Calculateur!CG171*Calculateur!CI171*VLOOKUP('Données projet'!$B$12,Paramètres!$A$1:$I$89,3,0)*0.475*44/12</f>
        <v>3.6515558796576806</v>
      </c>
      <c r="CM171" s="21">
        <f>EXP(-LN(2)/2)*CM170+(1-EXP(-LN(2)/2))/(LN(2)/2)*CG171*CJ171*VLOOKUP('Données projet'!$B$12,Paramètres!$A$1:$I$89,3,0)*0.475*44/12</f>
        <v>4.2813448906110936E-10</v>
      </c>
      <c r="CN171" s="22">
        <f t="shared" si="172"/>
        <v>33.190316663697914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168.08890945052406</v>
      </c>
      <c r="CZ171" s="59">
        <f t="shared" si="150"/>
        <v>182.52462557642343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13.357050982256796</v>
      </c>
      <c r="DG171" s="21">
        <f>EXP(-LN(2)/25)*DG170+(1-EXP(-LN(2)/25))/(LN(2)/25)*Calculateur!DB171*Calculateur!DD171*VLOOKUP('Données projet'!$B$13,Paramètres!$A$1:$I$89,3,0)*0.475*44/12</f>
        <v>1.4294490079172348</v>
      </c>
      <c r="DH171" s="21">
        <f>EXP(-LN(2)/2)*DH170+(1-EXP(-LN(2)/2))/(LN(2)/2)*DB171*DE171*VLOOKUP('Données projet'!$B$13,Paramètres!$A$1:$I$89,3,0)*0.475*44/12</f>
        <v>3.1467850595017232E-15</v>
      </c>
      <c r="DI171" s="22">
        <f t="shared" si="175"/>
        <v>14.786499990174034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-2.2737367544323206E-13</v>
      </c>
      <c r="DP171" s="17">
        <f>DO171*VLOOKUP('Données projet'!$B$14,Paramètres!$A$1:$I$89,3,0)*VLOOKUP('Données projet'!$B$14,Paramètres!$A$1:$I$89,5,0)</f>
        <v>-1.2710188457276673E-13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355.23615781077405</v>
      </c>
      <c r="DU171" s="59">
        <f t="shared" si="152"/>
        <v>448.84541017639367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30.482042148378721</v>
      </c>
      <c r="EB171" s="21">
        <f>EXP(-LN(2)/25)*EB170+(1-EXP(-LN(2)/25))/(LN(2)/25)*Calculateur!DW171*Calculateur!DY171*VLOOKUP('Données projet'!$B$14,Paramètres!$A$1:$I$89,3,0)*0.475*44/12</f>
        <v>3.225527196839125</v>
      </c>
      <c r="EC171" s="21">
        <f>EXP(-LN(2)/2)*EC170+(1-EXP(-LN(2)/2))/(LN(2)/2)*DW171*DZ171*VLOOKUP('Données projet'!$B$14,Paramètres!$A$1:$I$89,3,0)*0.475*44/12</f>
        <v>3.1264352437670613E-15</v>
      </c>
      <c r="ED171" s="22">
        <f t="shared" si="178"/>
        <v>33.707569345217848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1.1368683772161603E-13</v>
      </c>
      <c r="EK171" s="17">
        <f>EJ171*VLOOKUP('Données projet'!$B$15,Paramètres!$A$1:$I$89,3,0)*VLOOKUP('Données projet'!$B$15,Paramètres!$A$1:$I$89,5,0)</f>
        <v>1.223725121235475E-13</v>
      </c>
      <c r="EL171" s="13">
        <f t="shared" si="179"/>
        <v>1.7956824466038182E-12</v>
      </c>
      <c r="EM171" s="20">
        <f t="shared" si="180"/>
        <v>3.3406123864501612E-12</v>
      </c>
      <c r="EN171" s="59">
        <f t="shared" si="128"/>
        <v>293.33333333333667</v>
      </c>
      <c r="EO171" s="59">
        <f ca="1">AVERAGE(OFFSET($EN$3,0,0,'Données projet'!$E$15+1,1))-AVERAGE(OFFSET($H$3,0,0,'Données projet'!$E$15+1,1))</f>
        <v>130.76477588601989</v>
      </c>
      <c r="EP171" s="59">
        <f t="shared" si="154"/>
        <v>94.034011511502172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110.09991415171847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110.09991415171847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-2.2737367544323206E-13</v>
      </c>
      <c r="FF171" s="17">
        <f>FE171*VLOOKUP('Données projet'!$B$16,Paramètres!$A$1:$I$89,3,0)*VLOOKUP('Données projet'!$B$16,Paramètres!$A$1:$I$89,5,0)</f>
        <v>-1.0345502232667058E-13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279.43442619866738</v>
      </c>
      <c r="FK171" s="59">
        <f t="shared" si="156"/>
        <v>355.95192241448217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24.810964539378013</v>
      </c>
      <c r="FR171" s="21">
        <f>EXP(-LN(2)/25)*FR170+(1-EXP(-LN(2)/25))/(LN(2)/25)*Calculateur!FM171*Calculateur!FO171*VLOOKUP('Données projet'!$B$16,Paramètres!$A$1:$I$89,3,0)*0.475*44/12</f>
        <v>2.6254291137062657</v>
      </c>
      <c r="FS171" s="21">
        <f>EXP(-LN(2)/2)*FS170+(1-EXP(-LN(2)/2))/(LN(2)/2)*FM171*FP171*VLOOKUP('Données projet'!$B$16,Paramètres!$A$1:$I$89,3,0)*0.475*44/12</f>
        <v>2.5447728728336546E-15</v>
      </c>
      <c r="FT171" s="22">
        <f t="shared" si="184"/>
        <v>27.436393653084281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-6.7984728957526396E-14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227.89848316900191</v>
      </c>
      <c r="T172" s="59">
        <f t="shared" si="142"/>
        <v>239.85955661394541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16.549303414642939</v>
      </c>
      <c r="AA172" s="21">
        <f>EXP(-LN(2)/25)*AA171+(1-EXP(-LN(2)/25))/(LN(2)/25)*Calculateur!V172*Calculateur!X172*VLOOKUP('Données projet'!$B$9,Paramètres!$A$1:$I$89,3,0)*0.475*44/12</f>
        <v>1.6820518210604518</v>
      </c>
      <c r="AB172" s="21">
        <f>EXP(-LN(2)/2)*AB171+(1-EXP(-LN(2)/2))/(LN(2)/2)*V172*Y172*VLOOKUP('Données projet'!$B$9,Paramètres!$A$1:$I$89,3,0)*0.475*44/12</f>
        <v>2.8778272035416764E-15</v>
      </c>
      <c r="AC172" s="22">
        <f t="shared" si="163"/>
        <v>18.231355235703393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-5.6843418860808015E-14</v>
      </c>
      <c r="AJ172" s="13">
        <f>AI172*VLOOKUP('Données projet'!$B$10,Paramètres!$A$1:$I$89,3,0)*VLOOKUP('Données projet'!$B$10,Paramètres!$A$1:$I$89,5,0)</f>
        <v>-5.1431925385259088E-14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215.7418266360167</v>
      </c>
      <c r="AO172" s="59">
        <f t="shared" si="144"/>
        <v>155.78420008229949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84.092944220552852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84.092944220552852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2.2737367544323206E-13</v>
      </c>
      <c r="BE172" s="13">
        <f>BD172*VLOOKUP('Données projet'!$B$11,Paramètres!$A$1:$I$89,3,0)*VLOOKUP('Données projet'!$B$11,Paramètres!$A$1:$I$89,5,0)</f>
        <v>2.3055690689943731E-13</v>
      </c>
      <c r="BF172" s="13">
        <f t="shared" si="167"/>
        <v>3.142699285622457E-12</v>
      </c>
      <c r="BG172" s="20">
        <f t="shared" si="168"/>
        <v>5.8750878686422984E-12</v>
      </c>
      <c r="BH172" s="59">
        <f t="shared" si="116"/>
        <v>293.33333333333917</v>
      </c>
      <c r="BI172" s="59">
        <f ca="1">AVERAGE(OFFSET($BH$3,0,0,'Données projet'!$E$11+1,1))-AVERAGE(OFFSET($H$3,0,0,'Données projet'!$E$11+1,1))</f>
        <v>179.53921263314447</v>
      </c>
      <c r="BJ172" s="59">
        <f t="shared" si="146"/>
        <v>120.81513023281337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127.10434654563041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127.10434654563041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500.00000000000045</v>
      </c>
      <c r="BZ172" s="13">
        <f>BY172*VLOOKUP('Données projet'!$B$12,Paramètres!$A$1:$I$89,3,0)*VLOOKUP('Données projet'!$B$12,Paramètres!$A$1:$I$89,5,0)</f>
        <v>234.00000000000023</v>
      </c>
      <c r="CA172" s="13">
        <f t="shared" si="170"/>
        <v>57.146705242557189</v>
      </c>
      <c r="CB172" s="20">
        <f t="shared" si="171"/>
        <v>507.08051163078744</v>
      </c>
      <c r="CC172" s="59">
        <f t="shared" si="119"/>
        <v>800.4138449641207</v>
      </c>
      <c r="CD172" s="59">
        <f ca="1">AVERAGE(OFFSET($CC$3,0,0,'Données projet'!$E$12+1,1))-AVERAGE(OFFSET($H$3,0,0,'Données projet'!$E$12+1,1))</f>
        <v>310.06530483941287</v>
      </c>
      <c r="CE172" s="59">
        <f t="shared" si="148"/>
        <v>170.13425794309376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28.959523701510523</v>
      </c>
      <c r="CL172" s="21">
        <f>EXP(-LN(2)/25)*CL171+(1-EXP(-LN(2)/25))/(LN(2)/25)*Calculateur!CG172*Calculateur!CI172*VLOOKUP('Données projet'!$B$12,Paramètres!$A$1:$I$89,3,0)*0.475*44/12</f>
        <v>3.5517038921014632</v>
      </c>
      <c r="CM172" s="21">
        <f>EXP(-LN(2)/2)*CM171+(1-EXP(-LN(2)/2))/(LN(2)/2)*CG172*CJ172*VLOOKUP('Données projet'!$B$12,Paramètres!$A$1:$I$89,3,0)*0.475*44/12</f>
        <v>3.0273680047494818E-10</v>
      </c>
      <c r="CN172" s="22">
        <f t="shared" si="172"/>
        <v>32.511227593914718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168.08890945052406</v>
      </c>
      <c r="CZ172" s="59">
        <f t="shared" si="150"/>
        <v>182.52462557642343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13.095127359491391</v>
      </c>
      <c r="DG172" s="21">
        <f>EXP(-LN(2)/25)*DG171+(1-EXP(-LN(2)/25))/(LN(2)/25)*Calculateur!DB172*Calculateur!DD172*VLOOKUP('Données projet'!$B$13,Paramètres!$A$1:$I$89,3,0)*0.475*44/12</f>
        <v>1.3903606496242817</v>
      </c>
      <c r="DH172" s="21">
        <f>EXP(-LN(2)/2)*DH171+(1-EXP(-LN(2)/2))/(LN(2)/2)*DB172*DE172*VLOOKUP('Données projet'!$B$13,Paramètres!$A$1:$I$89,3,0)*0.475*44/12</f>
        <v>2.2251130545101819E-15</v>
      </c>
      <c r="DI172" s="22">
        <f t="shared" si="175"/>
        <v>14.485488009115675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-2.2737367544323206E-13</v>
      </c>
      <c r="DP172" s="17">
        <f>DO172*VLOOKUP('Données projet'!$B$14,Paramètres!$A$1:$I$89,3,0)*VLOOKUP('Données projet'!$B$14,Paramètres!$A$1:$I$89,5,0)</f>
        <v>-1.2710188457276673E-13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355.23615781077405</v>
      </c>
      <c r="DU172" s="59">
        <f t="shared" si="152"/>
        <v>448.84541017639367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29.884307894058896</v>
      </c>
      <c r="EB172" s="21">
        <f>EXP(-LN(2)/25)*EB171+(1-EXP(-LN(2)/25))/(LN(2)/25)*Calculateur!DW172*Calculateur!DY172*VLOOKUP('Données projet'!$B$14,Paramètres!$A$1:$I$89,3,0)*0.475*44/12</f>
        <v>3.1373249860184558</v>
      </c>
      <c r="EC172" s="21">
        <f>EXP(-LN(2)/2)*EC171+(1-EXP(-LN(2)/2))/(LN(2)/2)*DW172*DZ172*VLOOKUP('Données projet'!$B$14,Paramètres!$A$1:$I$89,3,0)*0.475*44/12</f>
        <v>2.2107235618083058E-15</v>
      </c>
      <c r="ED172" s="22">
        <f t="shared" si="178"/>
        <v>33.021632880077348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1.1368683772161603E-13</v>
      </c>
      <c r="EK172" s="17">
        <f>EJ172*VLOOKUP('Données projet'!$B$15,Paramètres!$A$1:$I$89,3,0)*VLOOKUP('Données projet'!$B$15,Paramètres!$A$1:$I$89,5,0)</f>
        <v>1.223725121235475E-13</v>
      </c>
      <c r="EL172" s="13">
        <f t="shared" si="179"/>
        <v>1.7956824466038182E-12</v>
      </c>
      <c r="EM172" s="20">
        <f t="shared" si="180"/>
        <v>3.3406123864501612E-12</v>
      </c>
      <c r="EN172" s="59">
        <f t="shared" si="128"/>
        <v>293.33333333333667</v>
      </c>
      <c r="EO172" s="59">
        <f ca="1">AVERAGE(OFFSET($EN$3,0,0,'Données projet'!$E$15+1,1))-AVERAGE(OFFSET($H$3,0,0,'Données projet'!$E$15+1,1))</f>
        <v>130.76477588601989</v>
      </c>
      <c r="EP172" s="59">
        <f t="shared" si="154"/>
        <v>94.034011511502172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107.94092198951996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107.94092198951996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-2.2737367544323206E-13</v>
      </c>
      <c r="FF172" s="17">
        <f>FE172*VLOOKUP('Données projet'!$B$16,Paramètres!$A$1:$I$89,3,0)*VLOOKUP('Données projet'!$B$16,Paramètres!$A$1:$I$89,5,0)</f>
        <v>-1.0345502232667058E-13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279.43442619866738</v>
      </c>
      <c r="FK172" s="59">
        <f t="shared" si="156"/>
        <v>355.95192241448217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24.324436657954902</v>
      </c>
      <c r="FR172" s="21">
        <f>EXP(-LN(2)/25)*FR171+(1-EXP(-LN(2)/25))/(LN(2)/25)*Calculateur!FM172*Calculateur!FO172*VLOOKUP('Données projet'!$B$16,Paramètres!$A$1:$I$89,3,0)*0.475*44/12</f>
        <v>2.5536366165266515</v>
      </c>
      <c r="FS172" s="21">
        <f>EXP(-LN(2)/2)*FS171+(1-EXP(-LN(2)/2))/(LN(2)/2)*FM172*FP172*VLOOKUP('Données projet'!$B$16,Paramètres!$A$1:$I$89,3,0)*0.475*44/12</f>
        <v>1.7994261549602489E-15</v>
      </c>
      <c r="FT172" s="22">
        <f t="shared" si="184"/>
        <v>26.878073274481558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-6.7984728957526396E-14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227.89848316900191</v>
      </c>
      <c r="T173" s="59">
        <f t="shared" si="142"/>
        <v>239.85955661394541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16.224781668760166</v>
      </c>
      <c r="AA173" s="21">
        <f>EXP(-LN(2)/25)*AA172+(1-EXP(-LN(2)/25))/(LN(2)/25)*Calculateur!V173*Calculateur!X173*VLOOKUP('Données projet'!$B$9,Paramètres!$A$1:$I$89,3,0)*0.475*44/12</f>
        <v>1.6360560255582928</v>
      </c>
      <c r="AB173" s="21">
        <f>EXP(-LN(2)/2)*AB172+(1-EXP(-LN(2)/2))/(LN(2)/2)*V173*Y173*VLOOKUP('Données projet'!$B$9,Paramètres!$A$1:$I$89,3,0)*0.475*44/12</f>
        <v>2.0349311307074381E-15</v>
      </c>
      <c r="AC173" s="22">
        <f t="shared" si="163"/>
        <v>17.860837694318462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-5.6843418860808015E-14</v>
      </c>
      <c r="AJ173" s="13">
        <f>AI173*VLOOKUP('Données projet'!$B$10,Paramètres!$A$1:$I$89,3,0)*VLOOKUP('Données projet'!$B$10,Paramètres!$A$1:$I$89,5,0)</f>
        <v>-5.1431925385259088E-14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215.7418266360167</v>
      </c>
      <c r="AO173" s="59">
        <f t="shared" si="144"/>
        <v>155.78420008229949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82.443932876019161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82.443932876019161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2.2737367544323206E-13</v>
      </c>
      <c r="BE173" s="13">
        <f>BD173*VLOOKUP('Données projet'!$B$11,Paramètres!$A$1:$I$89,3,0)*VLOOKUP('Données projet'!$B$11,Paramètres!$A$1:$I$89,5,0)</f>
        <v>2.3055690689943731E-13</v>
      </c>
      <c r="BF173" s="13">
        <f t="shared" si="167"/>
        <v>3.142699285622457E-12</v>
      </c>
      <c r="BG173" s="20">
        <f t="shared" si="168"/>
        <v>5.8750878686422984E-12</v>
      </c>
      <c r="BH173" s="59">
        <f t="shared" si="116"/>
        <v>293.33333333333917</v>
      </c>
      <c r="BI173" s="59">
        <f ca="1">AVERAGE(OFFSET($BH$3,0,0,'Données projet'!$E$11+1,1))-AVERAGE(OFFSET($H$3,0,0,'Données projet'!$E$11+1,1))</f>
        <v>179.53921263314447</v>
      </c>
      <c r="BJ173" s="59">
        <f t="shared" si="146"/>
        <v>120.81513023281337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124.61190783586693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124.61190783586693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500.00000000000045</v>
      </c>
      <c r="BZ173" s="13">
        <f>BY173*VLOOKUP('Données projet'!$B$12,Paramètres!$A$1:$I$89,3,0)*VLOOKUP('Données projet'!$B$12,Paramètres!$A$1:$I$89,5,0)</f>
        <v>234.00000000000023</v>
      </c>
      <c r="CA173" s="13">
        <f t="shared" si="170"/>
        <v>57.146705242557189</v>
      </c>
      <c r="CB173" s="20">
        <f t="shared" si="171"/>
        <v>507.08051163078744</v>
      </c>
      <c r="CC173" s="59">
        <f t="shared" si="119"/>
        <v>800.4138449641207</v>
      </c>
      <c r="CD173" s="59">
        <f ca="1">AVERAGE(OFFSET($CC$3,0,0,'Données projet'!$E$12+1,1))-AVERAGE(OFFSET($H$3,0,0,'Données projet'!$E$12+1,1))</f>
        <v>310.06530483941287</v>
      </c>
      <c r="CE173" s="59">
        <f t="shared" si="148"/>
        <v>170.13425794309376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28.391645105289228</v>
      </c>
      <c r="CL173" s="21">
        <f>EXP(-LN(2)/25)*CL172+(1-EXP(-LN(2)/25))/(LN(2)/25)*Calculateur!CG173*Calculateur!CI173*VLOOKUP('Données projet'!$B$12,Paramètres!$A$1:$I$89,3,0)*0.475*44/12</f>
        <v>3.4545823623959584</v>
      </c>
      <c r="CM173" s="21">
        <f>EXP(-LN(2)/2)*CM172+(1-EXP(-LN(2)/2))/(LN(2)/2)*CG173*CJ173*VLOOKUP('Données projet'!$B$12,Paramètres!$A$1:$I$89,3,0)*0.475*44/12</f>
        <v>2.1406724453055468E-10</v>
      </c>
      <c r="CN173" s="22">
        <f t="shared" si="172"/>
        <v>31.846227467899254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168.08890945052406</v>
      </c>
      <c r="CZ173" s="59">
        <f t="shared" si="150"/>
        <v>182.52462557642343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12.83833989921078</v>
      </c>
      <c r="DG173" s="21">
        <f>EXP(-LN(2)/25)*DG172+(1-EXP(-LN(2)/25))/(LN(2)/25)*Calculateur!DB173*Calculateur!DD173*VLOOKUP('Données projet'!$B$13,Paramètres!$A$1:$I$89,3,0)*0.475*44/12</f>
        <v>1.352341164544417</v>
      </c>
      <c r="DH173" s="21">
        <f>EXP(-LN(2)/2)*DH172+(1-EXP(-LN(2)/2))/(LN(2)/2)*DB173*DE173*VLOOKUP('Données projet'!$B$13,Paramètres!$A$1:$I$89,3,0)*0.475*44/12</f>
        <v>1.5733925297508616E-15</v>
      </c>
      <c r="DI173" s="22">
        <f t="shared" si="175"/>
        <v>14.190681063755198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-2.2737367544323206E-13</v>
      </c>
      <c r="DP173" s="17">
        <f>DO173*VLOOKUP('Données projet'!$B$14,Paramètres!$A$1:$I$89,3,0)*VLOOKUP('Données projet'!$B$14,Paramètres!$A$1:$I$89,5,0)</f>
        <v>-1.2710188457276673E-13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355.23615781077405</v>
      </c>
      <c r="DU173" s="59">
        <f t="shared" si="152"/>
        <v>448.84541017639367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29.298294843884388</v>
      </c>
      <c r="EB173" s="21">
        <f>EXP(-LN(2)/25)*EB172+(1-EXP(-LN(2)/25))/(LN(2)/25)*Calculateur!DW173*Calculateur!DY173*VLOOKUP('Données projet'!$B$14,Paramètres!$A$1:$I$89,3,0)*0.475*44/12</f>
        <v>3.0515346692910303</v>
      </c>
      <c r="EC173" s="21">
        <f>EXP(-LN(2)/2)*EC172+(1-EXP(-LN(2)/2))/(LN(2)/2)*DW173*DZ173*VLOOKUP('Données projet'!$B$14,Paramètres!$A$1:$I$89,3,0)*0.475*44/12</f>
        <v>1.5632176218835307E-15</v>
      </c>
      <c r="ED173" s="22">
        <f t="shared" si="178"/>
        <v>32.349829513175422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1.1368683772161603E-13</v>
      </c>
      <c r="EK173" s="17">
        <f>EJ173*VLOOKUP('Données projet'!$B$15,Paramètres!$A$1:$I$89,3,0)*VLOOKUP('Données projet'!$B$15,Paramètres!$A$1:$I$89,5,0)</f>
        <v>1.223725121235475E-13</v>
      </c>
      <c r="EL173" s="13">
        <f t="shared" si="179"/>
        <v>1.7956824466038182E-12</v>
      </c>
      <c r="EM173" s="20">
        <f t="shared" si="180"/>
        <v>3.3406123864501612E-12</v>
      </c>
      <c r="EN173" s="59">
        <f t="shared" si="128"/>
        <v>293.33333333333667</v>
      </c>
      <c r="EO173" s="59">
        <f ca="1">AVERAGE(OFFSET($EN$3,0,0,'Données projet'!$E$15+1,1))-AVERAGE(OFFSET($H$3,0,0,'Données projet'!$E$15+1,1))</f>
        <v>130.76477588601989</v>
      </c>
      <c r="EP173" s="59">
        <f t="shared" si="154"/>
        <v>94.034011511502172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105.82426634676698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105.82426634676698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-2.2737367544323206E-13</v>
      </c>
      <c r="FF173" s="17">
        <f>FE173*VLOOKUP('Données projet'!$B$16,Paramètres!$A$1:$I$89,3,0)*VLOOKUP('Données projet'!$B$16,Paramètres!$A$1:$I$89,5,0)</f>
        <v>-1.0345502232667058E-13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279.43442619866738</v>
      </c>
      <c r="FK173" s="59">
        <f t="shared" si="156"/>
        <v>355.95192241448217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23.847449291533792</v>
      </c>
      <c r="FR173" s="21">
        <f>EXP(-LN(2)/25)*FR172+(1-EXP(-LN(2)/25))/(LN(2)/25)*Calculateur!FM173*Calculateur!FO173*VLOOKUP('Données projet'!$B$16,Paramètres!$A$1:$I$89,3,0)*0.475*44/12</f>
        <v>2.4838072889578169</v>
      </c>
      <c r="FS173" s="21">
        <f>EXP(-LN(2)/2)*FS172+(1-EXP(-LN(2)/2))/(LN(2)/2)*FM173*FP173*VLOOKUP('Données projet'!$B$16,Paramètres!$A$1:$I$89,3,0)*0.475*44/12</f>
        <v>1.2723864364168273E-15</v>
      </c>
      <c r="FT173" s="22">
        <f t="shared" si="184"/>
        <v>26.331256580491608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-6.7984728957526396E-14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227.89848316900191</v>
      </c>
      <c r="T174" s="59">
        <f t="shared" si="142"/>
        <v>239.85955661394541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15.906623596375434</v>
      </c>
      <c r="AA174" s="21">
        <f>EXP(-LN(2)/25)*AA173+(1-EXP(-LN(2)/25))/(LN(2)/25)*Calculateur!V174*Calculateur!X174*VLOOKUP('Données projet'!$B$9,Paramètres!$A$1:$I$89,3,0)*0.475*44/12</f>
        <v>1.5913179875029542</v>
      </c>
      <c r="AB174" s="21">
        <f>EXP(-LN(2)/2)*AB173+(1-EXP(-LN(2)/2))/(LN(2)/2)*V174*Y174*VLOOKUP('Données projet'!$B$9,Paramètres!$A$1:$I$89,3,0)*0.475*44/12</f>
        <v>1.4389136017708382E-15</v>
      </c>
      <c r="AC174" s="22">
        <f t="shared" si="163"/>
        <v>17.497941583878386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-5.6843418860808015E-14</v>
      </c>
      <c r="AJ174" s="13">
        <f>AI174*VLOOKUP('Données projet'!$B$10,Paramètres!$A$1:$I$89,3,0)*VLOOKUP('Données projet'!$B$10,Paramètres!$A$1:$I$89,5,0)</f>
        <v>-5.1431925385259088E-14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215.7418266360167</v>
      </c>
      <c r="AO174" s="59">
        <f t="shared" si="144"/>
        <v>155.78420008229949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80.827257638154165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80.827257638154165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2.2737367544323206E-13</v>
      </c>
      <c r="BE174" s="13">
        <f>BD174*VLOOKUP('Données projet'!$B$11,Paramètres!$A$1:$I$89,3,0)*VLOOKUP('Données projet'!$B$11,Paramètres!$A$1:$I$89,5,0)</f>
        <v>2.3055690689943731E-13</v>
      </c>
      <c r="BF174" s="13">
        <f t="shared" si="167"/>
        <v>3.142699285622457E-12</v>
      </c>
      <c r="BG174" s="20">
        <f t="shared" si="168"/>
        <v>5.8750878686422984E-12</v>
      </c>
      <c r="BH174" s="59">
        <f t="shared" si="116"/>
        <v>293.33333333333917</v>
      </c>
      <c r="BI174" s="59">
        <f ca="1">AVERAGE(OFFSET($BH$3,0,0,'Données projet'!$E$11+1,1))-AVERAGE(OFFSET($H$3,0,0,'Données projet'!$E$11+1,1))</f>
        <v>179.53921263314447</v>
      </c>
      <c r="BJ174" s="59">
        <f t="shared" si="146"/>
        <v>120.81513023281337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122.16834432896441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122.16834432896441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500.00000000000045</v>
      </c>
      <c r="BZ174" s="13">
        <f>BY174*VLOOKUP('Données projet'!$B$12,Paramètres!$A$1:$I$89,3,0)*VLOOKUP('Données projet'!$B$12,Paramètres!$A$1:$I$89,5,0)</f>
        <v>234.00000000000023</v>
      </c>
      <c r="CA174" s="13">
        <f t="shared" si="170"/>
        <v>57.146705242557189</v>
      </c>
      <c r="CB174" s="20">
        <f t="shared" si="171"/>
        <v>507.08051163078744</v>
      </c>
      <c r="CC174" s="59">
        <f t="shared" si="119"/>
        <v>800.4138449641207</v>
      </c>
      <c r="CD174" s="59">
        <f ca="1">AVERAGE(OFFSET($CC$3,0,0,'Données projet'!$E$12+1,1))-AVERAGE(OFFSET($H$3,0,0,'Données projet'!$E$12+1,1))</f>
        <v>310.06530483941287</v>
      </c>
      <c r="CE174" s="59">
        <f t="shared" si="148"/>
        <v>170.13425794309376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27.834902261968089</v>
      </c>
      <c r="CL174" s="21">
        <f>EXP(-LN(2)/25)*CL173+(1-EXP(-LN(2)/25))/(LN(2)/25)*Calculateur!CG174*Calculateur!CI174*VLOOKUP('Données projet'!$B$12,Paramètres!$A$1:$I$89,3,0)*0.475*44/12</f>
        <v>3.3601166260276498</v>
      </c>
      <c r="CM174" s="21">
        <f>EXP(-LN(2)/2)*CM173+(1-EXP(-LN(2)/2))/(LN(2)/2)*CG174*CJ174*VLOOKUP('Données projet'!$B$12,Paramètres!$A$1:$I$89,3,0)*0.475*44/12</f>
        <v>1.5136840023747409E-10</v>
      </c>
      <c r="CN174" s="22">
        <f t="shared" si="172"/>
        <v>31.195018888147107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168.08890945052406</v>
      </c>
      <c r="CZ174" s="59">
        <f t="shared" si="150"/>
        <v>182.52462557642343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12.586587884401386</v>
      </c>
      <c r="DG174" s="21">
        <f>EXP(-LN(2)/25)*DG173+(1-EXP(-LN(2)/25))/(LN(2)/25)*Calculateur!DB174*Calculateur!DD174*VLOOKUP('Données projet'!$B$13,Paramètres!$A$1:$I$89,3,0)*0.475*44/12</f>
        <v>1.3153613242834188</v>
      </c>
      <c r="DH174" s="21">
        <f>EXP(-LN(2)/2)*DH173+(1-EXP(-LN(2)/2))/(LN(2)/2)*DB174*DE174*VLOOKUP('Données projet'!$B$13,Paramètres!$A$1:$I$89,3,0)*0.475*44/12</f>
        <v>1.1125565272550909E-15</v>
      </c>
      <c r="DI174" s="22">
        <f t="shared" si="175"/>
        <v>13.901949208684806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-2.2737367544323206E-13</v>
      </c>
      <c r="DP174" s="17">
        <f>DO174*VLOOKUP('Données projet'!$B$14,Paramètres!$A$1:$I$89,3,0)*VLOOKUP('Données projet'!$B$14,Paramètres!$A$1:$I$89,5,0)</f>
        <v>-1.2710188457276673E-13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355.23615781077405</v>
      </c>
      <c r="DU174" s="59">
        <f t="shared" si="152"/>
        <v>448.84541017639367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28.723773152191136</v>
      </c>
      <c r="EB174" s="21">
        <f>EXP(-LN(2)/25)*EB173+(1-EXP(-LN(2)/25))/(LN(2)/25)*Calculateur!DW174*Calculateur!DY174*VLOOKUP('Données projet'!$B$14,Paramètres!$A$1:$I$89,3,0)*0.475*44/12</f>
        <v>2.9680902932860334</v>
      </c>
      <c r="EC174" s="21">
        <f>EXP(-LN(2)/2)*EC173+(1-EXP(-LN(2)/2))/(LN(2)/2)*DW174*DZ174*VLOOKUP('Données projet'!$B$14,Paramètres!$A$1:$I$89,3,0)*0.475*44/12</f>
        <v>1.1053617809041529E-15</v>
      </c>
      <c r="ED174" s="22">
        <f t="shared" si="178"/>
        <v>31.691863445477168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1.1368683772161603E-13</v>
      </c>
      <c r="EK174" s="17">
        <f>EJ174*VLOOKUP('Données projet'!$B$15,Paramètres!$A$1:$I$89,3,0)*VLOOKUP('Données projet'!$B$15,Paramètres!$A$1:$I$89,5,0)</f>
        <v>1.223725121235475E-13</v>
      </c>
      <c r="EL174" s="13">
        <f t="shared" si="179"/>
        <v>1.7956824466038182E-12</v>
      </c>
      <c r="EM174" s="20">
        <f t="shared" si="180"/>
        <v>3.3406123864501612E-12</v>
      </c>
      <c r="EN174" s="59">
        <f t="shared" si="128"/>
        <v>293.33333333333667</v>
      </c>
      <c r="EO174" s="59">
        <f ca="1">AVERAGE(OFFSET($EN$3,0,0,'Données projet'!$E$15+1,1))-AVERAGE(OFFSET($H$3,0,0,'Données projet'!$E$15+1,1))</f>
        <v>130.76477588601989</v>
      </c>
      <c r="EP174" s="59">
        <f t="shared" si="154"/>
        <v>94.034011511502172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103.74911703013592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103.74911703013592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-2.2737367544323206E-13</v>
      </c>
      <c r="FF174" s="17">
        <f>FE174*VLOOKUP('Données projet'!$B$16,Paramètres!$A$1:$I$89,3,0)*VLOOKUP('Données projet'!$B$16,Paramètres!$A$1:$I$89,5,0)</f>
        <v>-1.0345502232667058E-13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279.43442619866738</v>
      </c>
      <c r="FK174" s="59">
        <f t="shared" si="156"/>
        <v>355.95192241448217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23.379815356434634</v>
      </c>
      <c r="FR174" s="21">
        <f>EXP(-LN(2)/25)*FR173+(1-EXP(-LN(2)/25))/(LN(2)/25)*Calculateur!FM174*Calculateur!FO174*VLOOKUP('Données projet'!$B$16,Paramètres!$A$1:$I$89,3,0)*0.475*44/12</f>
        <v>2.4158874480235171</v>
      </c>
      <c r="FS174" s="21">
        <f>EXP(-LN(2)/2)*FS173+(1-EXP(-LN(2)/2))/(LN(2)/2)*FM174*FP174*VLOOKUP('Données projet'!$B$16,Paramètres!$A$1:$I$89,3,0)*0.475*44/12</f>
        <v>8.9971307748012447E-16</v>
      </c>
      <c r="FT174" s="22">
        <f t="shared" si="184"/>
        <v>25.795702804458152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-6.7984728957526396E-14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227.89848316900191</v>
      </c>
      <c r="T175" s="59">
        <f t="shared" si="142"/>
        <v>239.85955661394541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15.594704409732904</v>
      </c>
      <c r="AA175" s="21">
        <f>EXP(-LN(2)/25)*AA174+(1-EXP(-LN(2)/25))/(LN(2)/25)*Calculateur!V175*Calculateur!X175*VLOOKUP('Données projet'!$B$9,Paramètres!$A$1:$I$89,3,0)*0.475*44/12</f>
        <v>1.5478033134509099</v>
      </c>
      <c r="AB175" s="21">
        <f>EXP(-LN(2)/2)*AB174+(1-EXP(-LN(2)/2))/(LN(2)/2)*V175*Y175*VLOOKUP('Données projet'!$B$9,Paramètres!$A$1:$I$89,3,0)*0.475*44/12</f>
        <v>1.0174655653537191E-15</v>
      </c>
      <c r="AC175" s="22">
        <f t="shared" si="163"/>
        <v>17.142507723183815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-5.6843418860808015E-14</v>
      </c>
      <c r="AJ175" s="13">
        <f>AI175*VLOOKUP('Données projet'!$B$10,Paramètres!$A$1:$I$89,3,0)*VLOOKUP('Données projet'!$B$10,Paramètres!$A$1:$I$89,5,0)</f>
        <v>-5.1431925385259088E-14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215.7418266360167</v>
      </c>
      <c r="AO175" s="59">
        <f t="shared" si="144"/>
        <v>155.78420008229949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79.242284415629172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79.242284415629172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2.2737367544323206E-13</v>
      </c>
      <c r="BE175" s="13">
        <f>BD175*VLOOKUP('Données projet'!$B$11,Paramètres!$A$1:$I$89,3,0)*VLOOKUP('Données projet'!$B$11,Paramètres!$A$1:$I$89,5,0)</f>
        <v>2.3055690689943731E-13</v>
      </c>
      <c r="BF175" s="13">
        <f t="shared" si="167"/>
        <v>3.142699285622457E-12</v>
      </c>
      <c r="BG175" s="20">
        <f t="shared" si="168"/>
        <v>5.8750878686422984E-12</v>
      </c>
      <c r="BH175" s="59">
        <f t="shared" si="116"/>
        <v>293.33333333333917</v>
      </c>
      <c r="BI175" s="59">
        <f ca="1">AVERAGE(OFFSET($BH$3,0,0,'Données projet'!$E$11+1,1))-AVERAGE(OFFSET($H$3,0,0,'Données projet'!$E$11+1,1))</f>
        <v>179.53921263314447</v>
      </c>
      <c r="BJ175" s="59">
        <f t="shared" si="146"/>
        <v>120.81513023281337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119.77269761200569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119.77269761200569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500.00000000000045</v>
      </c>
      <c r="BZ175" s="13">
        <f>BY175*VLOOKUP('Données projet'!$B$12,Paramètres!$A$1:$I$89,3,0)*VLOOKUP('Données projet'!$B$12,Paramètres!$A$1:$I$89,5,0)</f>
        <v>234.00000000000023</v>
      </c>
      <c r="CA175" s="13">
        <f t="shared" si="170"/>
        <v>57.146705242557189</v>
      </c>
      <c r="CB175" s="20">
        <f t="shared" si="171"/>
        <v>507.08051163078744</v>
      </c>
      <c r="CC175" s="59">
        <f t="shared" si="119"/>
        <v>800.4138449641207</v>
      </c>
      <c r="CD175" s="59">
        <f ca="1">AVERAGE(OFFSET($CC$3,0,0,'Données projet'!$E$12+1,1))-AVERAGE(OFFSET($H$3,0,0,'Données projet'!$E$12+1,1))</f>
        <v>310.06530483941287</v>
      </c>
      <c r="CE175" s="59">
        <f t="shared" si="148"/>
        <v>170.13425794309376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27.289076806224873</v>
      </c>
      <c r="CL175" s="21">
        <f>EXP(-LN(2)/25)*CL174+(1-EXP(-LN(2)/25))/(LN(2)/25)*Calculateur!CG175*Calculateur!CI175*VLOOKUP('Données projet'!$B$12,Paramètres!$A$1:$I$89,3,0)*0.475*44/12</f>
        <v>3.2682340601880702</v>
      </c>
      <c r="CM175" s="21">
        <f>EXP(-LN(2)/2)*CM174+(1-EXP(-LN(2)/2))/(LN(2)/2)*CG175*CJ175*VLOOKUP('Données projet'!$B$12,Paramètres!$A$1:$I$89,3,0)*0.475*44/12</f>
        <v>1.0703362226527734E-10</v>
      </c>
      <c r="CN175" s="22">
        <f t="shared" si="172"/>
        <v>30.557310866519977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168.08890945052406</v>
      </c>
      <c r="CZ175" s="59">
        <f t="shared" si="150"/>
        <v>182.52462557642343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12.339772573048837</v>
      </c>
      <c r="DG175" s="21">
        <f>EXP(-LN(2)/25)*DG174+(1-EXP(-LN(2)/25))/(LN(2)/25)*Calculateur!DB175*Calculateur!DD175*VLOOKUP('Données projet'!$B$13,Paramètres!$A$1:$I$89,3,0)*0.475*44/12</f>
        <v>1.279392699699043</v>
      </c>
      <c r="DH175" s="21">
        <f>EXP(-LN(2)/2)*DH174+(1-EXP(-LN(2)/2))/(LN(2)/2)*DB175*DE175*VLOOKUP('Données projet'!$B$13,Paramètres!$A$1:$I$89,3,0)*0.475*44/12</f>
        <v>7.866962648754308E-16</v>
      </c>
      <c r="DI175" s="22">
        <f t="shared" si="175"/>
        <v>13.61916527274788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-2.2737367544323206E-13</v>
      </c>
      <c r="DP175" s="17">
        <f>DO175*VLOOKUP('Données projet'!$B$14,Paramètres!$A$1:$I$89,3,0)*VLOOKUP('Données projet'!$B$14,Paramètres!$A$1:$I$89,5,0)</f>
        <v>-1.2710188457276673E-13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355.23615781077405</v>
      </c>
      <c r="DU175" s="59">
        <f t="shared" si="152"/>
        <v>448.84541017639367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28.160517480448355</v>
      </c>
      <c r="EB175" s="21">
        <f>EXP(-LN(2)/25)*EB174+(1-EXP(-LN(2)/25))/(LN(2)/25)*Calculateur!DW175*Calculateur!DY175*VLOOKUP('Données projet'!$B$14,Paramètres!$A$1:$I$89,3,0)*0.475*44/12</f>
        <v>2.8869277081310418</v>
      </c>
      <c r="EC175" s="21">
        <f>EXP(-LN(2)/2)*EC174+(1-EXP(-LN(2)/2))/(LN(2)/2)*DW175*DZ175*VLOOKUP('Données projet'!$B$14,Paramètres!$A$1:$I$89,3,0)*0.475*44/12</f>
        <v>7.8160881094176533E-16</v>
      </c>
      <c r="ED175" s="22">
        <f t="shared" si="178"/>
        <v>31.047445188579395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1.1368683772161603E-13</v>
      </c>
      <c r="EK175" s="17">
        <f>EJ175*VLOOKUP('Données projet'!$B$15,Paramètres!$A$1:$I$89,3,0)*VLOOKUP('Données projet'!$B$15,Paramètres!$A$1:$I$89,5,0)</f>
        <v>1.223725121235475E-13</v>
      </c>
      <c r="EL175" s="13">
        <f t="shared" si="179"/>
        <v>1.7956824466038182E-12</v>
      </c>
      <c r="EM175" s="20">
        <f t="shared" si="180"/>
        <v>3.3406123864501612E-12</v>
      </c>
      <c r="EN175" s="59">
        <f t="shared" si="128"/>
        <v>293.33333333333667</v>
      </c>
      <c r="EO175" s="59">
        <f ca="1">AVERAGE(OFFSET($EN$3,0,0,'Données projet'!$E$15+1,1))-AVERAGE(OFFSET($H$3,0,0,'Données projet'!$E$15+1,1))</f>
        <v>130.76477588601989</v>
      </c>
      <c r="EP175" s="59">
        <f t="shared" si="154"/>
        <v>94.034011511502172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101.71466012588789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101.71466012588789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-2.2737367544323206E-13</v>
      </c>
      <c r="FF175" s="17">
        <f>FE175*VLOOKUP('Données projet'!$B$16,Paramètres!$A$1:$I$89,3,0)*VLOOKUP('Données projet'!$B$16,Paramètres!$A$1:$I$89,5,0)</f>
        <v>-1.0345502232667058E-13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279.43442619866738</v>
      </c>
      <c r="FK175" s="59">
        <f t="shared" si="156"/>
        <v>355.95192241448217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22.921351437574231</v>
      </c>
      <c r="FR175" s="21">
        <f>EXP(-LN(2)/25)*FR174+(1-EXP(-LN(2)/25))/(LN(2)/25)*Calculateur!FM175*Calculateur!FO175*VLOOKUP('Données projet'!$B$16,Paramètres!$A$1:$I$89,3,0)*0.475*44/12</f>
        <v>2.3498248787113147</v>
      </c>
      <c r="FS175" s="21">
        <f>EXP(-LN(2)/2)*FS174+(1-EXP(-LN(2)/2))/(LN(2)/2)*FM175*FP175*VLOOKUP('Données projet'!$B$16,Paramètres!$A$1:$I$89,3,0)*0.475*44/12</f>
        <v>6.3619321820841366E-16</v>
      </c>
      <c r="FT175" s="22">
        <f t="shared" si="184"/>
        <v>25.271176316285544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-6.7984728957526396E-14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227.89848316900191</v>
      </c>
      <c r="T176" s="59">
        <f t="shared" si="142"/>
        <v>239.85955661394541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15.288901768088516</v>
      </c>
      <c r="AA176" s="21">
        <f>EXP(-LN(2)/25)*AA175+(1-EXP(-LN(2)/25))/(LN(2)/25)*Calculateur!V176*Calculateur!X176*VLOOKUP('Données projet'!$B$9,Paramètres!$A$1:$I$89,3,0)*0.475*44/12</f>
        <v>1.5054785504491561</v>
      </c>
      <c r="AB176" s="21">
        <f>EXP(-LN(2)/2)*AB175+(1-EXP(-LN(2)/2))/(LN(2)/2)*V176*Y176*VLOOKUP('Données projet'!$B$9,Paramètres!$A$1:$I$89,3,0)*0.475*44/12</f>
        <v>7.194568008854191E-16</v>
      </c>
      <c r="AC176" s="22">
        <f t="shared" si="163"/>
        <v>16.794380318537673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-5.6843418860808015E-14</v>
      </c>
      <c r="AJ176" s="13">
        <f>AI176*VLOOKUP('Données projet'!$B$10,Paramètres!$A$1:$I$89,3,0)*VLOOKUP('Données projet'!$B$10,Paramètres!$A$1:$I$89,5,0)</f>
        <v>-5.1431925385259088E-14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215.7418266360167</v>
      </c>
      <c r="AO176" s="59">
        <f t="shared" si="144"/>
        <v>155.78420008229949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77.688391551259684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77.688391551259684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2.2737367544323206E-13</v>
      </c>
      <c r="BE176" s="13">
        <f>BD176*VLOOKUP('Données projet'!$B$11,Paramètres!$A$1:$I$89,3,0)*VLOOKUP('Données projet'!$B$11,Paramètres!$A$1:$I$89,5,0)</f>
        <v>2.3055690689943731E-13</v>
      </c>
      <c r="BF176" s="13">
        <f t="shared" si="167"/>
        <v>3.142699285622457E-12</v>
      </c>
      <c r="BG176" s="20">
        <f t="shared" si="168"/>
        <v>5.8750878686422984E-12</v>
      </c>
      <c r="BH176" s="59">
        <f t="shared" si="116"/>
        <v>293.33333333333917</v>
      </c>
      <c r="BI176" s="59">
        <f ca="1">AVERAGE(OFFSET($BH$3,0,0,'Données projet'!$E$11+1,1))-AVERAGE(OFFSET($H$3,0,0,'Données projet'!$E$11+1,1))</f>
        <v>179.53921263314447</v>
      </c>
      <c r="BJ176" s="59">
        <f t="shared" si="146"/>
        <v>120.81513023281337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117.4240280659663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117.4240280659663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500.00000000000045</v>
      </c>
      <c r="BZ176" s="13">
        <f>BY176*VLOOKUP('Données projet'!$B$12,Paramètres!$A$1:$I$89,3,0)*VLOOKUP('Données projet'!$B$12,Paramètres!$A$1:$I$89,5,0)</f>
        <v>234.00000000000023</v>
      </c>
      <c r="CA176" s="13">
        <f t="shared" si="170"/>
        <v>57.146705242557189</v>
      </c>
      <c r="CB176" s="20">
        <f t="shared" si="171"/>
        <v>507.08051163078744</v>
      </c>
      <c r="CC176" s="59">
        <f t="shared" si="119"/>
        <v>800.4138449641207</v>
      </c>
      <c r="CD176" s="59">
        <f ca="1">AVERAGE(OFFSET($CC$3,0,0,'Données projet'!$E$12+1,1))-AVERAGE(OFFSET($H$3,0,0,'Données projet'!$E$12+1,1))</f>
        <v>310.06530483941287</v>
      </c>
      <c r="CE176" s="59">
        <f t="shared" si="148"/>
        <v>170.13425794309376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26.753954654748128</v>
      </c>
      <c r="CL176" s="21">
        <f>EXP(-LN(2)/25)*CL175+(1-EXP(-LN(2)/25))/(LN(2)/25)*Calculateur!CG176*Calculateur!CI176*VLOOKUP('Données projet'!$B$12,Paramètres!$A$1:$I$89,3,0)*0.475*44/12</f>
        <v>3.1788640279432676</v>
      </c>
      <c r="CM176" s="21">
        <f>EXP(-LN(2)/2)*CM175+(1-EXP(-LN(2)/2))/(LN(2)/2)*CG176*CJ176*VLOOKUP('Données projet'!$B$12,Paramètres!$A$1:$I$89,3,0)*0.475*44/12</f>
        <v>7.5684200118737045E-11</v>
      </c>
      <c r="CN176" s="22">
        <f t="shared" si="172"/>
        <v>29.932818682767078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168.08890945052406</v>
      </c>
      <c r="CZ176" s="59">
        <f t="shared" si="150"/>
        <v>182.52462557642343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12.097797159409437</v>
      </c>
      <c r="DG176" s="21">
        <f>EXP(-LN(2)/25)*DG175+(1-EXP(-LN(2)/25))/(LN(2)/25)*Calculateur!DB176*Calculateur!DD176*VLOOKUP('Données projet'!$B$13,Paramètres!$A$1:$I$89,3,0)*0.475*44/12</f>
        <v>1.2444076390454346</v>
      </c>
      <c r="DH176" s="21">
        <f>EXP(-LN(2)/2)*DH175+(1-EXP(-LN(2)/2))/(LN(2)/2)*DB176*DE176*VLOOKUP('Données projet'!$B$13,Paramètres!$A$1:$I$89,3,0)*0.475*44/12</f>
        <v>5.5627826362754547E-16</v>
      </c>
      <c r="DI176" s="22">
        <f t="shared" si="175"/>
        <v>13.342204798454871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-2.2737367544323206E-13</v>
      </c>
      <c r="DP176" s="17">
        <f>DO176*VLOOKUP('Données projet'!$B$14,Paramètres!$A$1:$I$89,3,0)*VLOOKUP('Données projet'!$B$14,Paramètres!$A$1:$I$89,5,0)</f>
        <v>-1.2710188457276673E-13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355.23615781077405</v>
      </c>
      <c r="DU176" s="59">
        <f t="shared" si="152"/>
        <v>448.84541017639367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27.608306908876415</v>
      </c>
      <c r="EB176" s="21">
        <f>EXP(-LN(2)/25)*EB175+(1-EXP(-LN(2)/25))/(LN(2)/25)*Calculateur!DW176*Calculateur!DY176*VLOOKUP('Données projet'!$B$14,Paramètres!$A$1:$I$89,3,0)*0.475*44/12</f>
        <v>2.8079845181352683</v>
      </c>
      <c r="EC176" s="21">
        <f>EXP(-LN(2)/2)*EC175+(1-EXP(-LN(2)/2))/(LN(2)/2)*DW176*DZ176*VLOOKUP('Données projet'!$B$14,Paramètres!$A$1:$I$89,3,0)*0.475*44/12</f>
        <v>5.5268089045207644E-16</v>
      </c>
      <c r="ED176" s="22">
        <f t="shared" si="178"/>
        <v>30.416291427011682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1.1368683772161603E-13</v>
      </c>
      <c r="EK176" s="17">
        <f>EJ176*VLOOKUP('Données projet'!$B$15,Paramètres!$A$1:$I$89,3,0)*VLOOKUP('Données projet'!$B$15,Paramètres!$A$1:$I$89,5,0)</f>
        <v>1.223725121235475E-13</v>
      </c>
      <c r="EL176" s="13">
        <f t="shared" si="179"/>
        <v>1.7956824466038182E-12</v>
      </c>
      <c r="EM176" s="20">
        <f t="shared" si="180"/>
        <v>3.3406123864501612E-12</v>
      </c>
      <c r="EN176" s="59">
        <f t="shared" si="128"/>
        <v>293.33333333333667</v>
      </c>
      <c r="EO176" s="59">
        <f ca="1">AVERAGE(OFFSET($EN$3,0,0,'Données projet'!$E$15+1,1))-AVERAGE(OFFSET($H$3,0,0,'Données projet'!$E$15+1,1))</f>
        <v>130.76477588601989</v>
      </c>
      <c r="EP176" s="59">
        <f t="shared" si="154"/>
        <v>94.034011511502172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99.720097680635988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99.720097680635988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-2.2737367544323206E-13</v>
      </c>
      <c r="FF176" s="17">
        <f>FE176*VLOOKUP('Données projet'!$B$16,Paramètres!$A$1:$I$89,3,0)*VLOOKUP('Données projet'!$B$16,Paramètres!$A$1:$I$89,5,0)</f>
        <v>-1.0345502232667058E-13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279.43442619866738</v>
      </c>
      <c r="FK176" s="59">
        <f t="shared" si="156"/>
        <v>355.95192241448217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22.471877716527302</v>
      </c>
      <c r="FR176" s="21">
        <f>EXP(-LN(2)/25)*FR175+(1-EXP(-LN(2)/25))/(LN(2)/25)*Calculateur!FM176*Calculateur!FO176*VLOOKUP('Données projet'!$B$16,Paramètres!$A$1:$I$89,3,0)*0.475*44/12</f>
        <v>2.2855687938310338</v>
      </c>
      <c r="FS176" s="21">
        <f>EXP(-LN(2)/2)*FS175+(1-EXP(-LN(2)/2))/(LN(2)/2)*FM176*FP176*VLOOKUP('Données projet'!$B$16,Paramètres!$A$1:$I$89,3,0)*0.475*44/12</f>
        <v>4.4985653874006224E-16</v>
      </c>
      <c r="FT176" s="22">
        <f t="shared" si="184"/>
        <v>24.757446510358335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-6.7984728957526396E-14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227.89848316900191</v>
      </c>
      <c r="T177" s="59">
        <f t="shared" si="142"/>
        <v>239.85955661394541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14.989095729725582</v>
      </c>
      <c r="AA177" s="21">
        <f>EXP(-LN(2)/25)*AA176+(1-EXP(-LN(2)/25))/(LN(2)/25)*Calculateur!V177*Calculateur!X177*VLOOKUP('Données projet'!$B$9,Paramètres!$A$1:$I$89,3,0)*0.475*44/12</f>
        <v>1.4643111603174479</v>
      </c>
      <c r="AB177" s="21">
        <f>EXP(-LN(2)/2)*AB176+(1-EXP(-LN(2)/2))/(LN(2)/2)*V177*Y177*VLOOKUP('Données projet'!$B$9,Paramètres!$A$1:$I$89,3,0)*0.475*44/12</f>
        <v>5.0873278267685954E-16</v>
      </c>
      <c r="AC177" s="22">
        <f t="shared" si="163"/>
        <v>16.453406890043031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-5.6843418860808015E-14</v>
      </c>
      <c r="AJ177" s="13">
        <f>AI177*VLOOKUP('Données projet'!$B$10,Paramètres!$A$1:$I$89,3,0)*VLOOKUP('Données projet'!$B$10,Paramètres!$A$1:$I$89,5,0)</f>
        <v>-5.1431925385259088E-14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215.7418266360167</v>
      </c>
      <c r="AO177" s="59">
        <f t="shared" si="144"/>
        <v>155.78420008229949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76.164969578179424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76.164969578179424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2.2737367544323206E-13</v>
      </c>
      <c r="BE177" s="13">
        <f>BD177*VLOOKUP('Données projet'!$B$11,Paramètres!$A$1:$I$89,3,0)*VLOOKUP('Données projet'!$B$11,Paramètres!$A$1:$I$89,5,0)</f>
        <v>2.3055690689943731E-13</v>
      </c>
      <c r="BF177" s="13">
        <f t="shared" si="167"/>
        <v>3.142699285622457E-12</v>
      </c>
      <c r="BG177" s="20">
        <f t="shared" si="168"/>
        <v>5.8750878686422984E-12</v>
      </c>
      <c r="BH177" s="59">
        <f t="shared" si="116"/>
        <v>293.33333333333917</v>
      </c>
      <c r="BI177" s="59">
        <f ca="1">AVERAGE(OFFSET($BH$3,0,0,'Données projet'!$E$11+1,1))-AVERAGE(OFFSET($H$3,0,0,'Données projet'!$E$11+1,1))</f>
        <v>179.53921263314447</v>
      </c>
      <c r="BJ177" s="59">
        <f t="shared" si="146"/>
        <v>120.81513023281337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115.12141449717777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115.12141449717777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500.00000000000045</v>
      </c>
      <c r="BZ177" s="13">
        <f>BY177*VLOOKUP('Données projet'!$B$12,Paramètres!$A$1:$I$89,3,0)*VLOOKUP('Données projet'!$B$12,Paramètres!$A$1:$I$89,5,0)</f>
        <v>234.00000000000023</v>
      </c>
      <c r="CA177" s="13">
        <f t="shared" si="170"/>
        <v>57.146705242557189</v>
      </c>
      <c r="CB177" s="20">
        <f t="shared" si="171"/>
        <v>507.08051163078744</v>
      </c>
      <c r="CC177" s="59">
        <f t="shared" si="119"/>
        <v>800.4138449641207</v>
      </c>
      <c r="CD177" s="59">
        <f ca="1">AVERAGE(OFFSET($CC$3,0,0,'Données projet'!$E$12+1,1))-AVERAGE(OFFSET($H$3,0,0,'Données projet'!$E$12+1,1))</f>
        <v>310.06530483941287</v>
      </c>
      <c r="CE177" s="59">
        <f t="shared" si="148"/>
        <v>170.13425794309376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26.22932592226956</v>
      </c>
      <c r="CL177" s="21">
        <f>EXP(-LN(2)/25)*CL176+(1-EXP(-LN(2)/25))/(LN(2)/25)*Calculateur!CG177*Calculateur!CI177*VLOOKUP('Données projet'!$B$12,Paramètres!$A$1:$I$89,3,0)*0.475*44/12</f>
        <v>3.0919378239299653</v>
      </c>
      <c r="CM177" s="21">
        <f>EXP(-LN(2)/2)*CM176+(1-EXP(-LN(2)/2))/(LN(2)/2)*CG177*CJ177*VLOOKUP('Données projet'!$B$12,Paramètres!$A$1:$I$89,3,0)*0.475*44/12</f>
        <v>5.351681113263867E-11</v>
      </c>
      <c r="CN177" s="22">
        <f t="shared" si="172"/>
        <v>29.321263746253042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168.08890945052406</v>
      </c>
      <c r="CZ177" s="59">
        <f t="shared" si="150"/>
        <v>182.52462557642343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11.860566736041076</v>
      </c>
      <c r="DG177" s="21">
        <f>EXP(-LN(2)/25)*DG176+(1-EXP(-LN(2)/25))/(LN(2)/25)*Calculateur!DB177*Calculateur!DD177*VLOOKUP('Données projet'!$B$13,Paramètres!$A$1:$I$89,3,0)*0.475*44/12</f>
        <v>1.2103792467151835</v>
      </c>
      <c r="DH177" s="21">
        <f>EXP(-LN(2)/2)*DH176+(1-EXP(-LN(2)/2))/(LN(2)/2)*DB177*DE177*VLOOKUP('Données projet'!$B$13,Paramètres!$A$1:$I$89,3,0)*0.475*44/12</f>
        <v>3.933481324377154E-16</v>
      </c>
      <c r="DI177" s="22">
        <f t="shared" si="175"/>
        <v>13.070945982756259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-2.2737367544323206E-13</v>
      </c>
      <c r="DP177" s="17">
        <f>DO177*VLOOKUP('Données projet'!$B$14,Paramètres!$A$1:$I$89,3,0)*VLOOKUP('Données projet'!$B$14,Paramètres!$A$1:$I$89,5,0)</f>
        <v>-1.2710188457276673E-13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355.23615781077405</v>
      </c>
      <c r="DU177" s="59">
        <f t="shared" si="152"/>
        <v>448.84541017639367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27.066924849797811</v>
      </c>
      <c r="EB177" s="21">
        <f>EXP(-LN(2)/25)*EB176+(1-EXP(-LN(2)/25))/(LN(2)/25)*Calculateur!DW177*Calculateur!DY177*VLOOKUP('Données projet'!$B$14,Paramètres!$A$1:$I$89,3,0)*0.475*44/12</f>
        <v>2.7312000338213713</v>
      </c>
      <c r="EC177" s="21">
        <f>EXP(-LN(2)/2)*EC176+(1-EXP(-LN(2)/2))/(LN(2)/2)*DW177*DZ177*VLOOKUP('Données projet'!$B$14,Paramètres!$A$1:$I$89,3,0)*0.475*44/12</f>
        <v>3.9080440547088267E-16</v>
      </c>
      <c r="ED177" s="22">
        <f t="shared" si="178"/>
        <v>29.798124883619181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1.1368683772161603E-13</v>
      </c>
      <c r="EK177" s="17">
        <f>EJ177*VLOOKUP('Données projet'!$B$15,Paramètres!$A$1:$I$89,3,0)*VLOOKUP('Données projet'!$B$15,Paramètres!$A$1:$I$89,5,0)</f>
        <v>1.223725121235475E-13</v>
      </c>
      <c r="EL177" s="13">
        <f t="shared" si="179"/>
        <v>1.7956824466038182E-12</v>
      </c>
      <c r="EM177" s="20">
        <f t="shared" si="180"/>
        <v>3.3406123864501612E-12</v>
      </c>
      <c r="EN177" s="59">
        <f t="shared" si="128"/>
        <v>293.33333333333667</v>
      </c>
      <c r="EO177" s="59">
        <f ca="1">AVERAGE(OFFSET($EN$3,0,0,'Données projet'!$E$15+1,1))-AVERAGE(OFFSET($H$3,0,0,'Données projet'!$E$15+1,1))</f>
        <v>130.76477588601989</v>
      </c>
      <c r="EP177" s="59">
        <f t="shared" si="154"/>
        <v>94.034011511502172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97.764647388372509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97.764647388372509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-2.2737367544323206E-13</v>
      </c>
      <c r="FF177" s="17">
        <f>FE177*VLOOKUP('Données projet'!$B$16,Paramètres!$A$1:$I$89,3,0)*VLOOKUP('Données projet'!$B$16,Paramètres!$A$1:$I$89,5,0)</f>
        <v>-1.0345502232667058E-13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279.43442619866738</v>
      </c>
      <c r="FK177" s="59">
        <f t="shared" si="156"/>
        <v>355.95192241448217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22.031217900998204</v>
      </c>
      <c r="FR177" s="21">
        <f>EXP(-LN(2)/25)*FR176+(1-EXP(-LN(2)/25))/(LN(2)/25)*Calculateur!FM177*Calculateur!FO177*VLOOKUP('Données projet'!$B$16,Paramètres!$A$1:$I$89,3,0)*0.475*44/12</f>
        <v>2.2230697949708853</v>
      </c>
      <c r="FS177" s="21">
        <f>EXP(-LN(2)/2)*FS176+(1-EXP(-LN(2)/2))/(LN(2)/2)*FM177*FP177*VLOOKUP('Données projet'!$B$16,Paramètres!$A$1:$I$89,3,0)*0.475*44/12</f>
        <v>3.1809660910420683E-16</v>
      </c>
      <c r="FT177" s="22">
        <f t="shared" si="184"/>
        <v>24.25428769596909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-6.7984728957526396E-14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227.89848316900191</v>
      </c>
      <c r="T178" s="59">
        <f t="shared" si="142"/>
        <v>239.85955661394541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14.695168704911318</v>
      </c>
      <c r="AA178" s="21">
        <f>EXP(-LN(2)/25)*AA177+(1-EXP(-LN(2)/25))/(LN(2)/25)*Calculateur!V178*Calculateur!X178*VLOOKUP('Données projet'!$B$9,Paramètres!$A$1:$I$89,3,0)*0.475*44/12</f>
        <v>1.4242694946337902</v>
      </c>
      <c r="AB178" s="21">
        <f>EXP(-LN(2)/2)*AB177+(1-EXP(-LN(2)/2))/(LN(2)/2)*V178*Y178*VLOOKUP('Données projet'!$B$9,Paramètres!$A$1:$I$89,3,0)*0.475*44/12</f>
        <v>3.5972840044270955E-16</v>
      </c>
      <c r="AC178" s="22">
        <f t="shared" si="163"/>
        <v>16.119438199545108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-5.6843418860808015E-14</v>
      </c>
      <c r="AJ178" s="13">
        <f>AI178*VLOOKUP('Données projet'!$B$10,Paramètres!$A$1:$I$89,3,0)*VLOOKUP('Données projet'!$B$10,Paramètres!$A$1:$I$89,5,0)</f>
        <v>-5.1431925385259088E-14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215.7418266360167</v>
      </c>
      <c r="AO178" s="59">
        <f t="shared" si="144"/>
        <v>155.78420008229949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74.671420980795617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74.671420980795617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2.2737367544323206E-13</v>
      </c>
      <c r="BE178" s="13">
        <f>BD178*VLOOKUP('Données projet'!$B$11,Paramètres!$A$1:$I$89,3,0)*VLOOKUP('Données projet'!$B$11,Paramètres!$A$1:$I$89,5,0)</f>
        <v>2.3055690689943731E-13</v>
      </c>
      <c r="BF178" s="13">
        <f t="shared" si="167"/>
        <v>3.142699285622457E-12</v>
      </c>
      <c r="BG178" s="20">
        <f t="shared" si="168"/>
        <v>5.8750878686422984E-12</v>
      </c>
      <c r="BH178" s="59">
        <f t="shared" si="116"/>
        <v>293.33333333333917</v>
      </c>
      <c r="BI178" s="59">
        <f ca="1">AVERAGE(OFFSET($BH$3,0,0,'Données projet'!$E$11+1,1))-AVERAGE(OFFSET($H$3,0,0,'Données projet'!$E$11+1,1))</f>
        <v>179.53921263314447</v>
      </c>
      <c r="BJ178" s="59">
        <f t="shared" si="146"/>
        <v>120.81513023281337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112.8639537760176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112.8639537760176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500.00000000000045</v>
      </c>
      <c r="BZ178" s="13">
        <f>BY178*VLOOKUP('Données projet'!$B$12,Paramètres!$A$1:$I$89,3,0)*VLOOKUP('Données projet'!$B$12,Paramètres!$A$1:$I$89,5,0)</f>
        <v>234.00000000000023</v>
      </c>
      <c r="CA178" s="13">
        <f t="shared" si="170"/>
        <v>57.146705242557189</v>
      </c>
      <c r="CB178" s="20">
        <f t="shared" si="171"/>
        <v>507.08051163078744</v>
      </c>
      <c r="CC178" s="59">
        <f t="shared" si="119"/>
        <v>800.4138449641207</v>
      </c>
      <c r="CD178" s="59">
        <f ca="1">AVERAGE(OFFSET($CC$3,0,0,'Données projet'!$E$12+1,1))-AVERAGE(OFFSET($H$3,0,0,'Données projet'!$E$12+1,1))</f>
        <v>310.06530483941287</v>
      </c>
      <c r="CE178" s="59">
        <f t="shared" si="148"/>
        <v>170.13425794309376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25.714984839242966</v>
      </c>
      <c r="CL178" s="21">
        <f>EXP(-LN(2)/25)*CL177+(1-EXP(-LN(2)/25))/(LN(2)/25)*Calculateur!CG178*Calculateur!CI178*VLOOKUP('Données projet'!$B$12,Paramètres!$A$1:$I$89,3,0)*0.475*44/12</f>
        <v>3.007388621536657</v>
      </c>
      <c r="CM178" s="21">
        <f>EXP(-LN(2)/2)*CM177+(1-EXP(-LN(2)/2))/(LN(2)/2)*CG178*CJ178*VLOOKUP('Données projet'!$B$12,Paramètres!$A$1:$I$89,3,0)*0.475*44/12</f>
        <v>3.7842100059368523E-11</v>
      </c>
      <c r="CN178" s="22">
        <f t="shared" si="172"/>
        <v>28.722373460817465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168.08890945052406</v>
      </c>
      <c r="CZ178" s="59">
        <f t="shared" si="150"/>
        <v>182.52462557642343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11.627988256578698</v>
      </c>
      <c r="DG178" s="21">
        <f>EXP(-LN(2)/25)*DG177+(1-EXP(-LN(2)/25))/(LN(2)/25)*Calculateur!DB178*Calculateur!DD178*VLOOKUP('Données projet'!$B$13,Paramètres!$A$1:$I$89,3,0)*0.475*44/12</f>
        <v>1.1772813625626786</v>
      </c>
      <c r="DH178" s="21">
        <f>EXP(-LN(2)/2)*DH177+(1-EXP(-LN(2)/2))/(LN(2)/2)*DB178*DE178*VLOOKUP('Données projet'!$B$13,Paramètres!$A$1:$I$89,3,0)*0.475*44/12</f>
        <v>2.7813913181377274E-16</v>
      </c>
      <c r="DI178" s="22">
        <f t="shared" si="175"/>
        <v>12.805269619141377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-2.2737367544323206E-13</v>
      </c>
      <c r="DP178" s="17">
        <f>DO178*VLOOKUP('Données projet'!$B$14,Paramètres!$A$1:$I$89,3,0)*VLOOKUP('Données projet'!$B$14,Paramètres!$A$1:$I$89,5,0)</f>
        <v>-1.2710188457276673E-13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355.23615781077405</v>
      </c>
      <c r="DU178" s="59">
        <f t="shared" si="152"/>
        <v>448.84541017639367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26.536158962687288</v>
      </c>
      <c r="EB178" s="21">
        <f>EXP(-LN(2)/25)*EB177+(1-EXP(-LN(2)/25))/(LN(2)/25)*Calculateur!DW178*Calculateur!DY178*VLOOKUP('Données projet'!$B$14,Paramètres!$A$1:$I$89,3,0)*0.475*44/12</f>
        <v>2.6565152252689583</v>
      </c>
      <c r="EC178" s="21">
        <f>EXP(-LN(2)/2)*EC177+(1-EXP(-LN(2)/2))/(LN(2)/2)*DW178*DZ178*VLOOKUP('Données projet'!$B$14,Paramètres!$A$1:$I$89,3,0)*0.475*44/12</f>
        <v>2.7634044522603822E-16</v>
      </c>
      <c r="ED178" s="22">
        <f t="shared" si="178"/>
        <v>29.192674187956246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1.1368683772161603E-13</v>
      </c>
      <c r="EK178" s="17">
        <f>EJ178*VLOOKUP('Données projet'!$B$15,Paramètres!$A$1:$I$89,3,0)*VLOOKUP('Données projet'!$B$15,Paramètres!$A$1:$I$89,5,0)</f>
        <v>1.223725121235475E-13</v>
      </c>
      <c r="EL178" s="13">
        <f t="shared" si="179"/>
        <v>1.7956824466038182E-12</v>
      </c>
      <c r="EM178" s="20">
        <f t="shared" si="180"/>
        <v>3.3406123864501612E-12</v>
      </c>
      <c r="EN178" s="59">
        <f t="shared" si="128"/>
        <v>293.33333333333667</v>
      </c>
      <c r="EO178" s="59">
        <f ca="1">AVERAGE(OFFSET($EN$3,0,0,'Données projet'!$E$15+1,1))-AVERAGE(OFFSET($H$3,0,0,'Données projet'!$E$15+1,1))</f>
        <v>130.76477588601989</v>
      </c>
      <c r="EP178" s="59">
        <f t="shared" si="154"/>
        <v>94.034011511502172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95.847542283633402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95.847542283633402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-2.2737367544323206E-13</v>
      </c>
      <c r="FF178" s="17">
        <f>FE178*VLOOKUP('Données projet'!$B$16,Paramètres!$A$1:$I$89,3,0)*VLOOKUP('Données projet'!$B$16,Paramètres!$A$1:$I$89,5,0)</f>
        <v>-1.0345502232667058E-13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279.43442619866738</v>
      </c>
      <c r="FK178" s="59">
        <f t="shared" si="156"/>
        <v>355.95192241448217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21.599199155675684</v>
      </c>
      <c r="FR178" s="21">
        <f>EXP(-LN(2)/25)*FR177+(1-EXP(-LN(2)/25))/(LN(2)/25)*Calculateur!FM178*Calculateur!FO178*VLOOKUP('Données projet'!$B$16,Paramètres!$A$1:$I$89,3,0)*0.475*44/12</f>
        <v>2.1622798345212466</v>
      </c>
      <c r="FS178" s="21">
        <f>EXP(-LN(2)/2)*FS177+(1-EXP(-LN(2)/2))/(LN(2)/2)*FM178*FP178*VLOOKUP('Données projet'!$B$16,Paramètres!$A$1:$I$89,3,0)*0.475*44/12</f>
        <v>2.2492826937003112E-16</v>
      </c>
      <c r="FT178" s="22">
        <f t="shared" si="184"/>
        <v>23.761478990196931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-6.7984728957526396E-14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227.89848316900191</v>
      </c>
      <c r="T179" s="59">
        <f t="shared" si="142"/>
        <v>239.85955661394541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14.407005409775877</v>
      </c>
      <c r="AA179" s="21">
        <f>EXP(-LN(2)/25)*AA178+(1-EXP(-LN(2)/25))/(LN(2)/25)*Calculateur!V179*Calculateur!X179*VLOOKUP('Données projet'!$B$9,Paramètres!$A$1:$I$89,3,0)*0.475*44/12</f>
        <v>1.3853227704039517</v>
      </c>
      <c r="AB179" s="21">
        <f>EXP(-LN(2)/2)*AB178+(1-EXP(-LN(2)/2))/(LN(2)/2)*V179*Y179*VLOOKUP('Données projet'!$B$9,Paramètres!$A$1:$I$89,3,0)*0.475*44/12</f>
        <v>2.5436639133842977E-16</v>
      </c>
      <c r="AC179" s="22">
        <f t="shared" si="163"/>
        <v>15.79232818017983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-5.6843418860808015E-14</v>
      </c>
      <c r="AJ179" s="13">
        <f>AI179*VLOOKUP('Données projet'!$B$10,Paramètres!$A$1:$I$89,3,0)*VLOOKUP('Données projet'!$B$10,Paramètres!$A$1:$I$89,5,0)</f>
        <v>-5.1431925385259088E-14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215.7418266360167</v>
      </c>
      <c r="AO179" s="59">
        <f t="shared" si="144"/>
        <v>155.78420008229949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73.20715996043181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73.20715996043181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2.2737367544323206E-13</v>
      </c>
      <c r="BE179" s="13">
        <f>BD179*VLOOKUP('Données projet'!$B$11,Paramètres!$A$1:$I$89,3,0)*VLOOKUP('Données projet'!$B$11,Paramètres!$A$1:$I$89,5,0)</f>
        <v>2.3055690689943731E-13</v>
      </c>
      <c r="BF179" s="13">
        <f t="shared" si="167"/>
        <v>3.142699285622457E-12</v>
      </c>
      <c r="BG179" s="20">
        <f t="shared" si="168"/>
        <v>5.8750878686422984E-12</v>
      </c>
      <c r="BH179" s="59">
        <f t="shared" si="116"/>
        <v>293.33333333333917</v>
      </c>
      <c r="BI179" s="59">
        <f ca="1">AVERAGE(OFFSET($BH$3,0,0,'Données projet'!$E$11+1,1))-AVERAGE(OFFSET($H$3,0,0,'Données projet'!$E$11+1,1))</f>
        <v>179.53921263314447</v>
      </c>
      <c r="BJ179" s="59">
        <f t="shared" si="146"/>
        <v>120.81513023281337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110.65076048268429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110.65076048268429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500.00000000000045</v>
      </c>
      <c r="BZ179" s="13">
        <f>BY179*VLOOKUP('Données projet'!$B$12,Paramètres!$A$1:$I$89,3,0)*VLOOKUP('Données projet'!$B$12,Paramètres!$A$1:$I$89,5,0)</f>
        <v>234.00000000000023</v>
      </c>
      <c r="CA179" s="13">
        <f t="shared" si="170"/>
        <v>57.146705242557189</v>
      </c>
      <c r="CB179" s="20">
        <f t="shared" si="171"/>
        <v>507.08051163078744</v>
      </c>
      <c r="CC179" s="59">
        <f t="shared" si="119"/>
        <v>800.4138449641207</v>
      </c>
      <c r="CD179" s="59">
        <f ca="1">AVERAGE(OFFSET($CC$3,0,0,'Données projet'!$E$12+1,1))-AVERAGE(OFFSET($H$3,0,0,'Données projet'!$E$12+1,1))</f>
        <v>310.06530483941287</v>
      </c>
      <c r="CE179" s="59">
        <f t="shared" si="148"/>
        <v>170.13425794309376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25.21072967113744</v>
      </c>
      <c r="CL179" s="21">
        <f>EXP(-LN(2)/25)*CL178+(1-EXP(-LN(2)/25))/(LN(2)/25)*Calculateur!CG179*Calculateur!CI179*VLOOKUP('Données projet'!$B$12,Paramètres!$A$1:$I$89,3,0)*0.475*44/12</f>
        <v>2.9251514215290428</v>
      </c>
      <c r="CM179" s="21">
        <f>EXP(-LN(2)/2)*CM178+(1-EXP(-LN(2)/2))/(LN(2)/2)*CG179*CJ179*VLOOKUP('Données projet'!$B$12,Paramètres!$A$1:$I$89,3,0)*0.475*44/12</f>
        <v>2.6758405566319335E-11</v>
      </c>
      <c r="CN179" s="22">
        <f t="shared" si="172"/>
        <v>28.135881092693243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168.08890945052406</v>
      </c>
      <c r="CZ179" s="59">
        <f t="shared" si="150"/>
        <v>182.52462557642343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11.399970499239712</v>
      </c>
      <c r="DG179" s="21">
        <f>EXP(-LN(2)/25)*DG178+(1-EXP(-LN(2)/25))/(LN(2)/25)*Calculateur!DB179*Calculateur!DD179*VLOOKUP('Données projet'!$B$13,Paramètres!$A$1:$I$89,3,0)*0.475*44/12</f>
        <v>1.145088541792866</v>
      </c>
      <c r="DH179" s="21">
        <f>EXP(-LN(2)/2)*DH178+(1-EXP(-LN(2)/2))/(LN(2)/2)*DB179*DE179*VLOOKUP('Données projet'!$B$13,Paramètres!$A$1:$I$89,3,0)*0.475*44/12</f>
        <v>1.966740662188577E-16</v>
      </c>
      <c r="DI179" s="22">
        <f t="shared" si="175"/>
        <v>12.545059041032578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-2.2737367544323206E-13</v>
      </c>
      <c r="DP179" s="17">
        <f>DO179*VLOOKUP('Données projet'!$B$14,Paramètres!$A$1:$I$89,3,0)*VLOOKUP('Données projet'!$B$14,Paramètres!$A$1:$I$89,5,0)</f>
        <v>-1.2710188457276673E-13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355.23615781077405</v>
      </c>
      <c r="DU179" s="59">
        <f t="shared" si="152"/>
        <v>448.84541017639367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26.015801070887775</v>
      </c>
      <c r="EB179" s="21">
        <f>EXP(-LN(2)/25)*EB178+(1-EXP(-LN(2)/25))/(LN(2)/25)*Calculateur!DW179*Calculateur!DY179*VLOOKUP('Données projet'!$B$14,Paramètres!$A$1:$I$89,3,0)*0.475*44/12</f>
        <v>2.5838726767339146</v>
      </c>
      <c r="EC179" s="21">
        <f>EXP(-LN(2)/2)*EC178+(1-EXP(-LN(2)/2))/(LN(2)/2)*DW179*DZ179*VLOOKUP('Données projet'!$B$14,Paramètres!$A$1:$I$89,3,0)*0.475*44/12</f>
        <v>1.9540220273544133E-16</v>
      </c>
      <c r="ED179" s="22">
        <f t="shared" si="178"/>
        <v>28.59967374762169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1.1368683772161603E-13</v>
      </c>
      <c r="EK179" s="17">
        <f>EJ179*VLOOKUP('Données projet'!$B$15,Paramètres!$A$1:$I$89,3,0)*VLOOKUP('Données projet'!$B$15,Paramètres!$A$1:$I$89,5,0)</f>
        <v>1.223725121235475E-13</v>
      </c>
      <c r="EL179" s="13">
        <f t="shared" si="179"/>
        <v>1.7956824466038182E-12</v>
      </c>
      <c r="EM179" s="20">
        <f t="shared" si="180"/>
        <v>3.3406123864501612E-12</v>
      </c>
      <c r="EN179" s="59">
        <f t="shared" si="128"/>
        <v>293.33333333333667</v>
      </c>
      <c r="EO179" s="59">
        <f ca="1">AVERAGE(OFFSET($EN$3,0,0,'Données projet'!$E$15+1,1))-AVERAGE(OFFSET($H$3,0,0,'Données projet'!$E$15+1,1))</f>
        <v>130.76477588601989</v>
      </c>
      <c r="EP179" s="59">
        <f t="shared" si="154"/>
        <v>94.034011511502172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93.968030440679584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93.968030440679584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-2.2737367544323206E-13</v>
      </c>
      <c r="FF179" s="17">
        <f>FE179*VLOOKUP('Données projet'!$B$16,Paramètres!$A$1:$I$89,3,0)*VLOOKUP('Données projet'!$B$16,Paramètres!$A$1:$I$89,5,0)</f>
        <v>-1.0345502232667058E-13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279.43442619866738</v>
      </c>
      <c r="FK179" s="59">
        <f t="shared" si="156"/>
        <v>355.95192241448217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21.175652034443523</v>
      </c>
      <c r="FR179" s="21">
        <f>EXP(-LN(2)/25)*FR178+(1-EXP(-LN(2)/25))/(LN(2)/25)*Calculateur!FM179*Calculateur!FO179*VLOOKUP('Données projet'!$B$16,Paramètres!$A$1:$I$89,3,0)*0.475*44/12</f>
        <v>2.1031521787369085</v>
      </c>
      <c r="FS179" s="21">
        <f>EXP(-LN(2)/2)*FS178+(1-EXP(-LN(2)/2))/(LN(2)/2)*FM179*FP179*VLOOKUP('Données projet'!$B$16,Paramètres!$A$1:$I$89,3,0)*0.475*44/12</f>
        <v>1.5904830455210342E-16</v>
      </c>
      <c r="FT179" s="22">
        <f t="shared" si="184"/>
        <v>23.278804213180432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-6.7984728957526396E-14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227.89848316900191</v>
      </c>
      <c r="T180" s="59">
        <f t="shared" si="142"/>
        <v>239.85955661394541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14.124492821095787</v>
      </c>
      <c r="AA180" s="21">
        <f>EXP(-LN(2)/25)*AA179+(1-EXP(-LN(2)/25))/(LN(2)/25)*Calculateur!V180*Calculateur!X180*VLOOKUP('Données projet'!$B$9,Paramètres!$A$1:$I$89,3,0)*0.475*44/12</f>
        <v>1.3474410463962974</v>
      </c>
      <c r="AB180" s="21">
        <f>EXP(-LN(2)/2)*AB179+(1-EXP(-LN(2)/2))/(LN(2)/2)*V180*Y180*VLOOKUP('Données projet'!$B$9,Paramètres!$A$1:$I$89,3,0)*0.475*44/12</f>
        <v>1.7986420022135478E-16</v>
      </c>
      <c r="AC180" s="22">
        <f t="shared" si="163"/>
        <v>15.471933867492083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-5.6843418860808015E-14</v>
      </c>
      <c r="AJ180" s="13">
        <f>AI180*VLOOKUP('Données projet'!$B$10,Paramètres!$A$1:$I$89,3,0)*VLOOKUP('Données projet'!$B$10,Paramètres!$A$1:$I$89,5,0)</f>
        <v>-5.1431925385259088E-14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215.7418266360167</v>
      </c>
      <c r="AO180" s="59">
        <f t="shared" si="144"/>
        <v>155.78420008229949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71.771612205566299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71.771612205566299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2.2737367544323206E-13</v>
      </c>
      <c r="BE180" s="13">
        <f>BD180*VLOOKUP('Données projet'!$B$11,Paramètres!$A$1:$I$89,3,0)*VLOOKUP('Données projet'!$B$11,Paramètres!$A$1:$I$89,5,0)</f>
        <v>2.3055690689943731E-13</v>
      </c>
      <c r="BF180" s="13">
        <f t="shared" si="167"/>
        <v>3.142699285622457E-12</v>
      </c>
      <c r="BG180" s="20">
        <f t="shared" si="168"/>
        <v>5.8750878686422984E-12</v>
      </c>
      <c r="BH180" s="59">
        <f t="shared" si="116"/>
        <v>293.33333333333917</v>
      </c>
      <c r="BI180" s="59">
        <f ca="1">AVERAGE(OFFSET($BH$3,0,0,'Données projet'!$E$11+1,1))-AVERAGE(OFFSET($H$3,0,0,'Données projet'!$E$11+1,1))</f>
        <v>179.53921263314447</v>
      </c>
      <c r="BJ180" s="59">
        <f t="shared" si="146"/>
        <v>120.81513023281337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108.48096655991863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108.48096655991863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500.00000000000045</v>
      </c>
      <c r="BZ180" s="13">
        <f>BY180*VLOOKUP('Données projet'!$B$12,Paramètres!$A$1:$I$89,3,0)*VLOOKUP('Données projet'!$B$12,Paramètres!$A$1:$I$89,5,0)</f>
        <v>234.00000000000023</v>
      </c>
      <c r="CA180" s="13">
        <f t="shared" si="170"/>
        <v>57.146705242557189</v>
      </c>
      <c r="CB180" s="20">
        <f t="shared" si="171"/>
        <v>507.08051163078744</v>
      </c>
      <c r="CC180" s="59">
        <f t="shared" si="119"/>
        <v>800.4138449641207</v>
      </c>
      <c r="CD180" s="59">
        <f ca="1">AVERAGE(OFFSET($CC$3,0,0,'Données projet'!$E$12+1,1))-AVERAGE(OFFSET($H$3,0,0,'Données projet'!$E$12+1,1))</f>
        <v>310.06530483941287</v>
      </c>
      <c r="CE180" s="59">
        <f t="shared" si="148"/>
        <v>170.13425794309376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24.716362639313179</v>
      </c>
      <c r="CL180" s="21">
        <f>EXP(-LN(2)/25)*CL179+(1-EXP(-LN(2)/25))/(LN(2)/25)*Calculateur!CG180*Calculateur!CI180*VLOOKUP('Données projet'!$B$12,Paramètres!$A$1:$I$89,3,0)*0.475*44/12</f>
        <v>2.8451630020803034</v>
      </c>
      <c r="CM180" s="21">
        <f>EXP(-LN(2)/2)*CM179+(1-EXP(-LN(2)/2))/(LN(2)/2)*CG180*CJ180*VLOOKUP('Données projet'!$B$12,Paramètres!$A$1:$I$89,3,0)*0.475*44/12</f>
        <v>1.8921050029684261E-11</v>
      </c>
      <c r="CN180" s="22">
        <f t="shared" si="172"/>
        <v>27.561525641412402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168.08890945052406</v>
      </c>
      <c r="CZ180" s="59">
        <f t="shared" si="150"/>
        <v>182.52462557642343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11.176424031045045</v>
      </c>
      <c r="DG180" s="21">
        <f>EXP(-LN(2)/25)*DG179+(1-EXP(-LN(2)/25))/(LN(2)/25)*Calculateur!DB180*Calculateur!DD180*VLOOKUP('Données projet'!$B$13,Paramètres!$A$1:$I$89,3,0)*0.475*44/12</f>
        <v>1.1137760353999508</v>
      </c>
      <c r="DH180" s="21">
        <f>EXP(-LN(2)/2)*DH179+(1-EXP(-LN(2)/2))/(LN(2)/2)*DB180*DE180*VLOOKUP('Données projet'!$B$13,Paramètres!$A$1:$I$89,3,0)*0.475*44/12</f>
        <v>1.3906956590688637E-16</v>
      </c>
      <c r="DI180" s="22">
        <f t="shared" si="175"/>
        <v>12.290200066444996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-2.2737367544323206E-13</v>
      </c>
      <c r="DP180" s="17">
        <f>DO180*VLOOKUP('Données projet'!$B$14,Paramètres!$A$1:$I$89,3,0)*VLOOKUP('Données projet'!$B$14,Paramètres!$A$1:$I$89,5,0)</f>
        <v>-1.2710188457276673E-13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355.23615781077405</v>
      </c>
      <c r="DU180" s="59">
        <f t="shared" si="152"/>
        <v>448.84541017639367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25.505647079959477</v>
      </c>
      <c r="EB180" s="21">
        <f>EXP(-LN(2)/25)*EB179+(1-EXP(-LN(2)/25))/(LN(2)/25)*Calculateur!DW180*Calculateur!DY180*VLOOKUP('Données projet'!$B$14,Paramètres!$A$1:$I$89,3,0)*0.475*44/12</f>
        <v>2.5132165425086672</v>
      </c>
      <c r="EC180" s="21">
        <f>EXP(-LN(2)/2)*EC179+(1-EXP(-LN(2)/2))/(LN(2)/2)*DW180*DZ180*VLOOKUP('Données projet'!$B$14,Paramètres!$A$1:$I$89,3,0)*0.475*44/12</f>
        <v>1.3817022261301911E-16</v>
      </c>
      <c r="ED180" s="22">
        <f t="shared" si="178"/>
        <v>28.018863622468146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1.1368683772161603E-13</v>
      </c>
      <c r="EK180" s="17">
        <f>EJ180*VLOOKUP('Données projet'!$B$15,Paramètres!$A$1:$I$89,3,0)*VLOOKUP('Données projet'!$B$15,Paramètres!$A$1:$I$89,5,0)</f>
        <v>1.223725121235475E-13</v>
      </c>
      <c r="EL180" s="13">
        <f t="shared" si="179"/>
        <v>1.7956824466038182E-12</v>
      </c>
      <c r="EM180" s="20">
        <f t="shared" si="180"/>
        <v>3.3406123864501612E-12</v>
      </c>
      <c r="EN180" s="59">
        <f t="shared" si="128"/>
        <v>293.33333333333667</v>
      </c>
      <c r="EO180" s="59">
        <f ca="1">AVERAGE(OFFSET($EN$3,0,0,'Données projet'!$E$15+1,1))-AVERAGE(OFFSET($H$3,0,0,'Données projet'!$E$15+1,1))</f>
        <v>130.76477588601989</v>
      </c>
      <c r="EP180" s="59">
        <f t="shared" si="154"/>
        <v>94.034011511502172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92.12537467857706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92.12537467857706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-2.2737367544323206E-13</v>
      </c>
      <c r="FF180" s="17">
        <f>FE180*VLOOKUP('Données projet'!$B$16,Paramètres!$A$1:$I$89,3,0)*VLOOKUP('Données projet'!$B$16,Paramètres!$A$1:$I$89,5,0)</f>
        <v>-1.0345502232667058E-13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279.43442619866738</v>
      </c>
      <c r="FK180" s="59">
        <f t="shared" si="156"/>
        <v>355.95192241448217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20.760410413920489</v>
      </c>
      <c r="FR180" s="21">
        <f>EXP(-LN(2)/25)*FR179+(1-EXP(-LN(2)/25))/(LN(2)/25)*Calculateur!FM180*Calculateur!FO180*VLOOKUP('Données projet'!$B$16,Paramètres!$A$1:$I$89,3,0)*0.475*44/12</f>
        <v>2.0456413718093813</v>
      </c>
      <c r="FS180" s="21">
        <f>EXP(-LN(2)/2)*FS179+(1-EXP(-LN(2)/2))/(LN(2)/2)*FM180*FP180*VLOOKUP('Données projet'!$B$16,Paramètres!$A$1:$I$89,3,0)*0.475*44/12</f>
        <v>1.1246413468501556E-16</v>
      </c>
      <c r="FT180" s="22">
        <f t="shared" si="184"/>
        <v>22.806051785729871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-6.7984728957526396E-14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227.89848316900191</v>
      </c>
      <c r="T181" s="59">
        <f t="shared" si="142"/>
        <v>239.85955661394541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13.84752013196405</v>
      </c>
      <c r="AA181" s="21">
        <f>EXP(-LN(2)/25)*AA180+(1-EXP(-LN(2)/25))/(LN(2)/25)*Calculateur!V181*Calculateur!X181*VLOOKUP('Données projet'!$B$9,Paramètres!$A$1:$I$89,3,0)*0.475*44/12</f>
        <v>1.3105952001237455</v>
      </c>
      <c r="AB181" s="21">
        <f>EXP(-LN(2)/2)*AB180+(1-EXP(-LN(2)/2))/(LN(2)/2)*V181*Y181*VLOOKUP('Données projet'!$B$9,Paramètres!$A$1:$I$89,3,0)*0.475*44/12</f>
        <v>1.2718319566921488E-16</v>
      </c>
      <c r="AC181" s="22">
        <f t="shared" si="163"/>
        <v>15.158115332087796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-5.6843418860808015E-14</v>
      </c>
      <c r="AJ181" s="13">
        <f>AI181*VLOOKUP('Données projet'!$B$10,Paramètres!$A$1:$I$89,3,0)*VLOOKUP('Données projet'!$B$10,Paramètres!$A$1:$I$89,5,0)</f>
        <v>-5.1431925385259088E-14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215.7418266360167</v>
      </c>
      <c r="AO181" s="59">
        <f t="shared" si="144"/>
        <v>155.78420008229949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70.364214666576032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70.364214666576032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2.2737367544323206E-13</v>
      </c>
      <c r="BE181" s="13">
        <f>BD181*VLOOKUP('Données projet'!$B$11,Paramètres!$A$1:$I$89,3,0)*VLOOKUP('Données projet'!$B$11,Paramètres!$A$1:$I$89,5,0)</f>
        <v>2.3055690689943731E-13</v>
      </c>
      <c r="BF181" s="13">
        <f t="shared" si="167"/>
        <v>3.142699285622457E-12</v>
      </c>
      <c r="BG181" s="20">
        <f t="shared" si="168"/>
        <v>5.8750878686422984E-12</v>
      </c>
      <c r="BH181" s="59">
        <f t="shared" si="116"/>
        <v>293.33333333333917</v>
      </c>
      <c r="BI181" s="59">
        <f ca="1">AVERAGE(OFFSET($BH$3,0,0,'Données projet'!$E$11+1,1))-AVERAGE(OFFSET($H$3,0,0,'Données projet'!$E$11+1,1))</f>
        <v>179.53921263314447</v>
      </c>
      <c r="BJ181" s="59">
        <f t="shared" si="146"/>
        <v>120.81513023281337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106.35372097253479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106.35372097253479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500.00000000000045</v>
      </c>
      <c r="BZ181" s="13">
        <f>BY181*VLOOKUP('Données projet'!$B$12,Paramètres!$A$1:$I$89,3,0)*VLOOKUP('Données projet'!$B$12,Paramètres!$A$1:$I$89,5,0)</f>
        <v>234.00000000000023</v>
      </c>
      <c r="CA181" s="13">
        <f t="shared" si="170"/>
        <v>57.146705242557189</v>
      </c>
      <c r="CB181" s="20">
        <f t="shared" si="171"/>
        <v>507.08051163078744</v>
      </c>
      <c r="CC181" s="59">
        <f t="shared" si="119"/>
        <v>800.4138449641207</v>
      </c>
      <c r="CD181" s="59">
        <f ca="1">AVERAGE(OFFSET($CC$3,0,0,'Données projet'!$E$12+1,1))-AVERAGE(OFFSET($H$3,0,0,'Données projet'!$E$12+1,1))</f>
        <v>310.06530483941287</v>
      </c>
      <c r="CE181" s="59">
        <f t="shared" si="148"/>
        <v>170.13425794309376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24.231689843448876</v>
      </c>
      <c r="CL181" s="21">
        <f>EXP(-LN(2)/25)*CL180+(1-EXP(-LN(2)/25))/(LN(2)/25)*Calculateur!CG181*Calculateur!CI181*VLOOKUP('Données projet'!$B$12,Paramètres!$A$1:$I$89,3,0)*0.475*44/12</f>
        <v>2.767361870167798</v>
      </c>
      <c r="CM181" s="21">
        <f>EXP(-LN(2)/2)*CM180+(1-EXP(-LN(2)/2))/(LN(2)/2)*CG181*CJ181*VLOOKUP('Données projet'!$B$12,Paramètres!$A$1:$I$89,3,0)*0.475*44/12</f>
        <v>1.3379202783159668E-11</v>
      </c>
      <c r="CN181" s="22">
        <f t="shared" si="172"/>
        <v>26.999051713630053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168.08890945052406</v>
      </c>
      <c r="CZ181" s="59">
        <f t="shared" si="150"/>
        <v>182.52462557642343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10.957261172741793</v>
      </c>
      <c r="DG181" s="21">
        <f>EXP(-LN(2)/25)*DG180+(1-EXP(-LN(2)/25))/(LN(2)/25)*Calculateur!DB181*Calculateur!DD181*VLOOKUP('Données projet'!$B$13,Paramètres!$A$1:$I$89,3,0)*0.475*44/12</f>
        <v>1.083319771141003</v>
      </c>
      <c r="DH181" s="21">
        <f>EXP(-LN(2)/2)*DH180+(1-EXP(-LN(2)/2))/(LN(2)/2)*DB181*DE181*VLOOKUP('Données projet'!$B$13,Paramètres!$A$1:$I$89,3,0)*0.475*44/12</f>
        <v>9.833703310942885E-17</v>
      </c>
      <c r="DI181" s="22">
        <f t="shared" si="175"/>
        <v>12.040580943882796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-2.2737367544323206E-13</v>
      </c>
      <c r="DP181" s="17">
        <f>DO181*VLOOKUP('Données projet'!$B$14,Paramètres!$A$1:$I$89,3,0)*VLOOKUP('Données projet'!$B$14,Paramètres!$A$1:$I$89,5,0)</f>
        <v>-1.2710188457276673E-13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355.23615781077405</v>
      </c>
      <c r="DU181" s="59">
        <f t="shared" si="152"/>
        <v>448.84541017639367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25.005496897630074</v>
      </c>
      <c r="EB181" s="21">
        <f>EXP(-LN(2)/25)*EB180+(1-EXP(-LN(2)/25))/(LN(2)/25)*Calculateur!DW181*Calculateur!DY181*VLOOKUP('Données projet'!$B$14,Paramètres!$A$1:$I$89,3,0)*0.475*44/12</f>
        <v>2.4444925039894536</v>
      </c>
      <c r="EC181" s="21">
        <f>EXP(-LN(2)/2)*EC180+(1-EXP(-LN(2)/2))/(LN(2)/2)*DW181*DZ181*VLOOKUP('Données projet'!$B$14,Paramètres!$A$1:$I$89,3,0)*0.475*44/12</f>
        <v>9.7701101367720667E-17</v>
      </c>
      <c r="ED181" s="22">
        <f t="shared" si="178"/>
        <v>27.449989401619529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1.1368683772161603E-13</v>
      </c>
      <c r="EK181" s="17">
        <f>EJ181*VLOOKUP('Données projet'!$B$15,Paramètres!$A$1:$I$89,3,0)*VLOOKUP('Données projet'!$B$15,Paramètres!$A$1:$I$89,5,0)</f>
        <v>1.223725121235475E-13</v>
      </c>
      <c r="EL181" s="13">
        <f t="shared" si="179"/>
        <v>1.7956824466038182E-12</v>
      </c>
      <c r="EM181" s="20">
        <f t="shared" si="180"/>
        <v>3.3406123864501612E-12</v>
      </c>
      <c r="EN181" s="59">
        <f t="shared" si="128"/>
        <v>293.33333333333667</v>
      </c>
      <c r="EO181" s="59">
        <f ca="1">AVERAGE(OFFSET($EN$3,0,0,'Données projet'!$E$15+1,1))-AVERAGE(OFFSET($H$3,0,0,'Données projet'!$E$15+1,1))</f>
        <v>130.76477588601989</v>
      </c>
      <c r="EP181" s="59">
        <f t="shared" si="154"/>
        <v>94.034011511502172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90.318852272060326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90.318852272060326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-2.2737367544323206E-13</v>
      </c>
      <c r="FF181" s="17">
        <f>FE181*VLOOKUP('Données projet'!$B$16,Paramètres!$A$1:$I$89,3,0)*VLOOKUP('Données projet'!$B$16,Paramètres!$A$1:$I$89,5,0)</f>
        <v>-1.0345502232667058E-13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279.43442619866738</v>
      </c>
      <c r="FK181" s="59">
        <f t="shared" si="156"/>
        <v>355.95192241448217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20.353311428303535</v>
      </c>
      <c r="FR181" s="21">
        <f>EXP(-LN(2)/25)*FR180+(1-EXP(-LN(2)/25))/(LN(2)/25)*Calculateur!FM181*Calculateur!FO181*VLOOKUP('Données projet'!$B$16,Paramètres!$A$1:$I$89,3,0)*0.475*44/12</f>
        <v>1.9897032009216493</v>
      </c>
      <c r="FS181" s="21">
        <f>EXP(-LN(2)/2)*FS180+(1-EXP(-LN(2)/2))/(LN(2)/2)*FM181*FP181*VLOOKUP('Données projet'!$B$16,Paramètres!$A$1:$I$89,3,0)*0.475*44/12</f>
        <v>7.9524152276051708E-17</v>
      </c>
      <c r="FT181" s="22">
        <f t="shared" si="184"/>
        <v>22.343014629225184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-6.7984728957526396E-14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227.89848316900191</v>
      </c>
      <c r="T182" s="59">
        <f t="shared" si="142"/>
        <v>239.85955661394541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13.575978708329528</v>
      </c>
      <c r="AA182" s="21">
        <f>EXP(-LN(2)/25)*AA181+(1-EXP(-LN(2)/25))/(LN(2)/25)*Calculateur!V182*Calculateur!X182*VLOOKUP('Données projet'!$B$9,Paramètres!$A$1:$I$89,3,0)*0.475*44/12</f>
        <v>1.2747569054551555</v>
      </c>
      <c r="AB182" s="21">
        <f>EXP(-LN(2)/2)*AB181+(1-EXP(-LN(2)/2))/(LN(2)/2)*V182*Y182*VLOOKUP('Données projet'!$B$9,Paramètres!$A$1:$I$89,3,0)*0.475*44/12</f>
        <v>8.9932100110677388E-17</v>
      </c>
      <c r="AC182" s="22">
        <f t="shared" si="163"/>
        <v>14.850735613784684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-5.6843418860808015E-14</v>
      </c>
      <c r="AJ182" s="13">
        <f>AI182*VLOOKUP('Données projet'!$B$10,Paramètres!$A$1:$I$89,3,0)*VLOOKUP('Données projet'!$B$10,Paramètres!$A$1:$I$89,5,0)</f>
        <v>-5.1431925385259088E-14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215.7418266360167</v>
      </c>
      <c r="AO182" s="59">
        <f t="shared" si="144"/>
        <v>155.78420008229949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68.984415334897633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68.984415334897633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2.2737367544323206E-13</v>
      </c>
      <c r="BE182" s="13">
        <f>BD182*VLOOKUP('Données projet'!$B$11,Paramètres!$A$1:$I$89,3,0)*VLOOKUP('Données projet'!$B$11,Paramètres!$A$1:$I$89,5,0)</f>
        <v>2.3055690689943731E-13</v>
      </c>
      <c r="BF182" s="13">
        <f t="shared" si="167"/>
        <v>3.142699285622457E-12</v>
      </c>
      <c r="BG182" s="20">
        <f t="shared" si="168"/>
        <v>5.8750878686422984E-12</v>
      </c>
      <c r="BH182" s="59">
        <f t="shared" si="116"/>
        <v>293.33333333333917</v>
      </c>
      <c r="BI182" s="59">
        <f ca="1">AVERAGE(OFFSET($BH$3,0,0,'Données projet'!$E$11+1,1))-AVERAGE(OFFSET($H$3,0,0,'Données projet'!$E$11+1,1))</f>
        <v>179.53921263314447</v>
      </c>
      <c r="BJ182" s="59">
        <f t="shared" si="146"/>
        <v>120.81513023281337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104.26818937362786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104.26818937362786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500.00000000000045</v>
      </c>
      <c r="BZ182" s="13">
        <f>BY182*VLOOKUP('Données projet'!$B$12,Paramètres!$A$1:$I$89,3,0)*VLOOKUP('Données projet'!$B$12,Paramètres!$A$1:$I$89,5,0)</f>
        <v>234.00000000000023</v>
      </c>
      <c r="CA182" s="13">
        <f t="shared" si="170"/>
        <v>57.146705242557189</v>
      </c>
      <c r="CB182" s="20">
        <f t="shared" si="171"/>
        <v>507.08051163078744</v>
      </c>
      <c r="CC182" s="59">
        <f t="shared" si="119"/>
        <v>800.4138449641207</v>
      </c>
      <c r="CD182" s="59">
        <f ca="1">AVERAGE(OFFSET($CC$3,0,0,'Données projet'!$E$12+1,1))-AVERAGE(OFFSET($H$3,0,0,'Données projet'!$E$12+1,1))</f>
        <v>310.06530483941287</v>
      </c>
      <c r="CE182" s="59">
        <f t="shared" si="148"/>
        <v>170.13425794309376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23.756521185490257</v>
      </c>
      <c r="CL182" s="21">
        <f>EXP(-LN(2)/25)*CL181+(1-EXP(-LN(2)/25))/(LN(2)/25)*Calculateur!CG182*Calculateur!CI182*VLOOKUP('Données projet'!$B$12,Paramètres!$A$1:$I$89,3,0)*0.475*44/12</f>
        <v>2.6916882142988237</v>
      </c>
      <c r="CM182" s="21">
        <f>EXP(-LN(2)/2)*CM181+(1-EXP(-LN(2)/2))/(LN(2)/2)*CG182*CJ182*VLOOKUP('Données projet'!$B$12,Paramètres!$A$1:$I$89,3,0)*0.475*44/12</f>
        <v>9.4605250148421306E-12</v>
      </c>
      <c r="CN182" s="22">
        <f t="shared" si="172"/>
        <v>26.448209399798543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168.08890945052406</v>
      </c>
      <c r="CZ182" s="59">
        <f t="shared" si="150"/>
        <v>182.52462557642343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10.742395964413724</v>
      </c>
      <c r="DG182" s="21">
        <f>EXP(-LN(2)/25)*DG181+(1-EXP(-LN(2)/25))/(LN(2)/25)*Calculateur!DB182*Calculateur!DD182*VLOOKUP('Données projet'!$B$13,Paramètres!$A$1:$I$89,3,0)*0.475*44/12</f>
        <v>1.0536963350298414</v>
      </c>
      <c r="DH182" s="21">
        <f>EXP(-LN(2)/2)*DH181+(1-EXP(-LN(2)/2))/(LN(2)/2)*DB182*DE182*VLOOKUP('Données projet'!$B$13,Paramètres!$A$1:$I$89,3,0)*0.475*44/12</f>
        <v>6.9534782953443184E-17</v>
      </c>
      <c r="DI182" s="22">
        <f t="shared" si="175"/>
        <v>11.796092299443565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-2.2737367544323206E-13</v>
      </c>
      <c r="DP182" s="17">
        <f>DO182*VLOOKUP('Données projet'!$B$14,Paramètres!$A$1:$I$89,3,0)*VLOOKUP('Données projet'!$B$14,Paramètres!$A$1:$I$89,5,0)</f>
        <v>-1.2710188457276673E-13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355.23615781077405</v>
      </c>
      <c r="DU182" s="59">
        <f t="shared" si="152"/>
        <v>448.84541017639367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24.51515435531466</v>
      </c>
      <c r="EB182" s="21">
        <f>EXP(-LN(2)/25)*EB181+(1-EXP(-LN(2)/25))/(LN(2)/25)*Calculateur!DW182*Calculateur!DY182*VLOOKUP('Données projet'!$B$14,Paramètres!$A$1:$I$89,3,0)*0.475*44/12</f>
        <v>2.377647727917588</v>
      </c>
      <c r="EC182" s="21">
        <f>EXP(-LN(2)/2)*EC181+(1-EXP(-LN(2)/2))/(LN(2)/2)*DW182*DZ182*VLOOKUP('Données projet'!$B$14,Paramètres!$A$1:$I$89,3,0)*0.475*44/12</f>
        <v>6.9085111306509555E-17</v>
      </c>
      <c r="ED182" s="22">
        <f t="shared" si="178"/>
        <v>26.892802083232247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1.1368683772161603E-13</v>
      </c>
      <c r="EK182" s="17">
        <f>EJ182*VLOOKUP('Données projet'!$B$15,Paramètres!$A$1:$I$89,3,0)*VLOOKUP('Données projet'!$B$15,Paramètres!$A$1:$I$89,5,0)</f>
        <v>1.223725121235475E-13</v>
      </c>
      <c r="EL182" s="13">
        <f t="shared" si="179"/>
        <v>1.7956824466038182E-12</v>
      </c>
      <c r="EM182" s="20">
        <f t="shared" si="180"/>
        <v>3.3406123864501612E-12</v>
      </c>
      <c r="EN182" s="59">
        <f t="shared" si="128"/>
        <v>293.33333333333667</v>
      </c>
      <c r="EO182" s="59">
        <f ca="1">AVERAGE(OFFSET($EN$3,0,0,'Données projet'!$E$15+1,1))-AVERAGE(OFFSET($H$3,0,0,'Données projet'!$E$15+1,1))</f>
        <v>130.76477588601989</v>
      </c>
      <c r="EP182" s="59">
        <f t="shared" si="154"/>
        <v>94.034011511502172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88.547754668065522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88.547754668065522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-2.2737367544323206E-13</v>
      </c>
      <c r="FF182" s="17">
        <f>FE182*VLOOKUP('Données projet'!$B$16,Paramètres!$A$1:$I$89,3,0)*VLOOKUP('Données projet'!$B$16,Paramètres!$A$1:$I$89,5,0)</f>
        <v>-1.0345502232667058E-13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279.43442619866738</v>
      </c>
      <c r="FK182" s="59">
        <f t="shared" si="156"/>
        <v>355.95192241448217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19.954195405488665</v>
      </c>
      <c r="FR182" s="21">
        <f>EXP(-LN(2)/25)*FR181+(1-EXP(-LN(2)/25))/(LN(2)/25)*Calculateur!FM182*Calculateur!FO182*VLOOKUP('Données projet'!$B$16,Paramètres!$A$1:$I$89,3,0)*0.475*44/12</f>
        <v>1.935294662258503</v>
      </c>
      <c r="FS182" s="21">
        <f>EXP(-LN(2)/2)*FS181+(1-EXP(-LN(2)/2))/(LN(2)/2)*FM182*FP182*VLOOKUP('Données projet'!$B$16,Paramètres!$A$1:$I$89,3,0)*0.475*44/12</f>
        <v>5.6232067342507779E-17</v>
      </c>
      <c r="FT182" s="22">
        <f t="shared" si="184"/>
        <v>21.889490067747168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-6.7984728957526396E-14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227.89848316900191</v>
      </c>
      <c r="T183" s="59">
        <f t="shared" si="142"/>
        <v>239.85955661394541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13.309762046388563</v>
      </c>
      <c r="AA183" s="21">
        <f>EXP(-LN(2)/25)*AA182+(1-EXP(-LN(2)/25))/(LN(2)/25)*Calculateur!V183*Calculateur!X183*VLOOKUP('Données projet'!$B$9,Paramètres!$A$1:$I$89,3,0)*0.475*44/12</f>
        <v>1.239898610838932</v>
      </c>
      <c r="AB183" s="21">
        <f>EXP(-LN(2)/2)*AB182+(1-EXP(-LN(2)/2))/(LN(2)/2)*V183*Y183*VLOOKUP('Données projet'!$B$9,Paramètres!$A$1:$I$89,3,0)*0.475*44/12</f>
        <v>6.3591597834607442E-17</v>
      </c>
      <c r="AC183" s="22">
        <f t="shared" si="163"/>
        <v>14.549660657227495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-5.6843418860808015E-14</v>
      </c>
      <c r="AJ183" s="13">
        <f>AI183*VLOOKUP('Données projet'!$B$10,Paramètres!$A$1:$I$89,3,0)*VLOOKUP('Données projet'!$B$10,Paramètres!$A$1:$I$89,5,0)</f>
        <v>-5.1431925385259088E-14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215.7418266360167</v>
      </c>
      <c r="AO183" s="59">
        <f t="shared" si="144"/>
        <v>155.78420008229949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67.631673026518953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67.631673026518953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2.2737367544323206E-13</v>
      </c>
      <c r="BE183" s="13">
        <f>BD183*VLOOKUP('Données projet'!$B$11,Paramètres!$A$1:$I$89,3,0)*VLOOKUP('Données projet'!$B$11,Paramètres!$A$1:$I$89,5,0)</f>
        <v>2.3055690689943731E-13</v>
      </c>
      <c r="BF183" s="13">
        <f t="shared" si="167"/>
        <v>3.142699285622457E-12</v>
      </c>
      <c r="BG183" s="20">
        <f t="shared" si="168"/>
        <v>5.8750878686422984E-12</v>
      </c>
      <c r="BH183" s="59">
        <f t="shared" si="116"/>
        <v>293.33333333333917</v>
      </c>
      <c r="BI183" s="59">
        <f ca="1">AVERAGE(OFFSET($BH$3,0,0,'Données projet'!$E$11+1,1))-AVERAGE(OFFSET($H$3,0,0,'Données projet'!$E$11+1,1))</f>
        <v>179.53921263314447</v>
      </c>
      <c r="BJ183" s="59">
        <f t="shared" si="146"/>
        <v>120.81513023281337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102.22355377732683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102.22355377732683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500.00000000000045</v>
      </c>
      <c r="BZ183" s="13">
        <f>BY183*VLOOKUP('Données projet'!$B$12,Paramètres!$A$1:$I$89,3,0)*VLOOKUP('Données projet'!$B$12,Paramètres!$A$1:$I$89,5,0)</f>
        <v>234.00000000000023</v>
      </c>
      <c r="CA183" s="13">
        <f t="shared" si="170"/>
        <v>57.146705242557189</v>
      </c>
      <c r="CB183" s="20">
        <f t="shared" si="171"/>
        <v>507.08051163078744</v>
      </c>
      <c r="CC183" s="59">
        <f t="shared" si="119"/>
        <v>800.4138449641207</v>
      </c>
      <c r="CD183" s="59">
        <f ca="1">AVERAGE(OFFSET($CC$3,0,0,'Données projet'!$E$12+1,1))-AVERAGE(OFFSET($H$3,0,0,'Données projet'!$E$12+1,1))</f>
        <v>310.06530483941287</v>
      </c>
      <c r="CE183" s="59">
        <f t="shared" si="148"/>
        <v>170.13425794309376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23.290670295089942</v>
      </c>
      <c r="CL183" s="21">
        <f>EXP(-LN(2)/25)*CL182+(1-EXP(-LN(2)/25))/(LN(2)/25)*Calculateur!CG183*Calculateur!CI183*VLOOKUP('Données projet'!$B$12,Paramètres!$A$1:$I$89,3,0)*0.475*44/12</f>
        <v>2.6180838585290909</v>
      </c>
      <c r="CM183" s="21">
        <f>EXP(-LN(2)/2)*CM182+(1-EXP(-LN(2)/2))/(LN(2)/2)*CG183*CJ183*VLOOKUP('Données projet'!$B$12,Paramètres!$A$1:$I$89,3,0)*0.475*44/12</f>
        <v>6.6896013915798338E-12</v>
      </c>
      <c r="CN183" s="22">
        <f t="shared" si="172"/>
        <v>25.908754153625722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168.08890945052406</v>
      </c>
      <c r="CZ183" s="59">
        <f t="shared" si="150"/>
        <v>182.52462557642343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10.531744131766132</v>
      </c>
      <c r="DG183" s="21">
        <f>EXP(-LN(2)/25)*DG182+(1-EXP(-LN(2)/25))/(LN(2)/25)*Calculateur!DB183*Calculateur!DD183*VLOOKUP('Données projet'!$B$13,Paramètres!$A$1:$I$89,3,0)*0.475*44/12</f>
        <v>1.0248829533369683</v>
      </c>
      <c r="DH183" s="21">
        <f>EXP(-LN(2)/2)*DH182+(1-EXP(-LN(2)/2))/(LN(2)/2)*DB183*DE183*VLOOKUP('Données projet'!$B$13,Paramètres!$A$1:$I$89,3,0)*0.475*44/12</f>
        <v>4.9168516554714425E-17</v>
      </c>
      <c r="DI183" s="22">
        <f t="shared" si="175"/>
        <v>11.5566270851031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-2.2737367544323206E-13</v>
      </c>
      <c r="DP183" s="17">
        <f>DO183*VLOOKUP('Données projet'!$B$14,Paramètres!$A$1:$I$89,3,0)*VLOOKUP('Données projet'!$B$14,Paramètres!$A$1:$I$89,5,0)</f>
        <v>-1.2710188457276673E-13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355.23615781077405</v>
      </c>
      <c r="DU183" s="59">
        <f t="shared" si="152"/>
        <v>448.84541017639367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24.034427131174635</v>
      </c>
      <c r="EB183" s="21">
        <f>EXP(-LN(2)/25)*EB182+(1-EXP(-LN(2)/25))/(LN(2)/25)*Calculateur!DW183*Calculateur!DY183*VLOOKUP('Données projet'!$B$14,Paramètres!$A$1:$I$89,3,0)*0.475*44/12</f>
        <v>2.3126308257626218</v>
      </c>
      <c r="EC183" s="21">
        <f>EXP(-LN(2)/2)*EC182+(1-EXP(-LN(2)/2))/(LN(2)/2)*DW183*DZ183*VLOOKUP('Données projet'!$B$14,Paramètres!$A$1:$I$89,3,0)*0.475*44/12</f>
        <v>4.8850550683860333E-17</v>
      </c>
      <c r="ED183" s="22">
        <f t="shared" si="178"/>
        <v>26.347057956937256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1.1368683772161603E-13</v>
      </c>
      <c r="EK183" s="17">
        <f>EJ183*VLOOKUP('Données projet'!$B$15,Paramètres!$A$1:$I$89,3,0)*VLOOKUP('Données projet'!$B$15,Paramètres!$A$1:$I$89,5,0)</f>
        <v>1.223725121235475E-13</v>
      </c>
      <c r="EL183" s="13">
        <f t="shared" si="179"/>
        <v>1.7956824466038182E-12</v>
      </c>
      <c r="EM183" s="20">
        <f t="shared" si="180"/>
        <v>3.3406123864501612E-12</v>
      </c>
      <c r="EN183" s="59">
        <f t="shared" si="128"/>
        <v>293.33333333333667</v>
      </c>
      <c r="EO183" s="59">
        <f ca="1">AVERAGE(OFFSET($EN$3,0,0,'Données projet'!$E$15+1,1))-AVERAGE(OFFSET($H$3,0,0,'Données projet'!$E$15+1,1))</f>
        <v>130.76477588601989</v>
      </c>
      <c r="EP183" s="59">
        <f t="shared" si="154"/>
        <v>94.034011511502172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86.811387207822179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86.811387207822179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-2.2737367544323206E-13</v>
      </c>
      <c r="FF183" s="17">
        <f>FE183*VLOOKUP('Données projet'!$B$16,Paramètres!$A$1:$I$89,3,0)*VLOOKUP('Données projet'!$B$16,Paramètres!$A$1:$I$89,5,0)</f>
        <v>-1.0345502232667058E-13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279.43442619866738</v>
      </c>
      <c r="FK183" s="59">
        <f t="shared" si="156"/>
        <v>355.95192241448217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19.562905804444458</v>
      </c>
      <c r="FR183" s="21">
        <f>EXP(-LN(2)/25)*FR182+(1-EXP(-LN(2)/25))/(LN(2)/25)*Calculateur!FM183*Calculateur!FO183*VLOOKUP('Données projet'!$B$16,Paramètres!$A$1:$I$89,3,0)*0.475*44/12</f>
        <v>1.8823739279463212</v>
      </c>
      <c r="FS183" s="21">
        <f>EXP(-LN(2)/2)*FS182+(1-EXP(-LN(2)/2))/(LN(2)/2)*FM183*FP183*VLOOKUP('Données projet'!$B$16,Paramètres!$A$1:$I$89,3,0)*0.475*44/12</f>
        <v>3.9762076138025854E-17</v>
      </c>
      <c r="FT183" s="22">
        <f t="shared" si="184"/>
        <v>21.44527973239078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-6.7984728957526396E-14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227.89848316900191</v>
      </c>
      <c r="T184" s="59">
        <f t="shared" si="142"/>
        <v>239.85955661394541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13.04876573081213</v>
      </c>
      <c r="AA184" s="21">
        <f>EXP(-LN(2)/25)*AA183+(1-EXP(-LN(2)/25))/(LN(2)/25)*Calculateur!V184*Calculateur!X184*VLOOKUP('Données projet'!$B$9,Paramètres!$A$1:$I$89,3,0)*0.475*44/12</f>
        <v>1.2059935181221073</v>
      </c>
      <c r="AB184" s="21">
        <f>EXP(-LN(2)/2)*AB183+(1-EXP(-LN(2)/2))/(LN(2)/2)*V184*Y184*VLOOKUP('Données projet'!$B$9,Paramètres!$A$1:$I$89,3,0)*0.475*44/12</f>
        <v>4.4966050055338694E-17</v>
      </c>
      <c r="AC184" s="22">
        <f t="shared" si="163"/>
        <v>14.254759248934239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-5.6843418860808015E-14</v>
      </c>
      <c r="AJ184" s="13">
        <f>AI184*VLOOKUP('Données projet'!$B$10,Paramètres!$A$1:$I$89,3,0)*VLOOKUP('Données projet'!$B$10,Paramètres!$A$1:$I$89,5,0)</f>
        <v>-5.1431925385259088E-14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215.7418266360167</v>
      </c>
      <c r="AO184" s="59">
        <f t="shared" si="144"/>
        <v>155.78420008229949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66.305457169716234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66.305457169716234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2.2737367544323206E-13</v>
      </c>
      <c r="BE184" s="13">
        <f>BD184*VLOOKUP('Données projet'!$B$11,Paramètres!$A$1:$I$89,3,0)*VLOOKUP('Données projet'!$B$11,Paramètres!$A$1:$I$89,5,0)</f>
        <v>2.3055690689943731E-13</v>
      </c>
      <c r="BF184" s="13">
        <f t="shared" si="167"/>
        <v>3.142699285622457E-12</v>
      </c>
      <c r="BG184" s="20">
        <f t="shared" si="168"/>
        <v>5.8750878686422984E-12</v>
      </c>
      <c r="BH184" s="59">
        <f t="shared" si="116"/>
        <v>293.33333333333917</v>
      </c>
      <c r="BI184" s="59">
        <f ca="1">AVERAGE(OFFSET($BH$3,0,0,'Données projet'!$E$11+1,1))-AVERAGE(OFFSET($H$3,0,0,'Données projet'!$E$11+1,1))</f>
        <v>179.53921263314447</v>
      </c>
      <c r="BJ184" s="59">
        <f t="shared" si="146"/>
        <v>120.81513023281337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100.21901223796468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100.21901223796468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500.00000000000045</v>
      </c>
      <c r="BZ184" s="13">
        <f>BY184*VLOOKUP('Données projet'!$B$12,Paramètres!$A$1:$I$89,3,0)*VLOOKUP('Données projet'!$B$12,Paramètres!$A$1:$I$89,5,0)</f>
        <v>234.00000000000023</v>
      </c>
      <c r="CA184" s="13">
        <f t="shared" si="170"/>
        <v>57.146705242557189</v>
      </c>
      <c r="CB184" s="20">
        <f t="shared" si="171"/>
        <v>507.08051163078744</v>
      </c>
      <c r="CC184" s="59">
        <f t="shared" si="119"/>
        <v>800.4138449641207</v>
      </c>
      <c r="CD184" s="59">
        <f ca="1">AVERAGE(OFFSET($CC$3,0,0,'Données projet'!$E$12+1,1))-AVERAGE(OFFSET($H$3,0,0,'Données projet'!$E$12+1,1))</f>
        <v>310.06530483941287</v>
      </c>
      <c r="CE184" s="59">
        <f t="shared" si="148"/>
        <v>170.13425794309376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22.833954456509392</v>
      </c>
      <c r="CL184" s="21">
        <f>EXP(-LN(2)/25)*CL183+(1-EXP(-LN(2)/25))/(LN(2)/25)*Calculateur!CG184*Calculateur!CI184*VLOOKUP('Données projet'!$B$12,Paramètres!$A$1:$I$89,3,0)*0.475*44/12</f>
        <v>2.5464922177385665</v>
      </c>
      <c r="CM184" s="21">
        <f>EXP(-LN(2)/2)*CM183+(1-EXP(-LN(2)/2))/(LN(2)/2)*CG184*CJ184*VLOOKUP('Données projet'!$B$12,Paramètres!$A$1:$I$89,3,0)*0.475*44/12</f>
        <v>4.7302625074210653E-12</v>
      </c>
      <c r="CN184" s="22">
        <f t="shared" si="172"/>
        <v>25.380446674252688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168.08890945052406</v>
      </c>
      <c r="CZ184" s="59">
        <f t="shared" si="150"/>
        <v>182.52462557642343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10.325223053071827</v>
      </c>
      <c r="DG184" s="21">
        <f>EXP(-LN(2)/25)*DG183+(1-EXP(-LN(2)/25))/(LN(2)/25)*Calculateur!DB184*Calculateur!DD184*VLOOKUP('Données projet'!$B$13,Paramètres!$A$1:$I$89,3,0)*0.475*44/12</f>
        <v>0.99685747508171685</v>
      </c>
      <c r="DH184" s="21">
        <f>EXP(-LN(2)/2)*DH183+(1-EXP(-LN(2)/2))/(LN(2)/2)*DB184*DE184*VLOOKUP('Données projet'!$B$13,Paramètres!$A$1:$I$89,3,0)*0.475*44/12</f>
        <v>3.4767391476721592E-17</v>
      </c>
      <c r="DI184" s="22">
        <f t="shared" si="175"/>
        <v>11.322080528153544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-2.2737367544323206E-13</v>
      </c>
      <c r="DP184" s="17">
        <f>DO184*VLOOKUP('Données projet'!$B$14,Paramètres!$A$1:$I$89,3,0)*VLOOKUP('Données projet'!$B$14,Paramètres!$A$1:$I$89,5,0)</f>
        <v>-1.2710188457276673E-13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355.23615781077405</v>
      </c>
      <c r="DU184" s="59">
        <f t="shared" si="152"/>
        <v>448.84541017639367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23.563126674685339</v>
      </c>
      <c r="EB184" s="21">
        <f>EXP(-LN(2)/25)*EB183+(1-EXP(-LN(2)/25))/(LN(2)/25)*Calculateur!DW184*Calculateur!DY184*VLOOKUP('Données projet'!$B$14,Paramètres!$A$1:$I$89,3,0)*0.475*44/12</f>
        <v>2.2493918142161733</v>
      </c>
      <c r="EC184" s="21">
        <f>EXP(-LN(2)/2)*EC183+(1-EXP(-LN(2)/2))/(LN(2)/2)*DW184*DZ184*VLOOKUP('Données projet'!$B$14,Paramètres!$A$1:$I$89,3,0)*0.475*44/12</f>
        <v>3.4542555653254778E-17</v>
      </c>
      <c r="ED184" s="22">
        <f t="shared" si="178"/>
        <v>25.812518488901514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1.1368683772161603E-13</v>
      </c>
      <c r="EK184" s="17">
        <f>EJ184*VLOOKUP('Données projet'!$B$15,Paramètres!$A$1:$I$89,3,0)*VLOOKUP('Données projet'!$B$15,Paramètres!$A$1:$I$89,5,0)</f>
        <v>1.223725121235475E-13</v>
      </c>
      <c r="EL184" s="13">
        <f t="shared" si="179"/>
        <v>1.7956824466038182E-12</v>
      </c>
      <c r="EM184" s="20">
        <f t="shared" si="180"/>
        <v>3.3406123864501612E-12</v>
      </c>
      <c r="EN184" s="59">
        <f t="shared" si="128"/>
        <v>293.33333333333667</v>
      </c>
      <c r="EO184" s="59">
        <f ca="1">AVERAGE(OFFSET($EN$3,0,0,'Données projet'!$E$15+1,1))-AVERAGE(OFFSET($H$3,0,0,'Données projet'!$E$15+1,1))</f>
        <v>130.76477588601989</v>
      </c>
      <c r="EP184" s="59">
        <f t="shared" si="154"/>
        <v>94.034011511502172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85.109068854394636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85.109068854394636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-2.2737367544323206E-13</v>
      </c>
      <c r="FF184" s="17">
        <f>FE184*VLOOKUP('Données projet'!$B$16,Paramètres!$A$1:$I$89,3,0)*VLOOKUP('Données projet'!$B$16,Paramètres!$A$1:$I$89,5,0)</f>
        <v>-1.0345502232667058E-13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279.43442619866738</v>
      </c>
      <c r="FK184" s="59">
        <f t="shared" si="156"/>
        <v>355.95192241448217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19.179289153813638</v>
      </c>
      <c r="FR184" s="21">
        <f>EXP(-LN(2)/25)*FR183+(1-EXP(-LN(2)/25))/(LN(2)/25)*Calculateur!FM184*Calculateur!FO184*VLOOKUP('Données projet'!$B$16,Paramètres!$A$1:$I$89,3,0)*0.475*44/12</f>
        <v>1.8309003138968865</v>
      </c>
      <c r="FS184" s="21">
        <f>EXP(-LN(2)/2)*FS183+(1-EXP(-LN(2)/2))/(LN(2)/2)*FM184*FP184*VLOOKUP('Données projet'!$B$16,Paramètres!$A$1:$I$89,3,0)*0.475*44/12</f>
        <v>2.811603367125389E-17</v>
      </c>
      <c r="FT184" s="22">
        <f t="shared" si="184"/>
        <v>21.010189467710525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-6.7984728957526396E-14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227.89848316900191</v>
      </c>
      <c r="T185" s="59">
        <f t="shared" si="142"/>
        <v>239.85955661394541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12.792887393792117</v>
      </c>
      <c r="AA185" s="21">
        <f>EXP(-LN(2)/25)*AA184+(1-EXP(-LN(2)/25))/(LN(2)/25)*Calculateur!V185*Calculateur!X185*VLOOKUP('Données projet'!$B$9,Paramètres!$A$1:$I$89,3,0)*0.475*44/12</f>
        <v>1.1730155619486156</v>
      </c>
      <c r="AB185" s="21">
        <f>EXP(-LN(2)/2)*AB184+(1-EXP(-LN(2)/2))/(LN(2)/2)*V185*Y185*VLOOKUP('Données projet'!$B$9,Paramètres!$A$1:$I$89,3,0)*0.475*44/12</f>
        <v>3.1795798917303721E-17</v>
      </c>
      <c r="AC185" s="22">
        <f t="shared" si="163"/>
        <v>13.965902955740733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-5.6843418860808015E-14</v>
      </c>
      <c r="AJ185" s="13">
        <f>AI185*VLOOKUP('Données projet'!$B$10,Paramètres!$A$1:$I$89,3,0)*VLOOKUP('Données projet'!$B$10,Paramètres!$A$1:$I$89,5,0)</f>
        <v>-5.1431925385259088E-14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215.7418266360167</v>
      </c>
      <c r="AO185" s="59">
        <f t="shared" si="144"/>
        <v>155.78420008229949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65.005247596953623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65.005247596953623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2.2737367544323206E-13</v>
      </c>
      <c r="BE185" s="13">
        <f>BD185*VLOOKUP('Données projet'!$B$11,Paramètres!$A$1:$I$89,3,0)*VLOOKUP('Données projet'!$B$11,Paramètres!$A$1:$I$89,5,0)</f>
        <v>2.3055690689943731E-13</v>
      </c>
      <c r="BF185" s="13">
        <f t="shared" si="167"/>
        <v>3.142699285622457E-12</v>
      </c>
      <c r="BG185" s="20">
        <f t="shared" si="168"/>
        <v>5.8750878686422984E-12</v>
      </c>
      <c r="BH185" s="59">
        <f t="shared" si="116"/>
        <v>293.33333333333917</v>
      </c>
      <c r="BI185" s="59">
        <f ca="1">AVERAGE(OFFSET($BH$3,0,0,'Données projet'!$E$11+1,1))-AVERAGE(OFFSET($H$3,0,0,'Données projet'!$E$11+1,1))</f>
        <v>179.53921263314447</v>
      </c>
      <c r="BJ185" s="59">
        <f t="shared" si="146"/>
        <v>120.81513023281337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98.253778535539809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98.253778535539809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500.00000000000045</v>
      </c>
      <c r="BZ185" s="13">
        <f>BY185*VLOOKUP('Données projet'!$B$12,Paramètres!$A$1:$I$89,3,0)*VLOOKUP('Données projet'!$B$12,Paramètres!$A$1:$I$89,5,0)</f>
        <v>234.00000000000023</v>
      </c>
      <c r="CA185" s="13">
        <f t="shared" si="170"/>
        <v>57.146705242557189</v>
      </c>
      <c r="CB185" s="20">
        <f t="shared" si="171"/>
        <v>507.08051163078744</v>
      </c>
      <c r="CC185" s="59">
        <f t="shared" si="119"/>
        <v>800.4138449641207</v>
      </c>
      <c r="CD185" s="59">
        <f ca="1">AVERAGE(OFFSET($CC$3,0,0,'Données projet'!$E$12+1,1))-AVERAGE(OFFSET($H$3,0,0,'Données projet'!$E$12+1,1))</f>
        <v>310.06530483941287</v>
      </c>
      <c r="CE185" s="59">
        <f t="shared" si="148"/>
        <v>170.13425794309376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22.38619453695425</v>
      </c>
      <c r="CL185" s="21">
        <f>EXP(-LN(2)/25)*CL184+(1-EXP(-LN(2)/25))/(LN(2)/25)*Calculateur!CG185*Calculateur!CI185*VLOOKUP('Données projet'!$B$12,Paramètres!$A$1:$I$89,3,0)*0.475*44/12</f>
        <v>2.4768582541302999</v>
      </c>
      <c r="CM185" s="21">
        <f>EXP(-LN(2)/2)*CM184+(1-EXP(-LN(2)/2))/(LN(2)/2)*CG185*CJ185*VLOOKUP('Données projet'!$B$12,Paramètres!$A$1:$I$89,3,0)*0.475*44/12</f>
        <v>3.3448006957899169E-12</v>
      </c>
      <c r="CN185" s="22">
        <f t="shared" si="172"/>
        <v>24.863052791087892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168.08890945052406</v>
      </c>
      <c r="CZ185" s="59">
        <f t="shared" si="150"/>
        <v>182.52462557642343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10.122751726765298</v>
      </c>
      <c r="DG185" s="21">
        <f>EXP(-LN(2)/25)*DG184+(1-EXP(-LN(2)/25))/(LN(2)/25)*Calculateur!DB185*Calculateur!DD185*VLOOKUP('Données projet'!$B$13,Paramètres!$A$1:$I$89,3,0)*0.475*44/12</f>
        <v>0.96959835500315106</v>
      </c>
      <c r="DH185" s="21">
        <f>EXP(-LN(2)/2)*DH184+(1-EXP(-LN(2)/2))/(LN(2)/2)*DB185*DE185*VLOOKUP('Données projet'!$B$13,Paramètres!$A$1:$I$89,3,0)*0.475*44/12</f>
        <v>2.4584258277357213E-17</v>
      </c>
      <c r="DI185" s="22">
        <f t="shared" si="175"/>
        <v>11.092350081768449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-2.2737367544323206E-13</v>
      </c>
      <c r="DP185" s="17">
        <f>DO185*VLOOKUP('Données projet'!$B$14,Paramètres!$A$1:$I$89,3,0)*VLOOKUP('Données projet'!$B$14,Paramètres!$A$1:$I$89,5,0)</f>
        <v>-1.2710188457276673E-13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355.23615781077405</v>
      </c>
      <c r="DU185" s="59">
        <f t="shared" si="152"/>
        <v>448.84541017639367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23.101068132682904</v>
      </c>
      <c r="EB185" s="21">
        <f>EXP(-LN(2)/25)*EB184+(1-EXP(-LN(2)/25))/(LN(2)/25)*Calculateur!DW185*Calculateur!DY185*VLOOKUP('Données projet'!$B$14,Paramètres!$A$1:$I$89,3,0)*0.475*44/12</f>
        <v>2.1878820767660576</v>
      </c>
      <c r="EC185" s="21">
        <f>EXP(-LN(2)/2)*EC184+(1-EXP(-LN(2)/2))/(LN(2)/2)*DW185*DZ185*VLOOKUP('Données projet'!$B$14,Paramètres!$A$1:$I$89,3,0)*0.475*44/12</f>
        <v>2.4425275341930167E-17</v>
      </c>
      <c r="ED185" s="22">
        <f t="shared" si="178"/>
        <v>25.288950209448963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1.1368683772161603E-13</v>
      </c>
      <c r="EK185" s="17">
        <f>EJ185*VLOOKUP('Données projet'!$B$15,Paramètres!$A$1:$I$89,3,0)*VLOOKUP('Données projet'!$B$15,Paramètres!$A$1:$I$89,5,0)</f>
        <v>1.223725121235475E-13</v>
      </c>
      <c r="EL185" s="13">
        <f t="shared" si="179"/>
        <v>1.7956824466038182E-12</v>
      </c>
      <c r="EM185" s="20">
        <f t="shared" si="180"/>
        <v>3.3406123864501612E-12</v>
      </c>
      <c r="EN185" s="59">
        <f t="shared" si="128"/>
        <v>293.33333333333667</v>
      </c>
      <c r="EO185" s="59">
        <f ca="1">AVERAGE(OFFSET($EN$3,0,0,'Données projet'!$E$15+1,1))-AVERAGE(OFFSET($H$3,0,0,'Données projet'!$E$15+1,1))</f>
        <v>130.76477588601989</v>
      </c>
      <c r="EP185" s="59">
        <f t="shared" si="154"/>
        <v>94.034011511502172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83.440131925566135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83.440131925566135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-2.2737367544323206E-13</v>
      </c>
      <c r="FF185" s="17">
        <f>FE185*VLOOKUP('Données projet'!$B$16,Paramètres!$A$1:$I$89,3,0)*VLOOKUP('Données projet'!$B$16,Paramètres!$A$1:$I$89,5,0)</f>
        <v>-1.0345502232667058E-13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279.43442619866738</v>
      </c>
      <c r="FK185" s="59">
        <f t="shared" si="156"/>
        <v>355.95192241448217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18.803194991718634</v>
      </c>
      <c r="FR185" s="21">
        <f>EXP(-LN(2)/25)*FR184+(1-EXP(-LN(2)/25))/(LN(2)/25)*Calculateur!FM185*Calculateur!FO185*VLOOKUP('Données projet'!$B$16,Paramètres!$A$1:$I$89,3,0)*0.475*44/12</f>
        <v>1.7808342485305131</v>
      </c>
      <c r="FS185" s="21">
        <f>EXP(-LN(2)/2)*FS184+(1-EXP(-LN(2)/2))/(LN(2)/2)*FM185*FP185*VLOOKUP('Données projet'!$B$16,Paramètres!$A$1:$I$89,3,0)*0.475*44/12</f>
        <v>1.9881038069012927E-17</v>
      </c>
      <c r="FT185" s="22">
        <f t="shared" si="184"/>
        <v>20.584029240249148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-6.7984728957526396E-14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227.89848316900191</v>
      </c>
      <c r="T186" s="59">
        <f t="shared" si="142"/>
        <v>239.85955661394541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12.542026674890693</v>
      </c>
      <c r="AA186" s="21">
        <f>EXP(-LN(2)/25)*AA185+(1-EXP(-LN(2)/25))/(LN(2)/25)*Calculateur!V186*Calculateur!X186*VLOOKUP('Données projet'!$B$9,Paramètres!$A$1:$I$89,3,0)*0.475*44/12</f>
        <v>1.1409393897209232</v>
      </c>
      <c r="AB186" s="21">
        <f>EXP(-LN(2)/2)*AB185+(1-EXP(-LN(2)/2))/(LN(2)/2)*V186*Y186*VLOOKUP('Données projet'!$B$9,Paramètres!$A$1:$I$89,3,0)*0.475*44/12</f>
        <v>2.2483025027669347E-17</v>
      </c>
      <c r="AC186" s="22">
        <f t="shared" si="163"/>
        <v>13.682966064611616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-5.6843418860808015E-14</v>
      </c>
      <c r="AJ186" s="13">
        <f>AI186*VLOOKUP('Données projet'!$B$10,Paramètres!$A$1:$I$89,3,0)*VLOOKUP('Données projet'!$B$10,Paramètres!$A$1:$I$89,5,0)</f>
        <v>-5.1431925385259088E-14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215.7418266360167</v>
      </c>
      <c r="AO186" s="59">
        <f t="shared" si="144"/>
        <v>155.78420008229949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63.730534340863358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63.730534340863358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2.2737367544323206E-13</v>
      </c>
      <c r="BE186" s="13">
        <f>BD186*VLOOKUP('Données projet'!$B$11,Paramètres!$A$1:$I$89,3,0)*VLOOKUP('Données projet'!$B$11,Paramètres!$A$1:$I$89,5,0)</f>
        <v>2.3055690689943731E-13</v>
      </c>
      <c r="BF186" s="13">
        <f t="shared" si="167"/>
        <v>3.142699285622457E-12</v>
      </c>
      <c r="BG186" s="20">
        <f t="shared" si="168"/>
        <v>5.8750878686422984E-12</v>
      </c>
      <c r="BH186" s="59">
        <f t="shared" si="116"/>
        <v>293.33333333333917</v>
      </c>
      <c r="BI186" s="59">
        <f ca="1">AVERAGE(OFFSET($BH$3,0,0,'Données projet'!$E$11+1,1))-AVERAGE(OFFSET($H$3,0,0,'Données projet'!$E$11+1,1))</f>
        <v>179.53921263314447</v>
      </c>
      <c r="BJ186" s="59">
        <f t="shared" si="146"/>
        <v>120.81513023281337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96.327081867345299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96.327081867345299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500.00000000000045</v>
      </c>
      <c r="BZ186" s="13">
        <f>BY186*VLOOKUP('Données projet'!$B$12,Paramètres!$A$1:$I$89,3,0)*VLOOKUP('Données projet'!$B$12,Paramètres!$A$1:$I$89,5,0)</f>
        <v>234.00000000000023</v>
      </c>
      <c r="CA186" s="13">
        <f t="shared" si="170"/>
        <v>57.146705242557189</v>
      </c>
      <c r="CB186" s="20">
        <f t="shared" si="171"/>
        <v>507.08051163078744</v>
      </c>
      <c r="CC186" s="59">
        <f t="shared" si="119"/>
        <v>800.4138449641207</v>
      </c>
      <c r="CD186" s="59">
        <f ca="1">AVERAGE(OFFSET($CC$3,0,0,'Données projet'!$E$12+1,1))-AVERAGE(OFFSET($H$3,0,0,'Données projet'!$E$12+1,1))</f>
        <v>310.06530483941287</v>
      </c>
      <c r="CE186" s="59">
        <f t="shared" si="148"/>
        <v>170.13425794309376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21.947214916315001</v>
      </c>
      <c r="CL186" s="21">
        <f>EXP(-LN(2)/25)*CL185+(1-EXP(-LN(2)/25))/(LN(2)/25)*Calculateur!CG186*Calculateur!CI186*VLOOKUP('Données projet'!$B$12,Paramètres!$A$1:$I$89,3,0)*0.475*44/12</f>
        <v>2.409128434918792</v>
      </c>
      <c r="CM186" s="21">
        <f>EXP(-LN(2)/2)*CM185+(1-EXP(-LN(2)/2))/(LN(2)/2)*CG186*CJ186*VLOOKUP('Données projet'!$B$12,Paramètres!$A$1:$I$89,3,0)*0.475*44/12</f>
        <v>2.3651312537105327E-12</v>
      </c>
      <c r="CN186" s="22">
        <f t="shared" si="172"/>
        <v>24.356343351236159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168.08890945052406</v>
      </c>
      <c r="CZ186" s="59">
        <f t="shared" si="150"/>
        <v>182.52462557642343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9.9242507396723258</v>
      </c>
      <c r="DG186" s="21">
        <f>EXP(-LN(2)/25)*DG185+(1-EXP(-LN(2)/25))/(LN(2)/25)*Calculateur!DB186*Calculateur!DD186*VLOOKUP('Données projet'!$B$13,Paramètres!$A$1:$I$89,3,0)*0.475*44/12</f>
        <v>0.94308463699662848</v>
      </c>
      <c r="DH186" s="21">
        <f>EXP(-LN(2)/2)*DH185+(1-EXP(-LN(2)/2))/(LN(2)/2)*DB186*DE186*VLOOKUP('Données projet'!$B$13,Paramètres!$A$1:$I$89,3,0)*0.475*44/12</f>
        <v>1.7383695738360796E-17</v>
      </c>
      <c r="DI186" s="22">
        <f t="shared" si="175"/>
        <v>10.867335376668954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-2.2737367544323206E-13</v>
      </c>
      <c r="DP186" s="17">
        <f>DO186*VLOOKUP('Données projet'!$B$14,Paramètres!$A$1:$I$89,3,0)*VLOOKUP('Données projet'!$B$14,Paramètres!$A$1:$I$89,5,0)</f>
        <v>-1.2710188457276673E-13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355.23615781077405</v>
      </c>
      <c r="DU186" s="59">
        <f t="shared" si="152"/>
        <v>448.84541017639367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22.648070276861255</v>
      </c>
      <c r="EB186" s="21">
        <f>EXP(-LN(2)/25)*EB185+(1-EXP(-LN(2)/25))/(LN(2)/25)*Calculateur!DW186*Calculateur!DY186*VLOOKUP('Données projet'!$B$14,Paramètres!$A$1:$I$89,3,0)*0.475*44/12</f>
        <v>2.128054326321172</v>
      </c>
      <c r="EC186" s="21">
        <f>EXP(-LN(2)/2)*EC185+(1-EXP(-LN(2)/2))/(LN(2)/2)*DW186*DZ186*VLOOKUP('Données projet'!$B$14,Paramètres!$A$1:$I$89,3,0)*0.475*44/12</f>
        <v>1.7271277826627389E-17</v>
      </c>
      <c r="ED186" s="22">
        <f t="shared" si="178"/>
        <v>24.776124603182428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1.1368683772161603E-13</v>
      </c>
      <c r="EK186" s="17">
        <f>EJ186*VLOOKUP('Données projet'!$B$15,Paramètres!$A$1:$I$89,3,0)*VLOOKUP('Données projet'!$B$15,Paramètres!$A$1:$I$89,5,0)</f>
        <v>1.223725121235475E-13</v>
      </c>
      <c r="EL186" s="13">
        <f t="shared" si="179"/>
        <v>1.7956824466038182E-12</v>
      </c>
      <c r="EM186" s="20">
        <f t="shared" si="180"/>
        <v>3.3406123864501612E-12</v>
      </c>
      <c r="EN186" s="59">
        <f t="shared" si="128"/>
        <v>293.33333333333667</v>
      </c>
      <c r="EO186" s="59">
        <f ca="1">AVERAGE(OFFSET($EN$3,0,0,'Données projet'!$E$15+1,1))-AVERAGE(OFFSET($H$3,0,0,'Données projet'!$E$15+1,1))</f>
        <v>130.76477588601989</v>
      </c>
      <c r="EP186" s="59">
        <f t="shared" si="154"/>
        <v>94.034011511502172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81.803921831960949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81.803921831960949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-2.2737367544323206E-13</v>
      </c>
      <c r="FF186" s="17">
        <f>FE186*VLOOKUP('Données projet'!$B$16,Paramètres!$A$1:$I$89,3,0)*VLOOKUP('Données projet'!$B$16,Paramètres!$A$1:$I$89,5,0)</f>
        <v>-1.0345502232667058E-13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279.43442619866738</v>
      </c>
      <c r="FK186" s="59">
        <f t="shared" si="156"/>
        <v>355.95192241448217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18.434475806747525</v>
      </c>
      <c r="FR186" s="21">
        <f>EXP(-LN(2)/25)*FR185+(1-EXP(-LN(2)/25))/(LN(2)/25)*Calculateur!FM186*Calculateur!FO186*VLOOKUP('Données projet'!$B$16,Paramètres!$A$1:$I$89,3,0)*0.475*44/12</f>
        <v>1.7321372423544432</v>
      </c>
      <c r="FS186" s="21">
        <f>EXP(-LN(2)/2)*FS185+(1-EXP(-LN(2)/2))/(LN(2)/2)*FM186*FP186*VLOOKUP('Données projet'!$B$16,Paramètres!$A$1:$I$89,3,0)*0.475*44/12</f>
        <v>1.4058016835626945E-17</v>
      </c>
      <c r="FT186" s="22">
        <f t="shared" si="184"/>
        <v>20.166613049101969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-6.7984728957526396E-14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227.89848316900191</v>
      </c>
      <c r="T187" s="59">
        <f t="shared" si="142"/>
        <v>239.85955661394541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12.296085181676995</v>
      </c>
      <c r="AA187" s="21">
        <f>EXP(-LN(2)/25)*AA186+(1-EXP(-LN(2)/25))/(LN(2)/25)*Calculateur!V187*Calculateur!X187*VLOOKUP('Données projet'!$B$9,Paramètres!$A$1:$I$89,3,0)*0.475*44/12</f>
        <v>1.1097403421096097</v>
      </c>
      <c r="AB187" s="21">
        <f>EXP(-LN(2)/2)*AB186+(1-EXP(-LN(2)/2))/(LN(2)/2)*V187*Y187*VLOOKUP('Données projet'!$B$9,Paramètres!$A$1:$I$89,3,0)*0.475*44/12</f>
        <v>1.589789945865186E-17</v>
      </c>
      <c r="AC187" s="22">
        <f t="shared" si="163"/>
        <v>13.405825523786605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-5.6843418860808015E-14</v>
      </c>
      <c r="AJ187" s="13">
        <f>AI187*VLOOKUP('Données projet'!$B$10,Paramètres!$A$1:$I$89,3,0)*VLOOKUP('Données projet'!$B$10,Paramètres!$A$1:$I$89,5,0)</f>
        <v>-5.1431925385259088E-14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215.7418266360167</v>
      </c>
      <c r="AO187" s="59">
        <f t="shared" si="144"/>
        <v>155.78420008229949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62.480817434226708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62.480817434226708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2.2737367544323206E-13</v>
      </c>
      <c r="BE187" s="13">
        <f>BD187*VLOOKUP('Données projet'!$B$11,Paramètres!$A$1:$I$89,3,0)*VLOOKUP('Données projet'!$B$11,Paramètres!$A$1:$I$89,5,0)</f>
        <v>2.3055690689943731E-13</v>
      </c>
      <c r="BF187" s="13">
        <f t="shared" si="167"/>
        <v>3.142699285622457E-12</v>
      </c>
      <c r="BG187" s="20">
        <f t="shared" si="168"/>
        <v>5.8750878686422984E-12</v>
      </c>
      <c r="BH187" s="59">
        <f t="shared" si="116"/>
        <v>293.33333333333917</v>
      </c>
      <c r="BI187" s="59">
        <f ca="1">AVERAGE(OFFSET($BH$3,0,0,'Données projet'!$E$11+1,1))-AVERAGE(OFFSET($H$3,0,0,'Données projet'!$E$11+1,1))</f>
        <v>179.53921263314447</v>
      </c>
      <c r="BJ187" s="59">
        <f t="shared" si="146"/>
        <v>120.81513023281337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94.438166545645146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94.438166545645146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500.00000000000045</v>
      </c>
      <c r="BZ187" s="13">
        <f>BY187*VLOOKUP('Données projet'!$B$12,Paramètres!$A$1:$I$89,3,0)*VLOOKUP('Données projet'!$B$12,Paramètres!$A$1:$I$89,5,0)</f>
        <v>234.00000000000023</v>
      </c>
      <c r="CA187" s="13">
        <f t="shared" si="170"/>
        <v>57.146705242557189</v>
      </c>
      <c r="CB187" s="20">
        <f t="shared" si="171"/>
        <v>507.08051163078744</v>
      </c>
      <c r="CC187" s="59">
        <f t="shared" si="119"/>
        <v>800.4138449641207</v>
      </c>
      <c r="CD187" s="59">
        <f ca="1">AVERAGE(OFFSET($CC$3,0,0,'Données projet'!$E$12+1,1))-AVERAGE(OFFSET($H$3,0,0,'Données projet'!$E$12+1,1))</f>
        <v>310.06530483941287</v>
      </c>
      <c r="CE187" s="59">
        <f t="shared" si="148"/>
        <v>170.13425794309376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21.516843418285358</v>
      </c>
      <c r="CL187" s="21">
        <f>EXP(-LN(2)/25)*CL186+(1-EXP(-LN(2)/25))/(LN(2)/25)*Calculateur!CG187*Calculateur!CI187*VLOOKUP('Données projet'!$B$12,Paramètres!$A$1:$I$89,3,0)*0.475*44/12</f>
        <v>2.3432506911753794</v>
      </c>
      <c r="CM187" s="21">
        <f>EXP(-LN(2)/2)*CM186+(1-EXP(-LN(2)/2))/(LN(2)/2)*CG187*CJ187*VLOOKUP('Données projet'!$B$12,Paramètres!$A$1:$I$89,3,0)*0.475*44/12</f>
        <v>1.6724003478949584E-12</v>
      </c>
      <c r="CN187" s="22">
        <f t="shared" si="172"/>
        <v>23.860094109462413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168.08890945052406</v>
      </c>
      <c r="CZ187" s="59">
        <f t="shared" si="150"/>
        <v>182.52462557642343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9.7296422358625989</v>
      </c>
      <c r="DG187" s="21">
        <f>EXP(-LN(2)/25)*DG186+(1-EXP(-LN(2)/25))/(LN(2)/25)*Calculateur!DB187*Calculateur!DD187*VLOOKUP('Données projet'!$B$13,Paramètres!$A$1:$I$89,3,0)*0.475*44/12</f>
        <v>0.91729593800329001</v>
      </c>
      <c r="DH187" s="21">
        <f>EXP(-LN(2)/2)*DH186+(1-EXP(-LN(2)/2))/(LN(2)/2)*DB187*DE187*VLOOKUP('Données projet'!$B$13,Paramètres!$A$1:$I$89,3,0)*0.475*44/12</f>
        <v>1.2292129138678606E-17</v>
      </c>
      <c r="DI187" s="22">
        <f t="shared" si="175"/>
        <v>10.646938173865889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-2.2737367544323206E-13</v>
      </c>
      <c r="DP187" s="17">
        <f>DO187*VLOOKUP('Données projet'!$B$14,Paramètres!$A$1:$I$89,3,0)*VLOOKUP('Données projet'!$B$14,Paramètres!$A$1:$I$89,5,0)</f>
        <v>-1.2710188457276673E-13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355.23615781077405</v>
      </c>
      <c r="DU187" s="59">
        <f t="shared" si="152"/>
        <v>448.84541017639367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22.203955432690858</v>
      </c>
      <c r="EB187" s="21">
        <f>EXP(-LN(2)/25)*EB186+(1-EXP(-LN(2)/25))/(LN(2)/25)*Calculateur!DW187*Calculateur!DY187*VLOOKUP('Données projet'!$B$14,Paramètres!$A$1:$I$89,3,0)*0.475*44/12</f>
        <v>2.0698625688584062</v>
      </c>
      <c r="EC187" s="21">
        <f>EXP(-LN(2)/2)*EC186+(1-EXP(-LN(2)/2))/(LN(2)/2)*DW187*DZ187*VLOOKUP('Données projet'!$B$14,Paramètres!$A$1:$I$89,3,0)*0.475*44/12</f>
        <v>1.2212637670965083E-17</v>
      </c>
      <c r="ED187" s="22">
        <f t="shared" si="178"/>
        <v>24.273818001549266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1.1368683772161603E-13</v>
      </c>
      <c r="EK187" s="17">
        <f>EJ187*VLOOKUP('Données projet'!$B$15,Paramètres!$A$1:$I$89,3,0)*VLOOKUP('Données projet'!$B$15,Paramètres!$A$1:$I$89,5,0)</f>
        <v>1.223725121235475E-13</v>
      </c>
      <c r="EL187" s="13">
        <f t="shared" si="179"/>
        <v>1.7956824466038182E-12</v>
      </c>
      <c r="EM187" s="20">
        <f t="shared" si="180"/>
        <v>3.3406123864501612E-12</v>
      </c>
      <c r="EN187" s="59">
        <f t="shared" si="128"/>
        <v>293.33333333333667</v>
      </c>
      <c r="EO187" s="59">
        <f ca="1">AVERAGE(OFFSET($EN$3,0,0,'Données projet'!$E$15+1,1))-AVERAGE(OFFSET($H$3,0,0,'Données projet'!$E$15+1,1))</f>
        <v>130.76477588601989</v>
      </c>
      <c r="EP187" s="59">
        <f t="shared" si="154"/>
        <v>94.034011511502172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80.199796820301742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80.199796820301742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-2.2737367544323206E-13</v>
      </c>
      <c r="FF187" s="17">
        <f>FE187*VLOOKUP('Données projet'!$B$16,Paramètres!$A$1:$I$89,3,0)*VLOOKUP('Données projet'!$B$16,Paramètres!$A$1:$I$89,5,0)</f>
        <v>-1.0345502232667058E-13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279.43442619866738</v>
      </c>
      <c r="FK187" s="59">
        <f t="shared" si="156"/>
        <v>355.95192241448217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18.072986980097202</v>
      </c>
      <c r="FR187" s="21">
        <f>EXP(-LN(2)/25)*FR186+(1-EXP(-LN(2)/25))/(LN(2)/25)*Calculateur!FM187*Calculateur!FO187*VLOOKUP('Données projet'!$B$16,Paramètres!$A$1:$I$89,3,0)*0.475*44/12</f>
        <v>1.6847718583731222</v>
      </c>
      <c r="FS187" s="21">
        <f>EXP(-LN(2)/2)*FS186+(1-EXP(-LN(2)/2))/(LN(2)/2)*FM187*FP187*VLOOKUP('Données projet'!$B$16,Paramètres!$A$1:$I$89,3,0)*0.475*44/12</f>
        <v>9.9405190345064635E-18</v>
      </c>
      <c r="FT187" s="22">
        <f t="shared" si="184"/>
        <v>19.757758838470323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-6.7984728957526396E-14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227.89848316900191</v>
      </c>
      <c r="T188" s="59">
        <f t="shared" si="142"/>
        <v>239.85955661394541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12.054966451135719</v>
      </c>
      <c r="AA188" s="21">
        <f>EXP(-LN(2)/25)*AA187+(1-EXP(-LN(2)/25))/(LN(2)/25)*Calculateur!V188*Calculateur!X188*VLOOKUP('Données projet'!$B$9,Paramètres!$A$1:$I$89,3,0)*0.475*44/12</f>
        <v>1.0793944340959141</v>
      </c>
      <c r="AB188" s="21">
        <f>EXP(-LN(2)/2)*AB187+(1-EXP(-LN(2)/2))/(LN(2)/2)*V188*Y188*VLOOKUP('Données projet'!$B$9,Paramètres!$A$1:$I$89,3,0)*0.475*44/12</f>
        <v>1.1241512513834673E-17</v>
      </c>
      <c r="AC188" s="22">
        <f t="shared" si="163"/>
        <v>13.134360885231633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-5.6843418860808015E-14</v>
      </c>
      <c r="AJ188" s="13">
        <f>AI188*VLOOKUP('Données projet'!$B$10,Paramètres!$A$1:$I$89,3,0)*VLOOKUP('Données projet'!$B$10,Paramètres!$A$1:$I$89,5,0)</f>
        <v>-5.1431925385259088E-14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215.7418266360167</v>
      </c>
      <c r="AO188" s="59">
        <f t="shared" si="144"/>
        <v>155.78420008229949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61.25560671387715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61.25560671387715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2.2737367544323206E-13</v>
      </c>
      <c r="BE188" s="13">
        <f>BD188*VLOOKUP('Données projet'!$B$11,Paramètres!$A$1:$I$89,3,0)*VLOOKUP('Données projet'!$B$11,Paramètres!$A$1:$I$89,5,0)</f>
        <v>2.3055690689943731E-13</v>
      </c>
      <c r="BF188" s="13">
        <f t="shared" si="167"/>
        <v>3.142699285622457E-12</v>
      </c>
      <c r="BG188" s="20">
        <f t="shared" si="168"/>
        <v>5.8750878686422984E-12</v>
      </c>
      <c r="BH188" s="59">
        <f t="shared" si="116"/>
        <v>293.33333333333917</v>
      </c>
      <c r="BI188" s="59">
        <f ca="1">AVERAGE(OFFSET($BH$3,0,0,'Données projet'!$E$11+1,1))-AVERAGE(OFFSET($H$3,0,0,'Données projet'!$E$11+1,1))</f>
        <v>179.53921263314447</v>
      </c>
      <c r="BJ188" s="59">
        <f t="shared" si="146"/>
        <v>120.81513023281337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92.586291701278952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92.586291701278952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500.00000000000045</v>
      </c>
      <c r="BZ188" s="13">
        <f>BY188*VLOOKUP('Données projet'!$B$12,Paramètres!$A$1:$I$89,3,0)*VLOOKUP('Données projet'!$B$12,Paramètres!$A$1:$I$89,5,0)</f>
        <v>234.00000000000023</v>
      </c>
      <c r="CA188" s="13">
        <f t="shared" si="170"/>
        <v>57.146705242557189</v>
      </c>
      <c r="CB188" s="20">
        <f t="shared" si="171"/>
        <v>507.08051163078744</v>
      </c>
      <c r="CC188" s="59">
        <f t="shared" si="119"/>
        <v>800.4138449641207</v>
      </c>
      <c r="CD188" s="59">
        <f ca="1">AVERAGE(OFFSET($CC$3,0,0,'Données projet'!$E$12+1,1))-AVERAGE(OFFSET($H$3,0,0,'Données projet'!$E$12+1,1))</f>
        <v>310.06530483941287</v>
      </c>
      <c r="CE188" s="59">
        <f t="shared" si="148"/>
        <v>170.13425794309376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21.094911242831383</v>
      </c>
      <c r="CL188" s="21">
        <f>EXP(-LN(2)/25)*CL187+(1-EXP(-LN(2)/25))/(LN(2)/25)*Calculateur!CG188*Calculateur!CI188*VLOOKUP('Données projet'!$B$12,Paramètres!$A$1:$I$89,3,0)*0.475*44/12</f>
        <v>2.2791743777989906</v>
      </c>
      <c r="CM188" s="21">
        <f>EXP(-LN(2)/2)*CM187+(1-EXP(-LN(2)/2))/(LN(2)/2)*CG188*CJ188*VLOOKUP('Données projet'!$B$12,Paramètres!$A$1:$I$89,3,0)*0.475*44/12</f>
        <v>1.1825656268552663E-12</v>
      </c>
      <c r="CN188" s="22">
        <f t="shared" si="172"/>
        <v>23.374085620631558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168.08890945052406</v>
      </c>
      <c r="CZ188" s="59">
        <f t="shared" si="150"/>
        <v>182.52462557642343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9.5388498861131144</v>
      </c>
      <c r="DG188" s="21">
        <f>EXP(-LN(2)/25)*DG187+(1-EXP(-LN(2)/25))/(LN(2)/25)*Calculateur!DB188*Calculateur!DD188*VLOOKUP('Données projet'!$B$13,Paramètres!$A$1:$I$89,3,0)*0.475*44/12</f>
        <v>0.89221243234009318</v>
      </c>
      <c r="DH188" s="21">
        <f>EXP(-LN(2)/2)*DH187+(1-EXP(-LN(2)/2))/(LN(2)/2)*DB188*DE188*VLOOKUP('Données projet'!$B$13,Paramètres!$A$1:$I$89,3,0)*0.475*44/12</f>
        <v>8.691847869180398E-18</v>
      </c>
      <c r="DI188" s="22">
        <f t="shared" si="175"/>
        <v>10.431062318453208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-2.2737367544323206E-13</v>
      </c>
      <c r="DP188" s="17">
        <f>DO188*VLOOKUP('Données projet'!$B$14,Paramètres!$A$1:$I$89,3,0)*VLOOKUP('Données projet'!$B$14,Paramètres!$A$1:$I$89,5,0)</f>
        <v>-1.2710188457276673E-13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355.23615781077405</v>
      </c>
      <c r="DU188" s="59">
        <f t="shared" si="152"/>
        <v>448.84541017639367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21.768549409731335</v>
      </c>
      <c r="EB188" s="21">
        <f>EXP(-LN(2)/25)*EB187+(1-EXP(-LN(2)/25))/(LN(2)/25)*Calculateur!DW188*Calculateur!DY188*VLOOKUP('Données projet'!$B$14,Paramètres!$A$1:$I$89,3,0)*0.475*44/12</f>
        <v>2.0132620680636313</v>
      </c>
      <c r="EC188" s="21">
        <f>EXP(-LN(2)/2)*EC187+(1-EXP(-LN(2)/2))/(LN(2)/2)*DW188*DZ188*VLOOKUP('Données projet'!$B$14,Paramètres!$A$1:$I$89,3,0)*0.475*44/12</f>
        <v>8.6356389133136944E-18</v>
      </c>
      <c r="ED188" s="22">
        <f t="shared" si="178"/>
        <v>23.781811477794967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1.1368683772161603E-13</v>
      </c>
      <c r="EK188" s="17">
        <f>EJ188*VLOOKUP('Données projet'!$B$15,Paramètres!$A$1:$I$89,3,0)*VLOOKUP('Données projet'!$B$15,Paramètres!$A$1:$I$89,5,0)</f>
        <v>1.223725121235475E-13</v>
      </c>
      <c r="EL188" s="13">
        <f t="shared" si="179"/>
        <v>1.7956824466038182E-12</v>
      </c>
      <c r="EM188" s="20">
        <f t="shared" si="180"/>
        <v>3.3406123864501612E-12</v>
      </c>
      <c r="EN188" s="59">
        <f t="shared" si="128"/>
        <v>293.33333333333667</v>
      </c>
      <c r="EO188" s="59">
        <f ca="1">AVERAGE(OFFSET($EN$3,0,0,'Données projet'!$E$15+1,1))-AVERAGE(OFFSET($H$3,0,0,'Données projet'!$E$15+1,1))</f>
        <v>130.76477588601989</v>
      </c>
      <c r="EP188" s="59">
        <f t="shared" si="154"/>
        <v>94.034011511502172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78.627127721701527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78.627127721701527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-2.2737367544323206E-13</v>
      </c>
      <c r="FF188" s="17">
        <f>FE188*VLOOKUP('Données projet'!$B$16,Paramètres!$A$1:$I$89,3,0)*VLOOKUP('Données projet'!$B$16,Paramètres!$A$1:$I$89,5,0)</f>
        <v>-1.0345502232667058E-13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279.43442619866738</v>
      </c>
      <c r="FK188" s="59">
        <f t="shared" si="156"/>
        <v>355.95192241448217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17.718586728851079</v>
      </c>
      <c r="FR188" s="21">
        <f>EXP(-LN(2)/25)*FR187+(1-EXP(-LN(2)/25))/(LN(2)/25)*Calculateur!FM188*Calculateur!FO188*VLOOKUP('Données projet'!$B$16,Paramètres!$A$1:$I$89,3,0)*0.475*44/12</f>
        <v>1.6387016833076078</v>
      </c>
      <c r="FS188" s="21">
        <f>EXP(-LN(2)/2)*FS187+(1-EXP(-LN(2)/2))/(LN(2)/2)*FM188*FP188*VLOOKUP('Données projet'!$B$16,Paramètres!$A$1:$I$89,3,0)*0.475*44/12</f>
        <v>7.0290084178134724E-18</v>
      </c>
      <c r="FT188" s="22">
        <f t="shared" si="184"/>
        <v>19.357288412158688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-6.7984728957526396E-14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227.89848316900191</v>
      </c>
      <c r="T189" s="59">
        <f t="shared" si="142"/>
        <v>239.85955661394541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11.818575911832454</v>
      </c>
      <c r="AA189" s="21">
        <f>EXP(-LN(2)/25)*AA188+(1-EXP(-LN(2)/25))/(LN(2)/25)*Calculateur!V189*Calculateur!X189*VLOOKUP('Données projet'!$B$9,Paramètres!$A$1:$I$89,3,0)*0.475*44/12</f>
        <v>1.0498783365326749</v>
      </c>
      <c r="AB189" s="21">
        <f>EXP(-LN(2)/2)*AB188+(1-EXP(-LN(2)/2))/(LN(2)/2)*V189*Y189*VLOOKUP('Données projet'!$B$9,Paramètres!$A$1:$I$89,3,0)*0.475*44/12</f>
        <v>7.9489497293259302E-18</v>
      </c>
      <c r="AC189" s="22">
        <f t="shared" si="163"/>
        <v>12.868454248365129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-5.6843418860808015E-14</v>
      </c>
      <c r="AJ189" s="13">
        <f>AI189*VLOOKUP('Données projet'!$B$10,Paramètres!$A$1:$I$89,3,0)*VLOOKUP('Données projet'!$B$10,Paramètres!$A$1:$I$89,5,0)</f>
        <v>-5.1431925385259088E-14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215.7418266360167</v>
      </c>
      <c r="AO189" s="59">
        <f t="shared" si="144"/>
        <v>155.78420008229949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60.0544216284489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60.0544216284489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2.2737367544323206E-13</v>
      </c>
      <c r="BE189" s="13">
        <f>BD189*VLOOKUP('Données projet'!$B$11,Paramètres!$A$1:$I$89,3,0)*VLOOKUP('Données projet'!$B$11,Paramètres!$A$1:$I$89,5,0)</f>
        <v>2.3055690689943731E-13</v>
      </c>
      <c r="BF189" s="13">
        <f t="shared" si="167"/>
        <v>3.142699285622457E-12</v>
      </c>
      <c r="BG189" s="20">
        <f t="shared" si="168"/>
        <v>5.8750878686422984E-12</v>
      </c>
      <c r="BH189" s="59">
        <f t="shared" si="116"/>
        <v>293.33333333333917</v>
      </c>
      <c r="BI189" s="59">
        <f ca="1">AVERAGE(OFFSET($BH$3,0,0,'Données projet'!$E$11+1,1))-AVERAGE(OFFSET($H$3,0,0,'Données projet'!$E$11+1,1))</f>
        <v>179.53921263314447</v>
      </c>
      <c r="BJ189" s="59">
        <f t="shared" si="146"/>
        <v>120.81513023281337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90.770730993078658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90.770730993078658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500.00000000000045</v>
      </c>
      <c r="BZ189" s="13">
        <f>BY189*VLOOKUP('Données projet'!$B$12,Paramètres!$A$1:$I$89,3,0)*VLOOKUP('Données projet'!$B$12,Paramètres!$A$1:$I$89,5,0)</f>
        <v>234.00000000000023</v>
      </c>
      <c r="CA189" s="13">
        <f t="shared" si="170"/>
        <v>57.146705242557189</v>
      </c>
      <c r="CB189" s="20">
        <f t="shared" si="171"/>
        <v>507.08051163078744</v>
      </c>
      <c r="CC189" s="59">
        <f t="shared" si="119"/>
        <v>800.4138449641207</v>
      </c>
      <c r="CD189" s="59">
        <f ca="1">AVERAGE(OFFSET($CC$3,0,0,'Données projet'!$E$12+1,1))-AVERAGE(OFFSET($H$3,0,0,'Données projet'!$E$12+1,1))</f>
        <v>310.06530483941287</v>
      </c>
      <c r="CE189" s="59">
        <f t="shared" si="148"/>
        <v>170.13425794309376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20.681252899984845</v>
      </c>
      <c r="CL189" s="21">
        <f>EXP(-LN(2)/25)*CL188+(1-EXP(-LN(2)/25))/(LN(2)/25)*Calculateur!CG189*Calculateur!CI189*VLOOKUP('Données projet'!$B$12,Paramètres!$A$1:$I$89,3,0)*0.475*44/12</f>
        <v>2.2168502345815058</v>
      </c>
      <c r="CM189" s="21">
        <f>EXP(-LN(2)/2)*CM188+(1-EXP(-LN(2)/2))/(LN(2)/2)*CG189*CJ189*VLOOKUP('Données projet'!$B$12,Paramètres!$A$1:$I$89,3,0)*0.475*44/12</f>
        <v>8.3620017394747922E-13</v>
      </c>
      <c r="CN189" s="22">
        <f t="shared" si="172"/>
        <v>22.898103134567187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168.08890945052406</v>
      </c>
      <c r="CZ189" s="59">
        <f t="shared" si="150"/>
        <v>182.52462557642343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9.3517988579703744</v>
      </c>
      <c r="DG189" s="21">
        <f>EXP(-LN(2)/25)*DG188+(1-EXP(-LN(2)/25))/(LN(2)/25)*Calculateur!DB189*Calculateur!DD189*VLOOKUP('Données projet'!$B$13,Paramètres!$A$1:$I$89,3,0)*0.475*44/12</f>
        <v>0.86781483645834068</v>
      </c>
      <c r="DH189" s="21">
        <f>EXP(-LN(2)/2)*DH188+(1-EXP(-LN(2)/2))/(LN(2)/2)*DB189*DE189*VLOOKUP('Données projet'!$B$13,Paramètres!$A$1:$I$89,3,0)*0.475*44/12</f>
        <v>6.1460645693393031E-18</v>
      </c>
      <c r="DI189" s="22">
        <f t="shared" si="175"/>
        <v>10.219613694428714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-2.2737367544323206E-13</v>
      </c>
      <c r="DP189" s="17">
        <f>DO189*VLOOKUP('Données projet'!$B$14,Paramètres!$A$1:$I$89,3,0)*VLOOKUP('Données projet'!$B$14,Paramètres!$A$1:$I$89,5,0)</f>
        <v>-1.2710188457276673E-13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355.23615781077405</v>
      </c>
      <c r="DU189" s="59">
        <f t="shared" si="152"/>
        <v>448.84541017639367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21.341681433310598</v>
      </c>
      <c r="EB189" s="21">
        <f>EXP(-LN(2)/25)*EB188+(1-EXP(-LN(2)/25))/(LN(2)/25)*Calculateur!DW189*Calculateur!DY189*VLOOKUP('Données projet'!$B$14,Paramètres!$A$1:$I$89,3,0)*0.475*44/12</f>
        <v>1.9582093109395804</v>
      </c>
      <c r="EC189" s="21">
        <f>EXP(-LN(2)/2)*EC188+(1-EXP(-LN(2)/2))/(LN(2)/2)*DW189*DZ189*VLOOKUP('Données projet'!$B$14,Paramètres!$A$1:$I$89,3,0)*0.475*44/12</f>
        <v>6.1063188354825417E-18</v>
      </c>
      <c r="ED189" s="22">
        <f t="shared" si="178"/>
        <v>23.299890744250177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1.1368683772161603E-13</v>
      </c>
      <c r="EK189" s="17">
        <f>EJ189*VLOOKUP('Données projet'!$B$15,Paramètres!$A$1:$I$89,3,0)*VLOOKUP('Données projet'!$B$15,Paramètres!$A$1:$I$89,5,0)</f>
        <v>1.223725121235475E-13</v>
      </c>
      <c r="EL189" s="13">
        <f t="shared" si="179"/>
        <v>1.7956824466038182E-12</v>
      </c>
      <c r="EM189" s="20">
        <f t="shared" si="180"/>
        <v>3.3406123864501612E-12</v>
      </c>
      <c r="EN189" s="59">
        <f t="shared" si="128"/>
        <v>293.33333333333667</v>
      </c>
      <c r="EO189" s="59">
        <f ca="1">AVERAGE(OFFSET($EN$3,0,0,'Données projet'!$E$15+1,1))-AVERAGE(OFFSET($H$3,0,0,'Données projet'!$E$15+1,1))</f>
        <v>130.76477588601989</v>
      </c>
      <c r="EP189" s="59">
        <f t="shared" si="154"/>
        <v>94.034011511502172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77.085297704891431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77.085297704891431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-2.2737367544323206E-13</v>
      </c>
      <c r="FF189" s="17">
        <f>FE189*VLOOKUP('Données projet'!$B$16,Paramètres!$A$1:$I$89,3,0)*VLOOKUP('Données projet'!$B$16,Paramètres!$A$1:$I$89,5,0)</f>
        <v>-1.0345502232667058E-13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279.43442619866738</v>
      </c>
      <c r="FK189" s="59">
        <f t="shared" si="156"/>
        <v>355.95192241448217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17.371136050369085</v>
      </c>
      <c r="FR189" s="21">
        <f>EXP(-LN(2)/25)*FR188+(1-EXP(-LN(2)/25))/(LN(2)/25)*Calculateur!FM189*Calculateur!FO189*VLOOKUP('Données projet'!$B$16,Paramètres!$A$1:$I$89,3,0)*0.475*44/12</f>
        <v>1.5938912996019849</v>
      </c>
      <c r="FS189" s="21">
        <f>EXP(-LN(2)/2)*FS188+(1-EXP(-LN(2)/2))/(LN(2)/2)*FM189*FP189*VLOOKUP('Données projet'!$B$16,Paramètres!$A$1:$I$89,3,0)*0.475*44/12</f>
        <v>4.9702595172532317E-18</v>
      </c>
      <c r="FT189" s="22">
        <f t="shared" si="184"/>
        <v>18.96502734997107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-6.7984728957526396E-14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227.89848316900191</v>
      </c>
      <c r="T190" s="59">
        <f t="shared" si="142"/>
        <v>239.85955661394541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11.586820846820935</v>
      </c>
      <c r="AA190" s="21">
        <f>EXP(-LN(2)/25)*AA189+(1-EXP(-LN(2)/25))/(LN(2)/25)*Calculateur!V190*Calculateur!X190*VLOOKUP('Données projet'!$B$9,Paramètres!$A$1:$I$89,3,0)*0.475*44/12</f>
        <v>1.0211693582094867</v>
      </c>
      <c r="AB190" s="21">
        <f>EXP(-LN(2)/2)*AB189+(1-EXP(-LN(2)/2))/(LN(2)/2)*V190*Y190*VLOOKUP('Données projet'!$B$9,Paramètres!$A$1:$I$89,3,0)*0.475*44/12</f>
        <v>5.6207562569173367E-18</v>
      </c>
      <c r="AC190" s="22">
        <f t="shared" si="163"/>
        <v>12.607990205030422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-5.6843418860808015E-14</v>
      </c>
      <c r="AJ190" s="13">
        <f>AI190*VLOOKUP('Données projet'!$B$10,Paramètres!$A$1:$I$89,3,0)*VLOOKUP('Données projet'!$B$10,Paramètres!$A$1:$I$89,5,0)</f>
        <v>-5.1431925385259088E-14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215.7418266360167</v>
      </c>
      <c r="AO190" s="59">
        <f t="shared" si="144"/>
        <v>155.78420008229949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58.876791049895338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58.876791049895338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2.2737367544323206E-13</v>
      </c>
      <c r="BE190" s="13">
        <f>BD190*VLOOKUP('Données projet'!$B$11,Paramètres!$A$1:$I$89,3,0)*VLOOKUP('Données projet'!$B$11,Paramètres!$A$1:$I$89,5,0)</f>
        <v>2.3055690689943731E-13</v>
      </c>
      <c r="BF190" s="13">
        <f t="shared" si="167"/>
        <v>3.142699285622457E-12</v>
      </c>
      <c r="BG190" s="20">
        <f t="shared" si="168"/>
        <v>5.8750878686422984E-12</v>
      </c>
      <c r="BH190" s="59">
        <f t="shared" si="116"/>
        <v>293.33333333333917</v>
      </c>
      <c r="BI190" s="59">
        <f ca="1">AVERAGE(OFFSET($BH$3,0,0,'Données projet'!$E$11+1,1))-AVERAGE(OFFSET($H$3,0,0,'Données projet'!$E$11+1,1))</f>
        <v>179.53921263314447</v>
      </c>
      <c r="BJ190" s="59">
        <f t="shared" si="146"/>
        <v>120.81513023281337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88.990772322983489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88.990772322983489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500.00000000000045</v>
      </c>
      <c r="BZ190" s="13">
        <f>BY190*VLOOKUP('Données projet'!$B$12,Paramètres!$A$1:$I$89,3,0)*VLOOKUP('Données projet'!$B$12,Paramètres!$A$1:$I$89,5,0)</f>
        <v>234.00000000000023</v>
      </c>
      <c r="CA190" s="13">
        <f t="shared" si="170"/>
        <v>57.146705242557189</v>
      </c>
      <c r="CB190" s="20">
        <f t="shared" si="171"/>
        <v>507.08051163078744</v>
      </c>
      <c r="CC190" s="59">
        <f t="shared" si="119"/>
        <v>800.4138449641207</v>
      </c>
      <c r="CD190" s="59">
        <f ca="1">AVERAGE(OFFSET($CC$3,0,0,'Données projet'!$E$12+1,1))-AVERAGE(OFFSET($H$3,0,0,'Données projet'!$E$12+1,1))</f>
        <v>310.06530483941287</v>
      </c>
      <c r="CE190" s="59">
        <f t="shared" si="148"/>
        <v>170.13425794309376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20.275706144934851</v>
      </c>
      <c r="CL190" s="21">
        <f>EXP(-LN(2)/25)*CL189+(1-EXP(-LN(2)/25))/(LN(2)/25)*Calculateur!CG190*Calculateur!CI190*VLOOKUP('Données projet'!$B$12,Paramètres!$A$1:$I$89,3,0)*0.475*44/12</f>
        <v>2.1562303483377874</v>
      </c>
      <c r="CM190" s="21">
        <f>EXP(-LN(2)/2)*CM189+(1-EXP(-LN(2)/2))/(LN(2)/2)*CG190*CJ190*VLOOKUP('Données projet'!$B$12,Paramètres!$A$1:$I$89,3,0)*0.475*44/12</f>
        <v>5.9128281342763316E-13</v>
      </c>
      <c r="CN190" s="22">
        <f t="shared" si="172"/>
        <v>22.431936493273227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168.08890945052406</v>
      </c>
      <c r="CZ190" s="59">
        <f t="shared" si="150"/>
        <v>182.52462557642343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9.1684157863996525</v>
      </c>
      <c r="DG190" s="21">
        <f>EXP(-LN(2)/25)*DG189+(1-EXP(-LN(2)/25))/(LN(2)/25)*Calculateur!DB190*Calculateur!DD190*VLOOKUP('Données projet'!$B$13,Paramètres!$A$1:$I$89,3,0)*0.475*44/12</f>
        <v>0.8440843941189885</v>
      </c>
      <c r="DH190" s="21">
        <f>EXP(-LN(2)/2)*DH189+(1-EXP(-LN(2)/2))/(LN(2)/2)*DB190*DE190*VLOOKUP('Données projet'!$B$13,Paramètres!$A$1:$I$89,3,0)*0.475*44/12</f>
        <v>4.345923934590199E-18</v>
      </c>
      <c r="DI190" s="22">
        <f t="shared" si="175"/>
        <v>10.012500180518641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-2.2737367544323206E-13</v>
      </c>
      <c r="DP190" s="17">
        <f>DO190*VLOOKUP('Données projet'!$B$14,Paramètres!$A$1:$I$89,3,0)*VLOOKUP('Données projet'!$B$14,Paramètres!$A$1:$I$89,5,0)</f>
        <v>-1.2710188457276673E-13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355.23615781077405</v>
      </c>
      <c r="DU190" s="59">
        <f t="shared" si="152"/>
        <v>448.84541017639367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20.923184077543716</v>
      </c>
      <c r="EB190" s="21">
        <f>EXP(-LN(2)/25)*EB189+(1-EXP(-LN(2)/25))/(LN(2)/25)*Calculateur!DW190*Calculateur!DY190*VLOOKUP('Données projet'!$B$14,Paramètres!$A$1:$I$89,3,0)*0.475*44/12</f>
        <v>1.9046619743541855</v>
      </c>
      <c r="EC190" s="21">
        <f>EXP(-LN(2)/2)*EC189+(1-EXP(-LN(2)/2))/(LN(2)/2)*DW190*DZ190*VLOOKUP('Données projet'!$B$14,Paramètres!$A$1:$I$89,3,0)*0.475*44/12</f>
        <v>4.3178194566568472E-18</v>
      </c>
      <c r="ED190" s="22">
        <f t="shared" si="178"/>
        <v>22.8278460518979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1.1368683772161603E-13</v>
      </c>
      <c r="EK190" s="17">
        <f>EJ190*VLOOKUP('Données projet'!$B$15,Paramètres!$A$1:$I$89,3,0)*VLOOKUP('Données projet'!$B$15,Paramètres!$A$1:$I$89,5,0)</f>
        <v>1.223725121235475E-13</v>
      </c>
      <c r="EL190" s="13">
        <f t="shared" si="179"/>
        <v>1.7956824466038182E-12</v>
      </c>
      <c r="EM190" s="20">
        <f t="shared" si="180"/>
        <v>3.3406123864501612E-12</v>
      </c>
      <c r="EN190" s="59">
        <f t="shared" si="128"/>
        <v>293.33333333333667</v>
      </c>
      <c r="EO190" s="59">
        <f ca="1">AVERAGE(OFFSET($EN$3,0,0,'Données projet'!$E$15+1,1))-AVERAGE(OFFSET($H$3,0,0,'Données projet'!$E$15+1,1))</f>
        <v>130.76477588601989</v>
      </c>
      <c r="EP190" s="59">
        <f t="shared" si="154"/>
        <v>94.034011511502172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75.573702034287535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75.573702034287535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-2.2737367544323206E-13</v>
      </c>
      <c r="FF190" s="17">
        <f>FE190*VLOOKUP('Données projet'!$B$16,Paramètres!$A$1:$I$89,3,0)*VLOOKUP('Données projet'!$B$16,Paramètres!$A$1:$I$89,5,0)</f>
        <v>-1.0345502232667058E-13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279.43442619866738</v>
      </c>
      <c r="FK190" s="59">
        <f t="shared" si="156"/>
        <v>355.95192241448217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17.030498667768136</v>
      </c>
      <c r="FR190" s="21">
        <f>EXP(-LN(2)/25)*FR189+(1-EXP(-LN(2)/25))/(LN(2)/25)*Calculateur!FM190*Calculateur!FO190*VLOOKUP('Données projet'!$B$16,Paramètres!$A$1:$I$89,3,0)*0.475*44/12</f>
        <v>1.550306258195268</v>
      </c>
      <c r="FS190" s="21">
        <f>EXP(-LN(2)/2)*FS189+(1-EXP(-LN(2)/2))/(LN(2)/2)*FM190*FP190*VLOOKUP('Données projet'!$B$16,Paramètres!$A$1:$I$89,3,0)*0.475*44/12</f>
        <v>3.5145042089067362E-18</v>
      </c>
      <c r="FT190" s="22">
        <f t="shared" si="184"/>
        <v>18.580804925963402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-6.7984728957526396E-14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227.89848316900191</v>
      </c>
      <c r="T191" s="59">
        <f t="shared" si="142"/>
        <v>239.85955661394541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11.359610357277658</v>
      </c>
      <c r="AA191" s="21">
        <f>EXP(-LN(2)/25)*AA190+(1-EXP(-LN(2)/25))/(LN(2)/25)*Calculateur!V191*Calculateur!X191*VLOOKUP('Données projet'!$B$9,Paramètres!$A$1:$I$89,3,0)*0.475*44/12</f>
        <v>0.99324542840828567</v>
      </c>
      <c r="AB191" s="21">
        <f>EXP(-LN(2)/2)*AB190+(1-EXP(-LN(2)/2))/(LN(2)/2)*V191*Y191*VLOOKUP('Données projet'!$B$9,Paramètres!$A$1:$I$89,3,0)*0.475*44/12</f>
        <v>3.9744748646629651E-18</v>
      </c>
      <c r="AC191" s="22">
        <f t="shared" si="163"/>
        <v>12.352855785685943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-5.6843418860808015E-14</v>
      </c>
      <c r="AJ191" s="13">
        <f>AI191*VLOOKUP('Données projet'!$B$10,Paramètres!$A$1:$I$89,3,0)*VLOOKUP('Données projet'!$B$10,Paramètres!$A$1:$I$89,5,0)</f>
        <v>-5.1431925385259088E-14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215.7418266360167</v>
      </c>
      <c r="AO191" s="59">
        <f t="shared" si="144"/>
        <v>155.78420008229949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57.722253088703482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57.722253088703482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2.2737367544323206E-13</v>
      </c>
      <c r="BE191" s="13">
        <f>BD191*VLOOKUP('Données projet'!$B$11,Paramètres!$A$1:$I$89,3,0)*VLOOKUP('Données projet'!$B$11,Paramètres!$A$1:$I$89,5,0)</f>
        <v>2.3055690689943731E-13</v>
      </c>
      <c r="BF191" s="13">
        <f t="shared" si="167"/>
        <v>3.142699285622457E-12</v>
      </c>
      <c r="BG191" s="20">
        <f t="shared" si="168"/>
        <v>5.8750878686422984E-12</v>
      </c>
      <c r="BH191" s="59">
        <f t="shared" si="116"/>
        <v>293.33333333333917</v>
      </c>
      <c r="BI191" s="59">
        <f ca="1">AVERAGE(OFFSET($BH$3,0,0,'Données projet'!$E$11+1,1))-AVERAGE(OFFSET($H$3,0,0,'Données projet'!$E$11+1,1))</f>
        <v>179.53921263314447</v>
      </c>
      <c r="BJ191" s="59">
        <f t="shared" si="146"/>
        <v>120.81513023281337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87.245717556741297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87.245717556741297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500.00000000000045</v>
      </c>
      <c r="BZ191" s="13">
        <f>BY191*VLOOKUP('Données projet'!$B$12,Paramètres!$A$1:$I$89,3,0)*VLOOKUP('Données projet'!$B$12,Paramètres!$A$1:$I$89,5,0)</f>
        <v>234.00000000000023</v>
      </c>
      <c r="CA191" s="13">
        <f t="shared" si="170"/>
        <v>57.146705242557189</v>
      </c>
      <c r="CB191" s="20">
        <f t="shared" si="171"/>
        <v>507.08051163078744</v>
      </c>
      <c r="CC191" s="59">
        <f t="shared" si="119"/>
        <v>800.4138449641207</v>
      </c>
      <c r="CD191" s="59">
        <f ca="1">AVERAGE(OFFSET($CC$3,0,0,'Données projet'!$E$12+1,1))-AVERAGE(OFFSET($H$3,0,0,'Données projet'!$E$12+1,1))</f>
        <v>310.06530483941287</v>
      </c>
      <c r="CE191" s="59">
        <f t="shared" si="148"/>
        <v>170.13425794309376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19.878111914392292</v>
      </c>
      <c r="CL191" s="21">
        <f>EXP(-LN(2)/25)*CL190+(1-EXP(-LN(2)/25))/(LN(2)/25)*Calculateur!CG191*Calculateur!CI191*VLOOKUP('Données projet'!$B$12,Paramètres!$A$1:$I$89,3,0)*0.475*44/12</f>
        <v>2.0972681160712647</v>
      </c>
      <c r="CM191" s="21">
        <f>EXP(-LN(2)/2)*CM190+(1-EXP(-LN(2)/2))/(LN(2)/2)*CG191*CJ191*VLOOKUP('Données projet'!$B$12,Paramètres!$A$1:$I$89,3,0)*0.475*44/12</f>
        <v>4.1810008697373961E-13</v>
      </c>
      <c r="CN191" s="22">
        <f t="shared" si="172"/>
        <v>21.975380030463977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168.08890945052406</v>
      </c>
      <c r="CZ191" s="59">
        <f t="shared" si="150"/>
        <v>182.52462557642343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8.9886287450098035</v>
      </c>
      <c r="DG191" s="21">
        <f>EXP(-LN(2)/25)*DG190+(1-EXP(-LN(2)/25))/(LN(2)/25)*Calculateur!DB191*Calculateur!DD191*VLOOKUP('Données projet'!$B$13,Paramètres!$A$1:$I$89,3,0)*0.475*44/12</f>
        <v>0.82100286197333561</v>
      </c>
      <c r="DH191" s="21">
        <f>EXP(-LN(2)/2)*DH190+(1-EXP(-LN(2)/2))/(LN(2)/2)*DB191*DE191*VLOOKUP('Données projet'!$B$13,Paramètres!$A$1:$I$89,3,0)*0.475*44/12</f>
        <v>3.0730322846696516E-18</v>
      </c>
      <c r="DI191" s="22">
        <f t="shared" si="175"/>
        <v>9.8096316069831389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-2.2737367544323206E-13</v>
      </c>
      <c r="DP191" s="17">
        <f>DO191*VLOOKUP('Données projet'!$B$14,Paramètres!$A$1:$I$89,3,0)*VLOOKUP('Données projet'!$B$14,Paramètres!$A$1:$I$89,5,0)</f>
        <v>-1.2710188457276673E-13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355.23615781077405</v>
      </c>
      <c r="DU191" s="59">
        <f t="shared" si="152"/>
        <v>448.84541017639367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20.512893199665239</v>
      </c>
      <c r="EB191" s="21">
        <f>EXP(-LN(2)/25)*EB190+(1-EXP(-LN(2)/25))/(LN(2)/25)*Calculateur!DW191*Calculateur!DY191*VLOOKUP('Données projet'!$B$14,Paramètres!$A$1:$I$89,3,0)*0.475*44/12</f>
        <v>1.8525788925036502</v>
      </c>
      <c r="EC191" s="21">
        <f>EXP(-LN(2)/2)*EC190+(1-EXP(-LN(2)/2))/(LN(2)/2)*DW191*DZ191*VLOOKUP('Données projet'!$B$14,Paramètres!$A$1:$I$89,3,0)*0.475*44/12</f>
        <v>3.0531594177412708E-18</v>
      </c>
      <c r="ED191" s="22">
        <f t="shared" si="178"/>
        <v>22.36547209216889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1.1368683772161603E-13</v>
      </c>
      <c r="EK191" s="17">
        <f>EJ191*VLOOKUP('Données projet'!$B$15,Paramètres!$A$1:$I$89,3,0)*VLOOKUP('Données projet'!$B$15,Paramètres!$A$1:$I$89,5,0)</f>
        <v>1.223725121235475E-13</v>
      </c>
      <c r="EL191" s="13">
        <f t="shared" si="179"/>
        <v>1.7956824466038182E-12</v>
      </c>
      <c r="EM191" s="20">
        <f t="shared" si="180"/>
        <v>3.3406123864501612E-12</v>
      </c>
      <c r="EN191" s="59">
        <f t="shared" si="128"/>
        <v>293.33333333333667</v>
      </c>
      <c r="EO191" s="59">
        <f ca="1">AVERAGE(OFFSET($EN$3,0,0,'Données projet'!$E$15+1,1))-AVERAGE(OFFSET($H$3,0,0,'Données projet'!$E$15+1,1))</f>
        <v>130.76477588601989</v>
      </c>
      <c r="EP191" s="59">
        <f t="shared" si="154"/>
        <v>94.034011511502172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74.091747832801857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74.091747832801857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-2.2737367544323206E-13</v>
      </c>
      <c r="FF191" s="17">
        <f>FE191*VLOOKUP('Données projet'!$B$16,Paramètres!$A$1:$I$89,3,0)*VLOOKUP('Données projet'!$B$16,Paramètres!$A$1:$I$89,5,0)</f>
        <v>-1.0345502232667058E-13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279.43442619866738</v>
      </c>
      <c r="FK191" s="59">
        <f t="shared" si="156"/>
        <v>355.95192241448217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16.696540976471702</v>
      </c>
      <c r="FR191" s="21">
        <f>EXP(-LN(2)/25)*FR190+(1-EXP(-LN(2)/25))/(LN(2)/25)*Calculateur!FM191*Calculateur!FO191*VLOOKUP('Données projet'!$B$16,Paramètres!$A$1:$I$89,3,0)*0.475*44/12</f>
        <v>1.5079130520378556</v>
      </c>
      <c r="FS191" s="21">
        <f>EXP(-LN(2)/2)*FS190+(1-EXP(-LN(2)/2))/(LN(2)/2)*FM191*FP191*VLOOKUP('Données projet'!$B$16,Paramètres!$A$1:$I$89,3,0)*0.475*44/12</f>
        <v>2.4851297586266159E-18</v>
      </c>
      <c r="FT191" s="22">
        <f t="shared" si="184"/>
        <v>18.204454028509559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-6.7984728957526396E-14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227.89848316900191</v>
      </c>
      <c r="T192" s="59">
        <f t="shared" si="142"/>
        <v>239.85955661394541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11.136855326849611</v>
      </c>
      <c r="AA192" s="21">
        <f>EXP(-LN(2)/25)*AA191+(1-EXP(-LN(2)/25))/(LN(2)/25)*Calculateur!V192*Calculateur!X192*VLOOKUP('Données projet'!$B$9,Paramètres!$A$1:$I$89,3,0)*0.475*44/12</f>
        <v>0.96608507993595416</v>
      </c>
      <c r="AB192" s="21">
        <f>EXP(-LN(2)/2)*AB191+(1-EXP(-LN(2)/2))/(LN(2)/2)*V192*Y192*VLOOKUP('Données projet'!$B$9,Paramètres!$A$1:$I$89,3,0)*0.475*44/12</f>
        <v>2.8103781284586684E-18</v>
      </c>
      <c r="AC192" s="22">
        <f t="shared" si="163"/>
        <v>12.102940406785565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-5.6843418860808015E-14</v>
      </c>
      <c r="AJ192" s="13">
        <f>AI192*VLOOKUP('Données projet'!$B$10,Paramètres!$A$1:$I$89,3,0)*VLOOKUP('Données projet'!$B$10,Paramètres!$A$1:$I$89,5,0)</f>
        <v>-5.1431925385259088E-14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215.7418266360167</v>
      </c>
      <c r="AO192" s="59">
        <f t="shared" si="144"/>
        <v>155.78420008229949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56.590354912731982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56.590354912731982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2.2737367544323206E-13</v>
      </c>
      <c r="BE192" s="13">
        <f>BD192*VLOOKUP('Données projet'!$B$11,Paramètres!$A$1:$I$89,3,0)*VLOOKUP('Données projet'!$B$11,Paramètres!$A$1:$I$89,5,0)</f>
        <v>2.3055690689943731E-13</v>
      </c>
      <c r="BF192" s="13">
        <f t="shared" si="167"/>
        <v>3.142699285622457E-12</v>
      </c>
      <c r="BG192" s="20">
        <f t="shared" si="168"/>
        <v>5.8750878686422984E-12</v>
      </c>
      <c r="BH192" s="59">
        <f t="shared" si="116"/>
        <v>293.33333333333917</v>
      </c>
      <c r="BI192" s="59">
        <f ca="1">AVERAGE(OFFSET($BH$3,0,0,'Données projet'!$E$11+1,1))-AVERAGE(OFFSET($H$3,0,0,'Données projet'!$E$11+1,1))</f>
        <v>179.53921263314447</v>
      </c>
      <c r="BJ192" s="59">
        <f t="shared" si="146"/>
        <v>120.81513023281337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85.534882250086795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85.534882250086795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500.00000000000045</v>
      </c>
      <c r="BZ192" s="13">
        <f>BY192*VLOOKUP('Données projet'!$B$12,Paramètres!$A$1:$I$89,3,0)*VLOOKUP('Données projet'!$B$12,Paramètres!$A$1:$I$89,5,0)</f>
        <v>234.00000000000023</v>
      </c>
      <c r="CA192" s="13">
        <f t="shared" si="170"/>
        <v>57.146705242557189</v>
      </c>
      <c r="CB192" s="20">
        <f t="shared" si="171"/>
        <v>507.08051163078744</v>
      </c>
      <c r="CC192" s="59">
        <f t="shared" si="119"/>
        <v>800.4138449641207</v>
      </c>
      <c r="CD192" s="59">
        <f ca="1">AVERAGE(OFFSET($CC$3,0,0,'Données projet'!$E$12+1,1))-AVERAGE(OFFSET($H$3,0,0,'Données projet'!$E$12+1,1))</f>
        <v>310.06530483941287</v>
      </c>
      <c r="CE192" s="59">
        <f t="shared" si="148"/>
        <v>170.13425794309376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19.488314264202138</v>
      </c>
      <c r="CL192" s="21">
        <f>EXP(-LN(2)/25)*CL191+(1-EXP(-LN(2)/25))/(LN(2)/25)*Calculateur!CG192*Calculateur!CI192*VLOOKUP('Données projet'!$B$12,Paramètres!$A$1:$I$89,3,0)*0.475*44/12</f>
        <v>2.0399182091467591</v>
      </c>
      <c r="CM192" s="21">
        <f>EXP(-LN(2)/2)*CM191+(1-EXP(-LN(2)/2))/(LN(2)/2)*CG192*CJ192*VLOOKUP('Données projet'!$B$12,Paramètres!$A$1:$I$89,3,0)*0.475*44/12</f>
        <v>2.9564140671381658E-13</v>
      </c>
      <c r="CN192" s="22">
        <f t="shared" si="172"/>
        <v>21.528232473349192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168.08890945052406</v>
      </c>
      <c r="CZ192" s="59">
        <f t="shared" si="150"/>
        <v>182.52462557642343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8.8123672178423416</v>
      </c>
      <c r="DG192" s="21">
        <f>EXP(-LN(2)/25)*DG191+(1-EXP(-LN(2)/25))/(LN(2)/25)*Calculateur!DB192*Calculateur!DD192*VLOOKUP('Données projet'!$B$13,Paramètres!$A$1:$I$89,3,0)*0.475*44/12</f>
        <v>0.79855249553801066</v>
      </c>
      <c r="DH192" s="21">
        <f>EXP(-LN(2)/2)*DH191+(1-EXP(-LN(2)/2))/(LN(2)/2)*DB192*DE192*VLOOKUP('Données projet'!$B$13,Paramètres!$A$1:$I$89,3,0)*0.475*44/12</f>
        <v>2.1729619672950995E-18</v>
      </c>
      <c r="DI192" s="22">
        <f t="shared" si="175"/>
        <v>9.610919713380353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-2.2737367544323206E-13</v>
      </c>
      <c r="DP192" s="17">
        <f>DO192*VLOOKUP('Données projet'!$B$14,Paramètres!$A$1:$I$89,3,0)*VLOOKUP('Données projet'!$B$14,Paramètres!$A$1:$I$89,5,0)</f>
        <v>-1.2710188457276673E-13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355.23615781077405</v>
      </c>
      <c r="DU192" s="59">
        <f t="shared" si="152"/>
        <v>448.84541017639367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20.110647875649235</v>
      </c>
      <c r="EB192" s="21">
        <f>EXP(-LN(2)/25)*EB191+(1-EXP(-LN(2)/25))/(LN(2)/25)*Calculateur!DW192*Calculateur!DY192*VLOOKUP('Données projet'!$B$14,Paramètres!$A$1:$I$89,3,0)*0.475*44/12</f>
        <v>1.8019200252652481</v>
      </c>
      <c r="EC192" s="21">
        <f>EXP(-LN(2)/2)*EC191+(1-EXP(-LN(2)/2))/(LN(2)/2)*DW192*DZ192*VLOOKUP('Données projet'!$B$14,Paramètres!$A$1:$I$89,3,0)*0.475*44/12</f>
        <v>2.1589097283284236E-18</v>
      </c>
      <c r="ED192" s="22">
        <f t="shared" si="178"/>
        <v>21.912567900914482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1.1368683772161603E-13</v>
      </c>
      <c r="EK192" s="17">
        <f>EJ192*VLOOKUP('Données projet'!$B$15,Paramètres!$A$1:$I$89,3,0)*VLOOKUP('Données projet'!$B$15,Paramètres!$A$1:$I$89,5,0)</f>
        <v>1.223725121235475E-13</v>
      </c>
      <c r="EL192" s="13">
        <f t="shared" si="179"/>
        <v>1.7956824466038182E-12</v>
      </c>
      <c r="EM192" s="20">
        <f t="shared" si="180"/>
        <v>3.3406123864501612E-12</v>
      </c>
      <c r="EN192" s="59">
        <f t="shared" si="128"/>
        <v>293.33333333333667</v>
      </c>
      <c r="EO192" s="59">
        <f ca="1">AVERAGE(OFFSET($EN$3,0,0,'Données projet'!$E$15+1,1))-AVERAGE(OFFSET($H$3,0,0,'Données projet'!$E$15+1,1))</f>
        <v>130.76477588601989</v>
      </c>
      <c r="EP192" s="59">
        <f t="shared" si="154"/>
        <v>94.034011511502172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72.638853849304496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72.638853849304496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-2.2737367544323206E-13</v>
      </c>
      <c r="FF192" s="17">
        <f>FE192*VLOOKUP('Données projet'!$B$16,Paramètres!$A$1:$I$89,3,0)*VLOOKUP('Données projet'!$B$16,Paramètres!$A$1:$I$89,5,0)</f>
        <v>-1.0345502232667058E-13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279.43442619866738</v>
      </c>
      <c r="FK192" s="59">
        <f t="shared" si="156"/>
        <v>355.95192241448217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16.369131991807514</v>
      </c>
      <c r="FR192" s="21">
        <f>EXP(-LN(2)/25)*FR191+(1-EXP(-LN(2)/25))/(LN(2)/25)*Calculateur!FM192*Calculateur!FO192*VLOOKUP('Données projet'!$B$16,Paramètres!$A$1:$I$89,3,0)*0.475*44/12</f>
        <v>1.4666790903321794</v>
      </c>
      <c r="FS192" s="21">
        <f>EXP(-LN(2)/2)*FS191+(1-EXP(-LN(2)/2))/(LN(2)/2)*FM192*FP192*VLOOKUP('Données projet'!$B$16,Paramètres!$A$1:$I$89,3,0)*0.475*44/12</f>
        <v>1.7572521044533681E-18</v>
      </c>
      <c r="FT192" s="22">
        <f t="shared" si="184"/>
        <v>17.835811082139692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-6.7984728957526396E-14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227.89848316900191</v>
      </c>
      <c r="T193" s="59">
        <f t="shared" si="142"/>
        <v>239.85955661394541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10.918468386701106</v>
      </c>
      <c r="AA193" s="21">
        <f>EXP(-LN(2)/25)*AA192+(1-EXP(-LN(2)/25))/(LN(2)/25)*Calculateur!V193*Calculateur!X193*VLOOKUP('Données projet'!$B$9,Paramètres!$A$1:$I$89,3,0)*0.475*44/12</f>
        <v>0.93966743262089913</v>
      </c>
      <c r="AB193" s="21">
        <f>EXP(-LN(2)/2)*AB192+(1-EXP(-LN(2)/2))/(LN(2)/2)*V193*Y193*VLOOKUP('Données projet'!$B$9,Paramètres!$A$1:$I$89,3,0)*0.475*44/12</f>
        <v>1.9872374323314826E-18</v>
      </c>
      <c r="AC193" s="22">
        <f t="shared" si="163"/>
        <v>11.858135819322005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-5.6843418860808015E-14</v>
      </c>
      <c r="AJ193" s="13">
        <f>AI193*VLOOKUP('Données projet'!$B$10,Paramètres!$A$1:$I$89,3,0)*VLOOKUP('Données projet'!$B$10,Paramètres!$A$1:$I$89,5,0)</f>
        <v>-5.1431925385259088E-14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215.7418266360167</v>
      </c>
      <c r="AO193" s="59">
        <f t="shared" si="144"/>
        <v>155.78420008229949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55.48065256960156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55.48065256960156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2.2737367544323206E-13</v>
      </c>
      <c r="BE193" s="13">
        <f>BD193*VLOOKUP('Données projet'!$B$11,Paramètres!$A$1:$I$89,3,0)*VLOOKUP('Données projet'!$B$11,Paramètres!$A$1:$I$89,5,0)</f>
        <v>2.3055690689943731E-13</v>
      </c>
      <c r="BF193" s="13">
        <f t="shared" si="167"/>
        <v>3.142699285622457E-12</v>
      </c>
      <c r="BG193" s="20">
        <f t="shared" si="168"/>
        <v>5.8750878686422984E-12</v>
      </c>
      <c r="BH193" s="59">
        <f t="shared" si="116"/>
        <v>293.33333333333917</v>
      </c>
      <c r="BI193" s="59">
        <f ca="1">AVERAGE(OFFSET($BH$3,0,0,'Données projet'!$E$11+1,1))-AVERAGE(OFFSET($H$3,0,0,'Données projet'!$E$11+1,1))</f>
        <v>179.53921263314447</v>
      </c>
      <c r="BJ193" s="59">
        <f t="shared" si="146"/>
        <v>120.81513023281337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83.857595380289297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83.857595380289297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500.00000000000045</v>
      </c>
      <c r="BZ193" s="13">
        <f>BY193*VLOOKUP('Données projet'!$B$12,Paramètres!$A$1:$I$89,3,0)*VLOOKUP('Données projet'!$B$12,Paramètres!$A$1:$I$89,5,0)</f>
        <v>234.00000000000023</v>
      </c>
      <c r="CA193" s="13">
        <f t="shared" si="170"/>
        <v>57.146705242557189</v>
      </c>
      <c r="CB193" s="20">
        <f t="shared" si="171"/>
        <v>507.08051163078744</v>
      </c>
      <c r="CC193" s="59">
        <f t="shared" si="119"/>
        <v>800.4138449641207</v>
      </c>
      <c r="CD193" s="59">
        <f ca="1">AVERAGE(OFFSET($CC$3,0,0,'Données projet'!$E$12+1,1))-AVERAGE(OFFSET($H$3,0,0,'Données projet'!$E$12+1,1))</f>
        <v>310.06530483941287</v>
      </c>
      <c r="CE193" s="59">
        <f t="shared" si="148"/>
        <v>170.13425794309376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19.10616030817912</v>
      </c>
      <c r="CL193" s="21">
        <f>EXP(-LN(2)/25)*CL192+(1-EXP(-LN(2)/25))/(LN(2)/25)*Calculateur!CG193*Calculateur!CI193*VLOOKUP('Données projet'!$B$12,Paramètres!$A$1:$I$89,3,0)*0.475*44/12</f>
        <v>1.9841365384430047</v>
      </c>
      <c r="CM193" s="21">
        <f>EXP(-LN(2)/2)*CM192+(1-EXP(-LN(2)/2))/(LN(2)/2)*CG193*CJ193*VLOOKUP('Données projet'!$B$12,Paramètres!$A$1:$I$89,3,0)*0.475*44/12</f>
        <v>2.0905004348686981E-13</v>
      </c>
      <c r="CN193" s="22">
        <f t="shared" si="172"/>
        <v>21.090296846622334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168.08890945052406</v>
      </c>
      <c r="CZ193" s="59">
        <f t="shared" si="150"/>
        <v>182.52462557642343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8.6395620717137174</v>
      </c>
      <c r="DG193" s="21">
        <f>EXP(-LN(2)/25)*DG192+(1-EXP(-LN(2)/25))/(LN(2)/25)*Calculateur!DB193*Calculateur!DD193*VLOOKUP('Données projet'!$B$13,Paramètres!$A$1:$I$89,3,0)*0.475*44/12</f>
        <v>0.77671603555347313</v>
      </c>
      <c r="DH193" s="21">
        <f>EXP(-LN(2)/2)*DH192+(1-EXP(-LN(2)/2))/(LN(2)/2)*DB193*DE193*VLOOKUP('Données projet'!$B$13,Paramètres!$A$1:$I$89,3,0)*0.475*44/12</f>
        <v>1.5365161423348258E-18</v>
      </c>
      <c r="DI193" s="22">
        <f t="shared" si="175"/>
        <v>9.4162781072671908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-2.2737367544323206E-13</v>
      </c>
      <c r="DP193" s="17">
        <f>DO193*VLOOKUP('Données projet'!$B$14,Paramètres!$A$1:$I$89,3,0)*VLOOKUP('Données projet'!$B$14,Paramètres!$A$1:$I$89,5,0)</f>
        <v>-1.2710188457276673E-13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355.23615781077405</v>
      </c>
      <c r="DU193" s="59">
        <f t="shared" si="152"/>
        <v>448.84541017639367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19.716290337091763</v>
      </c>
      <c r="EB193" s="21">
        <f>EXP(-LN(2)/25)*EB192+(1-EXP(-LN(2)/25))/(LN(2)/25)*Calculateur!DW193*Calculateur!DY193*VLOOKUP('Données projet'!$B$14,Paramètres!$A$1:$I$89,3,0)*0.475*44/12</f>
        <v>1.752646427415514</v>
      </c>
      <c r="EC193" s="21">
        <f>EXP(-LN(2)/2)*EC192+(1-EXP(-LN(2)/2))/(LN(2)/2)*DW193*DZ193*VLOOKUP('Données projet'!$B$14,Paramètres!$A$1:$I$89,3,0)*0.475*44/12</f>
        <v>1.5265797088706354E-18</v>
      </c>
      <c r="ED193" s="22">
        <f t="shared" si="178"/>
        <v>21.468936764507276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1.1368683772161603E-13</v>
      </c>
      <c r="EK193" s="17">
        <f>EJ193*VLOOKUP('Données projet'!$B$15,Paramètres!$A$1:$I$89,3,0)*VLOOKUP('Données projet'!$B$15,Paramètres!$A$1:$I$89,5,0)</f>
        <v>1.223725121235475E-13</v>
      </c>
      <c r="EL193" s="13">
        <f t="shared" si="179"/>
        <v>1.7956824466038182E-12</v>
      </c>
      <c r="EM193" s="20">
        <f t="shared" si="180"/>
        <v>3.3406123864501612E-12</v>
      </c>
      <c r="EN193" s="59">
        <f t="shared" si="128"/>
        <v>293.33333333333667</v>
      </c>
      <c r="EO193" s="59">
        <f ca="1">AVERAGE(OFFSET($EN$3,0,0,'Données projet'!$E$15+1,1))-AVERAGE(OFFSET($H$3,0,0,'Données projet'!$E$15+1,1))</f>
        <v>130.76477588601989</v>
      </c>
      <c r="EP193" s="59">
        <f t="shared" si="154"/>
        <v>94.034011511502172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71.214450230645696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71.214450230645696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-2.2737367544323206E-13</v>
      </c>
      <c r="FF193" s="17">
        <f>FE193*VLOOKUP('Données projet'!$B$16,Paramètres!$A$1:$I$89,3,0)*VLOOKUP('Données projet'!$B$16,Paramètres!$A$1:$I$89,5,0)</f>
        <v>-1.0345502232667058E-13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279.43442619866738</v>
      </c>
      <c r="FK193" s="59">
        <f t="shared" si="156"/>
        <v>355.95192241448217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16.048143297632826</v>
      </c>
      <c r="FR193" s="21">
        <f>EXP(-LN(2)/25)*FR192+(1-EXP(-LN(2)/25))/(LN(2)/25)*Calculateur!FM193*Calculateur!FO193*VLOOKUP('Données projet'!$B$16,Paramètres!$A$1:$I$89,3,0)*0.475*44/12</f>
        <v>1.4265726734777446</v>
      </c>
      <c r="FS193" s="21">
        <f>EXP(-LN(2)/2)*FS192+(1-EXP(-LN(2)/2))/(LN(2)/2)*FM193*FP193*VLOOKUP('Données projet'!$B$16,Paramètres!$A$1:$I$89,3,0)*0.475*44/12</f>
        <v>1.2425648793133079E-18</v>
      </c>
      <c r="FT193" s="22">
        <f t="shared" si="184"/>
        <v>17.47471597111057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-6.7984728957526396E-14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227.89848316900191</v>
      </c>
      <c r="T194" s="59">
        <f t="shared" si="142"/>
        <v>239.85955661394541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10.704363881246032</v>
      </c>
      <c r="AA194" s="21">
        <f>EXP(-LN(2)/25)*AA193+(1-EXP(-LN(2)/25))/(LN(2)/25)*Calculateur!V194*Calculateur!X194*VLOOKUP('Données projet'!$B$9,Paramètres!$A$1:$I$89,3,0)*0.475*44/12</f>
        <v>0.91397217726091795</v>
      </c>
      <c r="AB194" s="21">
        <f>EXP(-LN(2)/2)*AB193+(1-EXP(-LN(2)/2))/(LN(2)/2)*V194*Y194*VLOOKUP('Données projet'!$B$9,Paramètres!$A$1:$I$89,3,0)*0.475*44/12</f>
        <v>1.4051890642293342E-18</v>
      </c>
      <c r="AC194" s="22">
        <f t="shared" si="163"/>
        <v>11.61833605850695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-5.6843418860808015E-14</v>
      </c>
      <c r="AJ194" s="13">
        <f>AI194*VLOOKUP('Données projet'!$B$10,Paramètres!$A$1:$I$89,3,0)*VLOOKUP('Données projet'!$B$10,Paramètres!$A$1:$I$89,5,0)</f>
        <v>-5.1431925385259088E-14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215.7418266360167</v>
      </c>
      <c r="AO194" s="59">
        <f t="shared" si="144"/>
        <v>155.78420008229949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54.392710812568332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54.392710812568332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2.2737367544323206E-13</v>
      </c>
      <c r="BE194" s="13">
        <f>BD194*VLOOKUP('Données projet'!$B$11,Paramètres!$A$1:$I$89,3,0)*VLOOKUP('Données projet'!$B$11,Paramètres!$A$1:$I$89,5,0)</f>
        <v>2.3055690689943731E-13</v>
      </c>
      <c r="BF194" s="13">
        <f t="shared" si="167"/>
        <v>3.142699285622457E-12</v>
      </c>
      <c r="BG194" s="20">
        <f t="shared" si="168"/>
        <v>5.8750878686422984E-12</v>
      </c>
      <c r="BH194" s="59">
        <f t="shared" si="116"/>
        <v>293.33333333333917</v>
      </c>
      <c r="BI194" s="59">
        <f ca="1">AVERAGE(OFFSET($BH$3,0,0,'Données projet'!$E$11+1,1))-AVERAGE(OFFSET($H$3,0,0,'Données projet'!$E$11+1,1))</f>
        <v>179.53921263314447</v>
      </c>
      <c r="BJ194" s="59">
        <f t="shared" si="146"/>
        <v>120.81513023281337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82.21319908296455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82.21319908296455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500.00000000000045</v>
      </c>
      <c r="BZ194" s="13">
        <f>BY194*VLOOKUP('Données projet'!$B$12,Paramètres!$A$1:$I$89,3,0)*VLOOKUP('Données projet'!$B$12,Paramètres!$A$1:$I$89,5,0)</f>
        <v>234.00000000000023</v>
      </c>
      <c r="CA194" s="13">
        <f t="shared" si="170"/>
        <v>57.146705242557189</v>
      </c>
      <c r="CB194" s="20">
        <f t="shared" si="171"/>
        <v>507.08051163078744</v>
      </c>
      <c r="CC194" s="59">
        <f t="shared" si="119"/>
        <v>800.4138449641207</v>
      </c>
      <c r="CD194" s="59">
        <f ca="1">AVERAGE(OFFSET($CC$3,0,0,'Données projet'!$E$12+1,1))-AVERAGE(OFFSET($H$3,0,0,'Données projet'!$E$12+1,1))</f>
        <v>310.06530483941287</v>
      </c>
      <c r="CE194" s="59">
        <f t="shared" si="148"/>
        <v>170.13425794309376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18.731500158142818</v>
      </c>
      <c r="CL194" s="21">
        <f>EXP(-LN(2)/25)*CL193+(1-EXP(-LN(2)/25))/(LN(2)/25)*Calculateur!CG194*Calculateur!CI194*VLOOKUP('Données projet'!$B$12,Paramètres!$A$1:$I$89,3,0)*0.475*44/12</f>
        <v>1.9298802204580749</v>
      </c>
      <c r="CM194" s="21">
        <f>EXP(-LN(2)/2)*CM193+(1-EXP(-LN(2)/2))/(LN(2)/2)*CG194*CJ194*VLOOKUP('Données projet'!$B$12,Paramètres!$A$1:$I$89,3,0)*0.475*44/12</f>
        <v>1.4782070335690829E-13</v>
      </c>
      <c r="CN194" s="22">
        <f t="shared" si="172"/>
        <v>20.661380378601041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168.08890945052406</v>
      </c>
      <c r="CZ194" s="59">
        <f t="shared" si="150"/>
        <v>182.52462557642343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8.4701455290999448</v>
      </c>
      <c r="DG194" s="21">
        <f>EXP(-LN(2)/25)*DG193+(1-EXP(-LN(2)/25))/(LN(2)/25)*Calculateur!DB194*Calculateur!DD194*VLOOKUP('Données projet'!$B$13,Paramètres!$A$1:$I$89,3,0)*0.475*44/12</f>
        <v>0.75547669471554235</v>
      </c>
      <c r="DH194" s="21">
        <f>EXP(-LN(2)/2)*DH193+(1-EXP(-LN(2)/2))/(LN(2)/2)*DB194*DE194*VLOOKUP('Données projet'!$B$13,Paramètres!$A$1:$I$89,3,0)*0.475*44/12</f>
        <v>1.0864809836475498E-18</v>
      </c>
      <c r="DI194" s="22">
        <f t="shared" si="175"/>
        <v>9.2256222238154866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-2.2737367544323206E-13</v>
      </c>
      <c r="DP194" s="17">
        <f>DO194*VLOOKUP('Données projet'!$B$14,Paramètres!$A$1:$I$89,3,0)*VLOOKUP('Données projet'!$B$14,Paramètres!$A$1:$I$89,5,0)</f>
        <v>-1.2710188457276673E-13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355.23615781077405</v>
      </c>
      <c r="DU194" s="59">
        <f t="shared" si="152"/>
        <v>448.84541017639367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19.329665909331055</v>
      </c>
      <c r="EB194" s="21">
        <f>EXP(-LN(2)/25)*EB193+(1-EXP(-LN(2)/25))/(LN(2)/25)*Calculateur!DW194*Calculateur!DY194*VLOOKUP('Données projet'!$B$14,Paramètres!$A$1:$I$89,3,0)*0.475*44/12</f>
        <v>1.7047202186901669</v>
      </c>
      <c r="EC194" s="21">
        <f>EXP(-LN(2)/2)*EC193+(1-EXP(-LN(2)/2))/(LN(2)/2)*DW194*DZ194*VLOOKUP('Données projet'!$B$14,Paramètres!$A$1:$I$89,3,0)*0.475*44/12</f>
        <v>1.0794548641642118E-18</v>
      </c>
      <c r="ED194" s="22">
        <f t="shared" si="178"/>
        <v>21.034386128021222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1.1368683772161603E-13</v>
      </c>
      <c r="EK194" s="17">
        <f>EJ194*VLOOKUP('Données projet'!$B$15,Paramètres!$A$1:$I$89,3,0)*VLOOKUP('Données projet'!$B$15,Paramètres!$A$1:$I$89,5,0)</f>
        <v>1.223725121235475E-13</v>
      </c>
      <c r="EL194" s="13">
        <f t="shared" si="179"/>
        <v>1.7956824466038182E-12</v>
      </c>
      <c r="EM194" s="20">
        <f t="shared" si="180"/>
        <v>3.3406123864501612E-12</v>
      </c>
      <c r="EN194" s="59">
        <f t="shared" si="128"/>
        <v>293.33333333333667</v>
      </c>
      <c r="EO194" s="59">
        <f ca="1">AVERAGE(OFFSET($EN$3,0,0,'Données projet'!$E$15+1,1))-AVERAGE(OFFSET($H$3,0,0,'Données projet'!$E$15+1,1))</f>
        <v>130.76477588601989</v>
      </c>
      <c r="EP194" s="59">
        <f t="shared" si="154"/>
        <v>94.034011511502172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69.817978298148375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69.817978298148375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-2.2737367544323206E-13</v>
      </c>
      <c r="FF194" s="17">
        <f>FE194*VLOOKUP('Données projet'!$B$16,Paramètres!$A$1:$I$89,3,0)*VLOOKUP('Données projet'!$B$16,Paramètres!$A$1:$I$89,5,0)</f>
        <v>-1.0345502232667058E-13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279.43442619866738</v>
      </c>
      <c r="FK194" s="59">
        <f t="shared" si="156"/>
        <v>355.95192241448217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15.733448995967134</v>
      </c>
      <c r="FR194" s="21">
        <f>EXP(-LN(2)/25)*FR193+(1-EXP(-LN(2)/25))/(LN(2)/25)*Calculateur!FM194*Calculateur!FO194*VLOOKUP('Données projet'!$B$16,Paramètres!$A$1:$I$89,3,0)*0.475*44/12</f>
        <v>1.3875629687012994</v>
      </c>
      <c r="FS194" s="21">
        <f>EXP(-LN(2)/2)*FS193+(1-EXP(-LN(2)/2))/(LN(2)/2)*FM194*FP194*VLOOKUP('Données projet'!$B$16,Paramètres!$A$1:$I$89,3,0)*0.475*44/12</f>
        <v>8.7862605222668405E-19</v>
      </c>
      <c r="FT194" s="22">
        <f t="shared" si="184"/>
        <v>17.121011964668433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-6.7984728957526396E-14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227.89848316900191</v>
      </c>
      <c r="T195" s="59">
        <f t="shared" si="142"/>
        <v>239.85955661394541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10.494457834552078</v>
      </c>
      <c r="AA195" s="21">
        <f>EXP(-LN(2)/25)*AA194+(1-EXP(-LN(2)/25))/(LN(2)/25)*Calculateur!V195*Calculateur!X195*VLOOKUP('Données projet'!$B$9,Paramètres!$A$1:$I$89,3,0)*0.475*44/12</f>
        <v>0.88897956001001022</v>
      </c>
      <c r="AB195" s="21">
        <f>EXP(-LN(2)/2)*AB194+(1-EXP(-LN(2)/2))/(LN(2)/2)*V195*Y195*VLOOKUP('Données projet'!$B$9,Paramètres!$A$1:$I$89,3,0)*0.475*44/12</f>
        <v>9.9361871616574128E-19</v>
      </c>
      <c r="AC195" s="22">
        <f t="shared" si="163"/>
        <v>11.383437394562089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-5.6843418860808015E-14</v>
      </c>
      <c r="AJ195" s="13">
        <f>AI195*VLOOKUP('Données projet'!$B$10,Paramètres!$A$1:$I$89,3,0)*VLOOKUP('Données projet'!$B$10,Paramètres!$A$1:$I$89,5,0)</f>
        <v>-5.1431925385259088E-14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215.7418266360167</v>
      </c>
      <c r="AO195" s="59">
        <f t="shared" si="144"/>
        <v>155.78420008229949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53.326102929811576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53.326102929811576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2.2737367544323206E-13</v>
      </c>
      <c r="BE195" s="13">
        <f>BD195*VLOOKUP('Données projet'!$B$11,Paramètres!$A$1:$I$89,3,0)*VLOOKUP('Données projet'!$B$11,Paramètres!$A$1:$I$89,5,0)</f>
        <v>2.3055690689943731E-13</v>
      </c>
      <c r="BF195" s="13">
        <f t="shared" si="167"/>
        <v>3.142699285622457E-12</v>
      </c>
      <c r="BG195" s="20">
        <f t="shared" si="168"/>
        <v>5.8750878686422984E-12</v>
      </c>
      <c r="BH195" s="59">
        <f t="shared" si="116"/>
        <v>293.33333333333917</v>
      </c>
      <c r="BI195" s="59">
        <f ca="1">AVERAGE(OFFSET($BH$3,0,0,'Données projet'!$E$11+1,1))-AVERAGE(OFFSET($H$3,0,0,'Données projet'!$E$11+1,1))</f>
        <v>179.53921263314447</v>
      </c>
      <c r="BJ195" s="59">
        <f t="shared" si="146"/>
        <v>120.81513023281337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80.601048394047638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80.601048394047638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500.00000000000045</v>
      </c>
      <c r="BZ195" s="13">
        <f>BY195*VLOOKUP('Données projet'!$B$12,Paramètres!$A$1:$I$89,3,0)*VLOOKUP('Données projet'!$B$12,Paramètres!$A$1:$I$89,5,0)</f>
        <v>234.00000000000023</v>
      </c>
      <c r="CA195" s="13">
        <f t="shared" si="170"/>
        <v>57.146705242557189</v>
      </c>
      <c r="CB195" s="20">
        <f t="shared" si="171"/>
        <v>507.08051163078744</v>
      </c>
      <c r="CC195" s="59">
        <f t="shared" si="119"/>
        <v>800.4138449641207</v>
      </c>
      <c r="CD195" s="59">
        <f ca="1">AVERAGE(OFFSET($CC$3,0,0,'Données projet'!$E$12+1,1))-AVERAGE(OFFSET($H$3,0,0,'Données projet'!$E$12+1,1))</f>
        <v>310.06530483941287</v>
      </c>
      <c r="CE195" s="59">
        <f t="shared" si="148"/>
        <v>170.13425794309376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18.364186865128602</v>
      </c>
      <c r="CL195" s="21">
        <f>EXP(-LN(2)/25)*CL194+(1-EXP(-LN(2)/25))/(LN(2)/25)*Calculateur!CG195*Calculateur!CI195*VLOOKUP('Données projet'!$B$12,Paramètres!$A$1:$I$89,3,0)*0.475*44/12</f>
        <v>1.8771075443416589</v>
      </c>
      <c r="CM195" s="21">
        <f>EXP(-LN(2)/2)*CM194+(1-EXP(-LN(2)/2))/(LN(2)/2)*CG195*CJ195*VLOOKUP('Données projet'!$B$12,Paramètres!$A$1:$I$89,3,0)*0.475*44/12</f>
        <v>1.045250217434349E-13</v>
      </c>
      <c r="CN195" s="22">
        <f t="shared" si="172"/>
        <v>20.241294409470363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168.08890945052406</v>
      </c>
      <c r="CZ195" s="59">
        <f t="shared" si="150"/>
        <v>182.52462557642343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8.3040511415529394</v>
      </c>
      <c r="DG195" s="21">
        <f>EXP(-LN(2)/25)*DG194+(1-EXP(-LN(2)/25))/(LN(2)/25)*Calculateur!DB195*Calculateur!DD195*VLOOKUP('Données projet'!$B$13,Paramètres!$A$1:$I$89,3,0)*0.475*44/12</f>
        <v>0.73481814476975316</v>
      </c>
      <c r="DH195" s="21">
        <f>EXP(-LN(2)/2)*DH194+(1-EXP(-LN(2)/2))/(LN(2)/2)*DB195*DE195*VLOOKUP('Données projet'!$B$13,Paramètres!$A$1:$I$89,3,0)*0.475*44/12</f>
        <v>7.6825807116741289E-19</v>
      </c>
      <c r="DI195" s="22">
        <f t="shared" si="175"/>
        <v>9.0388692863226918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-2.2737367544323206E-13</v>
      </c>
      <c r="DP195" s="17">
        <f>DO195*VLOOKUP('Données projet'!$B$14,Paramètres!$A$1:$I$89,3,0)*VLOOKUP('Données projet'!$B$14,Paramètres!$A$1:$I$89,5,0)</f>
        <v>-1.2710188457276673E-13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355.23615781077405</v>
      </c>
      <c r="DU195" s="59">
        <f t="shared" si="152"/>
        <v>448.84541017639367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18.950622950781121</v>
      </c>
      <c r="EB195" s="21">
        <f>EXP(-LN(2)/25)*EB194+(1-EXP(-LN(2)/25))/(LN(2)/25)*Calculateur!DW195*Calculateur!DY195*VLOOKUP('Données projet'!$B$14,Paramètres!$A$1:$I$89,3,0)*0.475*44/12</f>
        <v>1.6581045546627442</v>
      </c>
      <c r="EC195" s="21">
        <f>EXP(-LN(2)/2)*EC194+(1-EXP(-LN(2)/2))/(LN(2)/2)*DW195*DZ195*VLOOKUP('Données projet'!$B$14,Paramètres!$A$1:$I$89,3,0)*0.475*44/12</f>
        <v>7.6328985443531771E-19</v>
      </c>
      <c r="ED195" s="22">
        <f t="shared" si="178"/>
        <v>20.608727505443866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1.1368683772161603E-13</v>
      </c>
      <c r="EK195" s="17">
        <f>EJ195*VLOOKUP('Données projet'!$B$15,Paramètres!$A$1:$I$89,3,0)*VLOOKUP('Données projet'!$B$15,Paramètres!$A$1:$I$89,5,0)</f>
        <v>1.223725121235475E-13</v>
      </c>
      <c r="EL195" s="13">
        <f t="shared" si="179"/>
        <v>1.7956824466038182E-12</v>
      </c>
      <c r="EM195" s="20">
        <f t="shared" si="180"/>
        <v>3.3406123864501612E-12</v>
      </c>
      <c r="EN195" s="59">
        <f t="shared" si="128"/>
        <v>293.33333333333667</v>
      </c>
      <c r="EO195" s="59">
        <f ca="1">AVERAGE(OFFSET($EN$3,0,0,'Données projet'!$E$15+1,1))-AVERAGE(OFFSET($H$3,0,0,'Données projet'!$E$15+1,1))</f>
        <v>130.76477588601989</v>
      </c>
      <c r="EP195" s="59">
        <f t="shared" si="154"/>
        <v>94.034011511502172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68.448890328483557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68.448890328483557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-2.2737367544323206E-13</v>
      </c>
      <c r="FF195" s="17">
        <f>FE195*VLOOKUP('Données projet'!$B$16,Paramètres!$A$1:$I$89,3,0)*VLOOKUP('Données projet'!$B$16,Paramètres!$A$1:$I$89,5,0)</f>
        <v>-1.0345502232667058E-13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279.43442619866738</v>
      </c>
      <c r="FK195" s="59">
        <f t="shared" si="156"/>
        <v>355.95192241448217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15.424925657612535</v>
      </c>
      <c r="FR195" s="21">
        <f>EXP(-LN(2)/25)*FR194+(1-EXP(-LN(2)/25))/(LN(2)/25)*Calculateur!FM195*Calculateur!FO195*VLOOKUP('Données projet'!$B$16,Paramètres!$A$1:$I$89,3,0)*0.475*44/12</f>
        <v>1.3496199863533971</v>
      </c>
      <c r="FS195" s="21">
        <f>EXP(-LN(2)/2)*FS194+(1-EXP(-LN(2)/2))/(LN(2)/2)*FM195*FP195*VLOOKUP('Données projet'!$B$16,Paramètres!$A$1:$I$89,3,0)*0.475*44/12</f>
        <v>6.2128243965665397E-19</v>
      </c>
      <c r="FT195" s="22">
        <f t="shared" si="184"/>
        <v>16.774545643965933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-6.7984728957526396E-14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227.89848316900191</v>
      </c>
      <c r="T196" s="59">
        <f t="shared" si="142"/>
        <v>239.85955661394541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10.288667917403746</v>
      </c>
      <c r="AA196" s="21">
        <f>EXP(-LN(2)/25)*AA195+(1-EXP(-LN(2)/25))/(LN(2)/25)*Calculateur!V196*Calculateur!X196*VLOOKUP('Données projet'!$B$9,Paramètres!$A$1:$I$89,3,0)*0.475*44/12</f>
        <v>0.86467036719213319</v>
      </c>
      <c r="AB196" s="21">
        <f>EXP(-LN(2)/2)*AB195+(1-EXP(-LN(2)/2))/(LN(2)/2)*V196*Y196*VLOOKUP('Données projet'!$B$9,Paramètres!$A$1:$I$89,3,0)*0.475*44/12</f>
        <v>7.0259453211466709E-19</v>
      </c>
      <c r="AC196" s="22">
        <f t="shared" si="163"/>
        <v>11.153338284595879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-5.6843418860808015E-14</v>
      </c>
      <c r="AJ196" s="13">
        <f>AI196*VLOOKUP('Données projet'!$B$10,Paramètres!$A$1:$I$89,3,0)*VLOOKUP('Données projet'!$B$10,Paramètres!$A$1:$I$89,5,0)</f>
        <v>-5.1431925385259088E-14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215.7418266360167</v>
      </c>
      <c r="AO196" s="59">
        <f t="shared" si="144"/>
        <v>155.78420008229949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52.280410577069112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52.280410577069112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2.2737367544323206E-13</v>
      </c>
      <c r="BE196" s="13">
        <f>BD196*VLOOKUP('Données projet'!$B$11,Paramètres!$A$1:$I$89,3,0)*VLOOKUP('Données projet'!$B$11,Paramètres!$A$1:$I$89,5,0)</f>
        <v>2.3055690689943731E-13</v>
      </c>
      <c r="BF196" s="13">
        <f t="shared" si="167"/>
        <v>3.142699285622457E-12</v>
      </c>
      <c r="BG196" s="20">
        <f t="shared" si="168"/>
        <v>5.8750878686422984E-12</v>
      </c>
      <c r="BH196" s="59">
        <f t="shared" ref="BH196:BH203" si="194">BG196+(AY196+AZ196)*44/12</f>
        <v>293.33333333333917</v>
      </c>
      <c r="BI196" s="59">
        <f ca="1">AVERAGE(OFFSET($BH$3,0,0,'Données projet'!$E$11+1,1))-AVERAGE(OFFSET($H$3,0,0,'Données projet'!$E$11+1,1))</f>
        <v>179.53921263314447</v>
      </c>
      <c r="BJ196" s="59">
        <f t="shared" si="146"/>
        <v>120.81513023281337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79.020510996825564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79.020510996825564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500.00000000000045</v>
      </c>
      <c r="BZ196" s="13">
        <f>BY196*VLOOKUP('Données projet'!$B$12,Paramètres!$A$1:$I$89,3,0)*VLOOKUP('Données projet'!$B$12,Paramètres!$A$1:$I$89,5,0)</f>
        <v>234.00000000000023</v>
      </c>
      <c r="CA196" s="13">
        <f t="shared" si="170"/>
        <v>57.146705242557189</v>
      </c>
      <c r="CB196" s="20">
        <f t="shared" si="171"/>
        <v>507.08051163078744</v>
      </c>
      <c r="CC196" s="59">
        <f t="shared" ref="CC196:CC203" si="195">CB196+(BT196+BU196)*44/12</f>
        <v>800.4138449641207</v>
      </c>
      <c r="CD196" s="59">
        <f ca="1">AVERAGE(OFFSET($CC$3,0,0,'Données projet'!$E$12+1,1))-AVERAGE(OFFSET($H$3,0,0,'Données projet'!$E$12+1,1))</f>
        <v>310.06530483941287</v>
      </c>
      <c r="CE196" s="59">
        <f t="shared" si="148"/>
        <v>170.13425794309376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18.004076361751405</v>
      </c>
      <c r="CL196" s="21">
        <f>EXP(-LN(2)/25)*CL195+(1-EXP(-LN(2)/25))/(LN(2)/25)*Calculateur!CG196*Calculateur!CI196*VLOOKUP('Données projet'!$B$12,Paramètres!$A$1:$I$89,3,0)*0.475*44/12</f>
        <v>1.8257779398288407</v>
      </c>
      <c r="CM196" s="21">
        <f>EXP(-LN(2)/2)*CM195+(1-EXP(-LN(2)/2))/(LN(2)/2)*CG196*CJ196*VLOOKUP('Données projet'!$B$12,Paramètres!$A$1:$I$89,3,0)*0.475*44/12</f>
        <v>7.3910351678454146E-14</v>
      </c>
      <c r="CN196" s="22">
        <f t="shared" si="172"/>
        <v>19.829854301580319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168.08890945052406</v>
      </c>
      <c r="CZ196" s="59">
        <f t="shared" si="150"/>
        <v>182.52462557642343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8.1412137636381576</v>
      </c>
      <c r="DG196" s="21">
        <f>EXP(-LN(2)/25)*DG195+(1-EXP(-LN(2)/25))/(LN(2)/25)*Calculateur!DB196*Calculateur!DD196*VLOOKUP('Données projet'!$B$13,Paramètres!$A$1:$I$89,3,0)*0.475*44/12</f>
        <v>0.71472450395861742</v>
      </c>
      <c r="DH196" s="21">
        <f>EXP(-LN(2)/2)*DH195+(1-EXP(-LN(2)/2))/(LN(2)/2)*DB196*DE196*VLOOKUP('Données projet'!$B$13,Paramètres!$A$1:$I$89,3,0)*0.475*44/12</f>
        <v>5.4324049182377488E-19</v>
      </c>
      <c r="DI196" s="22">
        <f t="shared" si="175"/>
        <v>8.855938267596775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-2.2737367544323206E-13</v>
      </c>
      <c r="DP196" s="17">
        <f>DO196*VLOOKUP('Données projet'!$B$14,Paramètres!$A$1:$I$89,3,0)*VLOOKUP('Données projet'!$B$14,Paramètres!$A$1:$I$89,5,0)</f>
        <v>-1.2710188457276673E-13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355.23615781077405</v>
      </c>
      <c r="DU196" s="59">
        <f t="shared" si="152"/>
        <v>448.84541017639367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18.579012793454972</v>
      </c>
      <c r="EB196" s="21">
        <f>EXP(-LN(2)/25)*EB195+(1-EXP(-LN(2)/25))/(LN(2)/25)*Calculateur!DW196*Calculateur!DY196*VLOOKUP('Données projet'!$B$14,Paramètres!$A$1:$I$89,3,0)*0.475*44/12</f>
        <v>1.6127635984195625</v>
      </c>
      <c r="EC196" s="21">
        <f>EXP(-LN(2)/2)*EC195+(1-EXP(-LN(2)/2))/(LN(2)/2)*DW196*DZ196*VLOOKUP('Données projet'!$B$14,Paramètres!$A$1:$I$89,3,0)*0.475*44/12</f>
        <v>5.397274320821059E-19</v>
      </c>
      <c r="ED196" s="22">
        <f t="shared" si="178"/>
        <v>20.191776391874534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1.1368683772161603E-13</v>
      </c>
      <c r="EK196" s="17">
        <f>EJ196*VLOOKUP('Données projet'!$B$15,Paramètres!$A$1:$I$89,3,0)*VLOOKUP('Données projet'!$B$15,Paramètres!$A$1:$I$89,5,0)</f>
        <v>1.223725121235475E-13</v>
      </c>
      <c r="EL196" s="13">
        <f t="shared" si="179"/>
        <v>1.7956824466038182E-12</v>
      </c>
      <c r="EM196" s="20">
        <f t="shared" si="180"/>
        <v>3.3406123864501612E-12</v>
      </c>
      <c r="EN196" s="59">
        <f t="shared" ref="EN196:EN203" si="198">EM196+(EE196+EF196)*44/12</f>
        <v>293.33333333333667</v>
      </c>
      <c r="EO196" s="59">
        <f ca="1">AVERAGE(OFFSET($EN$3,0,0,'Données projet'!$E$15+1,1))-AVERAGE(OFFSET($H$3,0,0,'Données projet'!$E$15+1,1))</f>
        <v>130.76477588601989</v>
      </c>
      <c r="EP196" s="59">
        <f t="shared" si="154"/>
        <v>94.034011511502172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67.106649338842658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67.106649338842658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-2.2737367544323206E-13</v>
      </c>
      <c r="FF196" s="17">
        <f>FE196*VLOOKUP('Données projet'!$B$16,Paramètres!$A$1:$I$89,3,0)*VLOOKUP('Données projet'!$B$16,Paramètres!$A$1:$I$89,5,0)</f>
        <v>-1.0345502232667058E-13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279.43442619866738</v>
      </c>
      <c r="FK196" s="59">
        <f t="shared" si="156"/>
        <v>355.95192241448217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15.122452273742415</v>
      </c>
      <c r="FR196" s="21">
        <f>EXP(-LN(2)/25)*FR195+(1-EXP(-LN(2)/25))/(LN(2)/25)*Calculateur!FM196*Calculateur!FO196*VLOOKUP('Données projet'!$B$16,Paramètres!$A$1:$I$89,3,0)*0.475*44/12</f>
        <v>1.3127145568531329</v>
      </c>
      <c r="FS196" s="21">
        <f>EXP(-LN(2)/2)*FS195+(1-EXP(-LN(2)/2))/(LN(2)/2)*FM196*FP196*VLOOKUP('Données projet'!$B$16,Paramètres!$A$1:$I$89,3,0)*0.475*44/12</f>
        <v>4.3931302611334203E-19</v>
      </c>
      <c r="FT196" s="22">
        <f t="shared" si="184"/>
        <v>16.435166830595549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-6.7984728957526396E-14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227.89848316900191</v>
      </c>
      <c r="T197" s="59">
        <f t="shared" ref="T197:T203" si="204">$T$3</f>
        <v>239.85955661394541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10.086913415011237</v>
      </c>
      <c r="AA197" s="21">
        <f>EXP(-LN(2)/25)*AA196+(1-EXP(-LN(2)/25))/(LN(2)/25)*Calculateur!V197*Calculateur!X197*VLOOKUP('Données projet'!$B$9,Paramètres!$A$1:$I$89,3,0)*0.475*44/12</f>
        <v>0.84102591053022591</v>
      </c>
      <c r="AB197" s="21">
        <f>EXP(-LN(2)/2)*AB196+(1-EXP(-LN(2)/2))/(LN(2)/2)*V197*Y197*VLOOKUP('Données projet'!$B$9,Paramètres!$A$1:$I$89,3,0)*0.475*44/12</f>
        <v>4.9680935808287064E-19</v>
      </c>
      <c r="AC197" s="22">
        <f t="shared" si="163"/>
        <v>10.927939325541463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-5.6843418860808015E-14</v>
      </c>
      <c r="AJ197" s="13">
        <f>AI197*VLOOKUP('Données projet'!$B$10,Paramètres!$A$1:$I$89,3,0)*VLOOKUP('Données projet'!$B$10,Paramètres!$A$1:$I$89,5,0)</f>
        <v>-5.1431925385259088E-14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215.7418266360167</v>
      </c>
      <c r="AO197" s="59">
        <f t="shared" ref="AO197:AO203" si="205">$AO$3</f>
        <v>155.78420008229949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51.25522361355457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51.25522361355457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2.2737367544323206E-13</v>
      </c>
      <c r="BE197" s="13">
        <f>BD197*VLOOKUP('Données projet'!$B$11,Paramètres!$A$1:$I$89,3,0)*VLOOKUP('Données projet'!$B$11,Paramètres!$A$1:$I$89,5,0)</f>
        <v>2.3055690689943731E-13</v>
      </c>
      <c r="BF197" s="13">
        <f t="shared" si="167"/>
        <v>3.142699285622457E-12</v>
      </c>
      <c r="BG197" s="20">
        <f t="shared" si="168"/>
        <v>5.8750878686422984E-12</v>
      </c>
      <c r="BH197" s="59">
        <f t="shared" si="194"/>
        <v>293.33333333333917</v>
      </c>
      <c r="BI197" s="59">
        <f ca="1">AVERAGE(OFFSET($BH$3,0,0,'Données projet'!$E$11+1,1))-AVERAGE(OFFSET($H$3,0,0,'Données projet'!$E$11+1,1))</f>
        <v>179.53921263314447</v>
      </c>
      <c r="BJ197" s="59">
        <f t="shared" ref="BJ197:BJ203" si="206">$BJ$3</f>
        <v>120.81513023281337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77.470966973930388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77.470966973930388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500.00000000000045</v>
      </c>
      <c r="BZ197" s="13">
        <f>BY197*VLOOKUP('Données projet'!$B$12,Paramètres!$A$1:$I$89,3,0)*VLOOKUP('Données projet'!$B$12,Paramètres!$A$1:$I$89,5,0)</f>
        <v>234.00000000000023</v>
      </c>
      <c r="CA197" s="13">
        <f t="shared" si="170"/>
        <v>57.146705242557189</v>
      </c>
      <c r="CB197" s="20">
        <f t="shared" si="171"/>
        <v>507.08051163078744</v>
      </c>
      <c r="CC197" s="59">
        <f t="shared" si="195"/>
        <v>800.4138449641207</v>
      </c>
      <c r="CD197" s="59">
        <f ca="1">AVERAGE(OFFSET($CC$3,0,0,'Données projet'!$E$12+1,1))-AVERAGE(OFFSET($H$3,0,0,'Données projet'!$E$12+1,1))</f>
        <v>310.06530483941287</v>
      </c>
      <c r="CE197" s="59">
        <f t="shared" ref="CE197:CE203" si="207">$CE$3</f>
        <v>170.13425794309376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17.651027405699718</v>
      </c>
      <c r="CL197" s="21">
        <f>EXP(-LN(2)/25)*CL196+(1-EXP(-LN(2)/25))/(LN(2)/25)*Calculateur!CG197*Calculateur!CI197*VLOOKUP('Données projet'!$B$12,Paramètres!$A$1:$I$89,3,0)*0.475*44/12</f>
        <v>1.775851946050732</v>
      </c>
      <c r="CM197" s="21">
        <f>EXP(-LN(2)/2)*CM196+(1-EXP(-LN(2)/2))/(LN(2)/2)*CG197*CJ197*VLOOKUP('Données projet'!$B$12,Paramètres!$A$1:$I$89,3,0)*0.475*44/12</f>
        <v>5.2262510871717451E-14</v>
      </c>
      <c r="CN197" s="22">
        <f t="shared" si="172"/>
        <v>19.426879351750504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168.08890945052406</v>
      </c>
      <c r="CZ197" s="59">
        <f t="shared" ref="CZ197:CZ203" si="208">$CZ$3</f>
        <v>182.52462557642343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7.9815695273832921</v>
      </c>
      <c r="DG197" s="21">
        <f>EXP(-LN(2)/25)*DG196+(1-EXP(-LN(2)/25))/(LN(2)/25)*Calculateur!DB197*Calculateur!DD197*VLOOKUP('Données projet'!$B$13,Paramètres!$A$1:$I$89,3,0)*0.475*44/12</f>
        <v>0.69518032481214087</v>
      </c>
      <c r="DH197" s="21">
        <f>EXP(-LN(2)/2)*DH196+(1-EXP(-LN(2)/2))/(LN(2)/2)*DB197*DE197*VLOOKUP('Données projet'!$B$13,Paramètres!$A$1:$I$89,3,0)*0.475*44/12</f>
        <v>3.8412903558370645E-19</v>
      </c>
      <c r="DI197" s="22">
        <f t="shared" si="175"/>
        <v>8.6767498521954334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-2.2737367544323206E-13</v>
      </c>
      <c r="DP197" s="17">
        <f>DO197*VLOOKUP('Données projet'!$B$14,Paramètres!$A$1:$I$89,3,0)*VLOOKUP('Données projet'!$B$14,Paramètres!$A$1:$I$89,5,0)</f>
        <v>-1.2710188457276673E-13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355.23615781077405</v>
      </c>
      <c r="DU197" s="59">
        <f t="shared" ref="DU197:DU203" si="209">$DU$3</f>
        <v>448.84541017639367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18.214689684654175</v>
      </c>
      <c r="EB197" s="21">
        <f>EXP(-LN(2)/25)*EB196+(1-EXP(-LN(2)/25))/(LN(2)/25)*Calculateur!DW197*Calculateur!DY197*VLOOKUP('Données projet'!$B$14,Paramètres!$A$1:$I$89,3,0)*0.475*44/12</f>
        <v>1.5686624930092279</v>
      </c>
      <c r="EC197" s="21">
        <f>EXP(-LN(2)/2)*EC196+(1-EXP(-LN(2)/2))/(LN(2)/2)*DW197*DZ197*VLOOKUP('Données projet'!$B$14,Paramètres!$A$1:$I$89,3,0)*0.475*44/12</f>
        <v>3.8164492721765885E-19</v>
      </c>
      <c r="ED197" s="22">
        <f t="shared" si="178"/>
        <v>19.783352177663403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1.1368683772161603E-13</v>
      </c>
      <c r="EK197" s="17">
        <f>EJ197*VLOOKUP('Données projet'!$B$15,Paramètres!$A$1:$I$89,3,0)*VLOOKUP('Données projet'!$B$15,Paramètres!$A$1:$I$89,5,0)</f>
        <v>1.223725121235475E-13</v>
      </c>
      <c r="EL197" s="13">
        <f t="shared" si="179"/>
        <v>1.7956824466038182E-12</v>
      </c>
      <c r="EM197" s="20">
        <f t="shared" si="180"/>
        <v>3.3406123864501612E-12</v>
      </c>
      <c r="EN197" s="59">
        <f t="shared" si="198"/>
        <v>293.33333333333667</v>
      </c>
      <c r="EO197" s="59">
        <f ca="1">AVERAGE(OFFSET($EN$3,0,0,'Données projet'!$E$15+1,1))-AVERAGE(OFFSET($H$3,0,0,'Données projet'!$E$15+1,1))</f>
        <v>130.76477588601989</v>
      </c>
      <c r="EP197" s="59">
        <f t="shared" ref="EP197:EP203" si="210">$EP$3</f>
        <v>94.034011511502172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65.790728876322447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65.790728876322447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-2.2737367544323206E-13</v>
      </c>
      <c r="FF197" s="17">
        <f>FE197*VLOOKUP('Données projet'!$B$16,Paramètres!$A$1:$I$89,3,0)*VLOOKUP('Données projet'!$B$16,Paramètres!$A$1:$I$89,5,0)</f>
        <v>-1.0345502232667058E-13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279.43442619866738</v>
      </c>
      <c r="FK197" s="59">
        <f t="shared" ref="FK197:FK203" si="211">$FK$3</f>
        <v>355.95192241448217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14.82591020843944</v>
      </c>
      <c r="FR197" s="21">
        <f>EXP(-LN(2)/25)*FR196+(1-EXP(-LN(2)/25))/(LN(2)/25)*Calculateur!FM197*Calculateur!FO197*VLOOKUP('Données projet'!$B$16,Paramètres!$A$1:$I$89,3,0)*0.475*44/12</f>
        <v>1.2768183082633258</v>
      </c>
      <c r="FS197" s="21">
        <f>EXP(-LN(2)/2)*FS196+(1-EXP(-LN(2)/2))/(LN(2)/2)*FM197*FP197*VLOOKUP('Données projet'!$B$16,Paramètres!$A$1:$I$89,3,0)*0.475*44/12</f>
        <v>3.1064121982832698E-19</v>
      </c>
      <c r="FT197" s="22">
        <f t="shared" si="184"/>
        <v>16.102728516702765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-6.7984728957526396E-14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227.89848316900191</v>
      </c>
      <c r="T198" s="59">
        <f t="shared" si="204"/>
        <v>239.85955661394541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9.8891151953525505</v>
      </c>
      <c r="AA198" s="21">
        <f>EXP(-LN(2)/25)*AA197+(1-EXP(-LN(2)/25))/(LN(2)/25)*Calculateur!V198*Calculateur!X198*VLOOKUP('Données projet'!$B$9,Paramètres!$A$1:$I$89,3,0)*0.475*44/12</f>
        <v>0.81802801277914639</v>
      </c>
      <c r="AB198" s="21">
        <f>EXP(-LN(2)/2)*AB197+(1-EXP(-LN(2)/2))/(LN(2)/2)*V198*Y198*VLOOKUP('Données projet'!$B$9,Paramètres!$A$1:$I$89,3,0)*0.475*44/12</f>
        <v>3.5129726605733355E-19</v>
      </c>
      <c r="AC198" s="22">
        <f t="shared" si="163"/>
        <v>10.707143208131697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-5.6843418860808015E-14</v>
      </c>
      <c r="AJ198" s="13">
        <f>AI198*VLOOKUP('Données projet'!$B$10,Paramètres!$A$1:$I$89,3,0)*VLOOKUP('Données projet'!$B$10,Paramètres!$A$1:$I$89,5,0)</f>
        <v>-5.1431925385259088E-14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215.7418266360167</v>
      </c>
      <c r="AO198" s="59">
        <f t="shared" si="205"/>
        <v>155.78420008229949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50.250139941092243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50.250139941092243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2.2737367544323206E-13</v>
      </c>
      <c r="BE198" s="13">
        <f>BD198*VLOOKUP('Données projet'!$B$11,Paramètres!$A$1:$I$89,3,0)*VLOOKUP('Données projet'!$B$11,Paramètres!$A$1:$I$89,5,0)</f>
        <v>2.3055690689943731E-13</v>
      </c>
      <c r="BF198" s="13">
        <f t="shared" si="167"/>
        <v>3.142699285622457E-12</v>
      </c>
      <c r="BG198" s="20">
        <f t="shared" si="168"/>
        <v>5.8750878686422984E-12</v>
      </c>
      <c r="BH198" s="59">
        <f t="shared" si="194"/>
        <v>293.33333333333917</v>
      </c>
      <c r="BI198" s="59">
        <f ca="1">AVERAGE(OFFSET($BH$3,0,0,'Données projet'!$E$11+1,1))-AVERAGE(OFFSET($H$3,0,0,'Données projet'!$E$11+1,1))</f>
        <v>179.53921263314447</v>
      </c>
      <c r="BJ198" s="59">
        <f t="shared" si="206"/>
        <v>120.81513023281337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75.951808564195659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75.951808564195659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500.00000000000045</v>
      </c>
      <c r="BZ198" s="13">
        <f>BY198*VLOOKUP('Données projet'!$B$12,Paramètres!$A$1:$I$89,3,0)*VLOOKUP('Données projet'!$B$12,Paramètres!$A$1:$I$89,5,0)</f>
        <v>234.00000000000023</v>
      </c>
      <c r="CA198" s="13">
        <f t="shared" si="170"/>
        <v>57.146705242557189</v>
      </c>
      <c r="CB198" s="20">
        <f t="shared" si="171"/>
        <v>507.08051163078744</v>
      </c>
      <c r="CC198" s="59">
        <f t="shared" si="195"/>
        <v>800.4138449641207</v>
      </c>
      <c r="CD198" s="59">
        <f ca="1">AVERAGE(OFFSET($CC$3,0,0,'Données projet'!$E$12+1,1))-AVERAGE(OFFSET($H$3,0,0,'Données projet'!$E$12+1,1))</f>
        <v>310.06530483941287</v>
      </c>
      <c r="CE198" s="59">
        <f t="shared" si="207"/>
        <v>170.13425794309376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17.304901524337605</v>
      </c>
      <c r="CL198" s="21">
        <f>EXP(-LN(2)/25)*CL197+(1-EXP(-LN(2)/25))/(LN(2)/25)*Calculateur!CG198*Calculateur!CI198*VLOOKUP('Données projet'!$B$12,Paramètres!$A$1:$I$89,3,0)*0.475*44/12</f>
        <v>1.7272911811979796</v>
      </c>
      <c r="CM198" s="21">
        <f>EXP(-LN(2)/2)*CM197+(1-EXP(-LN(2)/2))/(LN(2)/2)*CG198*CJ198*VLOOKUP('Données projet'!$B$12,Paramètres!$A$1:$I$89,3,0)*0.475*44/12</f>
        <v>3.6955175839227073E-14</v>
      </c>
      <c r="CN198" s="22">
        <f t="shared" si="172"/>
        <v>19.032192705535621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168.08890945052406</v>
      </c>
      <c r="CZ198" s="59">
        <f t="shared" si="208"/>
        <v>182.52462557642343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7.8250558172280149</v>
      </c>
      <c r="DG198" s="21">
        <f>EXP(-LN(2)/25)*DG197+(1-EXP(-LN(2)/25))/(LN(2)/25)*Calculateur!DB198*Calculateur!DD198*VLOOKUP('Données projet'!$B$13,Paramètres!$A$1:$I$89,3,0)*0.475*44/12</f>
        <v>0.6761705822722085</v>
      </c>
      <c r="DH198" s="21">
        <f>EXP(-LN(2)/2)*DH197+(1-EXP(-LN(2)/2))/(LN(2)/2)*DB198*DE198*VLOOKUP('Données projet'!$B$13,Paramètres!$A$1:$I$89,3,0)*0.475*44/12</f>
        <v>2.7162024591188744E-19</v>
      </c>
      <c r="DI198" s="22">
        <f t="shared" si="175"/>
        <v>8.501226399500224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-2.2737367544323206E-13</v>
      </c>
      <c r="DP198" s="17">
        <f>DO198*VLOOKUP('Données projet'!$B$14,Paramètres!$A$1:$I$89,3,0)*VLOOKUP('Données projet'!$B$14,Paramètres!$A$1:$I$89,5,0)</f>
        <v>-1.2710188457276673E-13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355.23615781077405</v>
      </c>
      <c r="DU198" s="59">
        <f t="shared" si="209"/>
        <v>448.84541017639367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17.857510729801806</v>
      </c>
      <c r="EB198" s="21">
        <f>EXP(-LN(2)/25)*EB197+(1-EXP(-LN(2)/25))/(LN(2)/25)*Calculateur!DW198*Calculateur!DY198*VLOOKUP('Données projet'!$B$14,Paramètres!$A$1:$I$89,3,0)*0.475*44/12</f>
        <v>1.5257673346455152</v>
      </c>
      <c r="EC198" s="21">
        <f>EXP(-LN(2)/2)*EC197+(1-EXP(-LN(2)/2))/(LN(2)/2)*DW198*DZ198*VLOOKUP('Données projet'!$B$14,Paramètres!$A$1:$I$89,3,0)*0.475*44/12</f>
        <v>2.6986371604105295E-19</v>
      </c>
      <c r="ED198" s="22">
        <f t="shared" si="178"/>
        <v>19.383278064447321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1.1368683772161603E-13</v>
      </c>
      <c r="EK198" s="17">
        <f>EJ198*VLOOKUP('Données projet'!$B$15,Paramètres!$A$1:$I$89,3,0)*VLOOKUP('Données projet'!$B$15,Paramètres!$A$1:$I$89,5,0)</f>
        <v>1.223725121235475E-13</v>
      </c>
      <c r="EL198" s="13">
        <f t="shared" si="179"/>
        <v>1.7956824466038182E-12</v>
      </c>
      <c r="EM198" s="20">
        <f t="shared" si="180"/>
        <v>3.3406123864501612E-12</v>
      </c>
      <c r="EN198" s="59">
        <f t="shared" si="198"/>
        <v>293.33333333333667</v>
      </c>
      <c r="EO198" s="59">
        <f ca="1">AVERAGE(OFFSET($EN$3,0,0,'Données projet'!$E$15+1,1))-AVERAGE(OFFSET($H$3,0,0,'Données projet'!$E$15+1,1))</f>
        <v>130.76477588601989</v>
      </c>
      <c r="EP198" s="59">
        <f t="shared" si="210"/>
        <v>94.034011511502172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64.500612811440035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64.500612811440035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-2.2737367544323206E-13</v>
      </c>
      <c r="FF198" s="17">
        <f>FE198*VLOOKUP('Données projet'!$B$16,Paramètres!$A$1:$I$89,3,0)*VLOOKUP('Données projet'!$B$16,Paramètres!$A$1:$I$89,5,0)</f>
        <v>-1.0345502232667058E-13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279.43442619866738</v>
      </c>
      <c r="FK198" s="59">
        <f t="shared" si="211"/>
        <v>355.95192241448217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14.535183152164256</v>
      </c>
      <c r="FR198" s="21">
        <f>EXP(-LN(2)/25)*FR197+(1-EXP(-LN(2)/25))/(LN(2)/25)*Calculateur!FM198*Calculateur!FO198*VLOOKUP('Données projet'!$B$16,Paramètres!$A$1:$I$89,3,0)*0.475*44/12</f>
        <v>1.2419036444789084</v>
      </c>
      <c r="FS198" s="21">
        <f>EXP(-LN(2)/2)*FS197+(1-EXP(-LN(2)/2))/(LN(2)/2)*FM198*FP198*VLOOKUP('Données projet'!$B$16,Paramètres!$A$1:$I$89,3,0)*0.475*44/12</f>
        <v>2.1965651305667101E-19</v>
      </c>
      <c r="FT198" s="22">
        <f t="shared" si="184"/>
        <v>15.777086796643164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-6.7984728957526396E-14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227.89848316900191</v>
      </c>
      <c r="T199" s="59">
        <f t="shared" si="204"/>
        <v>239.85955661394541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9.6951956781363684</v>
      </c>
      <c r="AA199" s="21">
        <f>EXP(-LN(2)/25)*AA198+(1-EXP(-LN(2)/25))/(LN(2)/25)*Calculateur!V199*Calculateur!X199*VLOOKUP('Données projet'!$B$9,Paramètres!$A$1:$I$89,3,0)*0.475*44/12</f>
        <v>0.79565899375147708</v>
      </c>
      <c r="AB199" s="21">
        <f>EXP(-LN(2)/2)*AB198+(1-EXP(-LN(2)/2))/(LN(2)/2)*V199*Y199*VLOOKUP('Données projet'!$B$9,Paramètres!$A$1:$I$89,3,0)*0.475*44/12</f>
        <v>2.4840467904143532E-19</v>
      </c>
      <c r="AC199" s="22">
        <f t="shared" si="163"/>
        <v>10.490854671887845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-5.6843418860808015E-14</v>
      </c>
      <c r="AJ199" s="13">
        <f>AI199*VLOOKUP('Données projet'!$B$10,Paramètres!$A$1:$I$89,3,0)*VLOOKUP('Données projet'!$B$10,Paramètres!$A$1:$I$89,5,0)</f>
        <v>-5.1431925385259088E-14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215.7418266360167</v>
      </c>
      <c r="AO199" s="59">
        <f t="shared" si="205"/>
        <v>155.78420008229949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49.264765346406399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49.264765346406399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2.2737367544323206E-13</v>
      </c>
      <c r="BE199" s="13">
        <f>BD199*VLOOKUP('Données projet'!$B$11,Paramètres!$A$1:$I$89,3,0)*VLOOKUP('Données projet'!$B$11,Paramètres!$A$1:$I$89,5,0)</f>
        <v>2.3055690689943731E-13</v>
      </c>
      <c r="BF199" s="13">
        <f t="shared" si="167"/>
        <v>3.142699285622457E-12</v>
      </c>
      <c r="BG199" s="20">
        <f t="shared" si="168"/>
        <v>5.8750878686422984E-12</v>
      </c>
      <c r="BH199" s="59">
        <f t="shared" si="194"/>
        <v>293.33333333333917</v>
      </c>
      <c r="BI199" s="59">
        <f ca="1">AVERAGE(OFFSET($BH$3,0,0,'Données projet'!$E$11+1,1))-AVERAGE(OFFSET($H$3,0,0,'Données projet'!$E$11+1,1))</f>
        <v>179.53921263314447</v>
      </c>
      <c r="BJ199" s="59">
        <f t="shared" si="206"/>
        <v>120.81513023281337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74.462439924280687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74.462439924280687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500.00000000000045</v>
      </c>
      <c r="BZ199" s="13">
        <f>BY199*VLOOKUP('Données projet'!$B$12,Paramètres!$A$1:$I$89,3,0)*VLOOKUP('Données projet'!$B$12,Paramètres!$A$1:$I$89,5,0)</f>
        <v>234.00000000000023</v>
      </c>
      <c r="CA199" s="13">
        <f t="shared" si="170"/>
        <v>57.146705242557189</v>
      </c>
      <c r="CB199" s="20">
        <f t="shared" si="171"/>
        <v>507.08051163078744</v>
      </c>
      <c r="CC199" s="59">
        <f t="shared" si="195"/>
        <v>800.4138449641207</v>
      </c>
      <c r="CD199" s="59">
        <f ca="1">AVERAGE(OFFSET($CC$3,0,0,'Données projet'!$E$12+1,1))-AVERAGE(OFFSET($H$3,0,0,'Données projet'!$E$12+1,1))</f>
        <v>310.06530483941287</v>
      </c>
      <c r="CE199" s="59">
        <f t="shared" si="207"/>
        <v>170.13425794309376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16.965562960393061</v>
      </c>
      <c r="CL199" s="21">
        <f>EXP(-LN(2)/25)*CL198+(1-EXP(-LN(2)/25))/(LN(2)/25)*Calculateur!CG199*Calculateur!CI199*VLOOKUP('Données projet'!$B$12,Paramètres!$A$1:$I$89,3,0)*0.475*44/12</f>
        <v>1.6800583130138254</v>
      </c>
      <c r="CM199" s="21">
        <f>EXP(-LN(2)/2)*CM198+(1-EXP(-LN(2)/2))/(LN(2)/2)*CG199*CJ199*VLOOKUP('Données projet'!$B$12,Paramètres!$A$1:$I$89,3,0)*0.475*44/12</f>
        <v>2.6131255435858726E-14</v>
      </c>
      <c r="CN199" s="22">
        <f t="shared" si="172"/>
        <v>18.645621273406913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168.08890945052406</v>
      </c>
      <c r="CZ199" s="59">
        <f t="shared" si="208"/>
        <v>182.52462557642343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7.6716112454649457</v>
      </c>
      <c r="DG199" s="21">
        <f>EXP(-LN(2)/25)*DG198+(1-EXP(-LN(2)/25))/(LN(2)/25)*Calculateur!DB199*Calculateur!DD199*VLOOKUP('Données projet'!$B$13,Paramètres!$A$1:$I$89,3,0)*0.475*44/12</f>
        <v>0.65768066214170939</v>
      </c>
      <c r="DH199" s="21">
        <f>EXP(-LN(2)/2)*DH198+(1-EXP(-LN(2)/2))/(LN(2)/2)*DB199*DE199*VLOOKUP('Données projet'!$B$13,Paramètres!$A$1:$I$89,3,0)*0.475*44/12</f>
        <v>1.9206451779185322E-19</v>
      </c>
      <c r="DI199" s="22">
        <f t="shared" si="175"/>
        <v>8.3292919076066543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-2.2737367544323206E-13</v>
      </c>
      <c r="DP199" s="17">
        <f>DO199*VLOOKUP('Données projet'!$B$14,Paramètres!$A$1:$I$89,3,0)*VLOOKUP('Données projet'!$B$14,Paramètres!$A$1:$I$89,5,0)</f>
        <v>-1.2710188457276673E-13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355.23615781077405</v>
      </c>
      <c r="DU199" s="59">
        <f t="shared" si="209"/>
        <v>448.84541017639367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17.507335836396443</v>
      </c>
      <c r="EB199" s="21">
        <f>EXP(-LN(2)/25)*EB198+(1-EXP(-LN(2)/25))/(LN(2)/25)*Calculateur!DW199*Calculateur!DY199*VLOOKUP('Données projet'!$B$14,Paramètres!$A$1:$I$89,3,0)*0.475*44/12</f>
        <v>1.4840451466430167</v>
      </c>
      <c r="EC199" s="21">
        <f>EXP(-LN(2)/2)*EC198+(1-EXP(-LN(2)/2))/(LN(2)/2)*DW199*DZ199*VLOOKUP('Données projet'!$B$14,Paramètres!$A$1:$I$89,3,0)*0.475*44/12</f>
        <v>1.9082246360882943E-19</v>
      </c>
      <c r="ED199" s="22">
        <f t="shared" si="178"/>
        <v>18.991380983039459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1.1368683772161603E-13</v>
      </c>
      <c r="EK199" s="17">
        <f>EJ199*VLOOKUP('Données projet'!$B$15,Paramètres!$A$1:$I$89,3,0)*VLOOKUP('Données projet'!$B$15,Paramètres!$A$1:$I$89,5,0)</f>
        <v>1.223725121235475E-13</v>
      </c>
      <c r="EL199" s="13">
        <f t="shared" si="179"/>
        <v>1.7956824466038182E-12</v>
      </c>
      <c r="EM199" s="20">
        <f t="shared" si="180"/>
        <v>3.3406123864501612E-12</v>
      </c>
      <c r="EN199" s="59">
        <f t="shared" si="198"/>
        <v>293.33333333333667</v>
      </c>
      <c r="EO199" s="59">
        <f ca="1">AVERAGE(OFFSET($EN$3,0,0,'Données projet'!$E$15+1,1))-AVERAGE(OFFSET($H$3,0,0,'Données projet'!$E$15+1,1))</f>
        <v>130.76477588601989</v>
      </c>
      <c r="EP199" s="59">
        <f t="shared" si="210"/>
        <v>94.034011511502172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63.235795135696861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63.235795135696861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-2.2737367544323206E-13</v>
      </c>
      <c r="FF199" s="17">
        <f>FE199*VLOOKUP('Données projet'!$B$16,Paramètres!$A$1:$I$89,3,0)*VLOOKUP('Données projet'!$B$16,Paramètres!$A$1:$I$89,5,0)</f>
        <v>-1.0345502232667058E-13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279.43442619866738</v>
      </c>
      <c r="FK199" s="59">
        <f t="shared" si="211"/>
        <v>355.95192241448217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14.250157076136635</v>
      </c>
      <c r="FR199" s="21">
        <f>EXP(-LN(2)/25)*FR198+(1-EXP(-LN(2)/25))/(LN(2)/25)*Calculateur!FM199*Calculateur!FO199*VLOOKUP('Données projet'!$B$16,Paramètres!$A$1:$I$89,3,0)*0.475*44/12</f>
        <v>1.2079437240117585</v>
      </c>
      <c r="FS199" s="21">
        <f>EXP(-LN(2)/2)*FS198+(1-EXP(-LN(2)/2))/(LN(2)/2)*FM199*FP199*VLOOKUP('Données projet'!$B$16,Paramètres!$A$1:$I$89,3,0)*0.475*44/12</f>
        <v>1.5532060991416349E-19</v>
      </c>
      <c r="FT199" s="22">
        <f t="shared" si="184"/>
        <v>15.458100800148394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-6.7984728957526396E-14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227.89848316900191</v>
      </c>
      <c r="T200" s="59">
        <f t="shared" si="204"/>
        <v>239.85955661394541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9.5050788043735697</v>
      </c>
      <c r="AA200" s="21">
        <f>EXP(-LN(2)/25)*AA199+(1-EXP(-LN(2)/25))/(LN(2)/25)*Calculateur!V200*Calculateur!X200*VLOOKUP('Données projet'!$B$9,Paramètres!$A$1:$I$89,3,0)*0.475*44/12</f>
        <v>0.77390165672545497</v>
      </c>
      <c r="AB200" s="21">
        <f>EXP(-LN(2)/2)*AB199+(1-EXP(-LN(2)/2))/(LN(2)/2)*V200*Y200*VLOOKUP('Données projet'!$B$9,Paramètres!$A$1:$I$89,3,0)*0.475*44/12</f>
        <v>1.7564863302866677E-19</v>
      </c>
      <c r="AC200" s="22">
        <f t="shared" si="163"/>
        <v>10.278980461099025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-5.6843418860808015E-14</v>
      </c>
      <c r="AJ200" s="13">
        <f>AI200*VLOOKUP('Données projet'!$B$10,Paramètres!$A$1:$I$89,3,0)*VLOOKUP('Données projet'!$B$10,Paramètres!$A$1:$I$89,5,0)</f>
        <v>-5.1431925385259088E-14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215.7418266360167</v>
      </c>
      <c r="AO200" s="59">
        <f t="shared" si="205"/>
        <v>155.78420008229949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48.298713346503185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48.298713346503185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2.2737367544323206E-13</v>
      </c>
      <c r="BE200" s="13">
        <f>BD200*VLOOKUP('Données projet'!$B$11,Paramètres!$A$1:$I$89,3,0)*VLOOKUP('Données projet'!$B$11,Paramètres!$A$1:$I$89,5,0)</f>
        <v>2.3055690689943731E-13</v>
      </c>
      <c r="BF200" s="13">
        <f t="shared" si="167"/>
        <v>3.142699285622457E-12</v>
      </c>
      <c r="BG200" s="20">
        <f t="shared" si="168"/>
        <v>5.8750878686422984E-12</v>
      </c>
      <c r="BH200" s="59">
        <f t="shared" si="194"/>
        <v>293.33333333333917</v>
      </c>
      <c r="BI200" s="59">
        <f ca="1">AVERAGE(OFFSET($BH$3,0,0,'Données projet'!$E$11+1,1))-AVERAGE(OFFSET($H$3,0,0,'Données projet'!$E$11+1,1))</f>
        <v>179.53921263314447</v>
      </c>
      <c r="BJ200" s="59">
        <f t="shared" si="206"/>
        <v>120.81513023281337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73.002276894969285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73.002276894969285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500.00000000000045</v>
      </c>
      <c r="BZ200" s="13">
        <f>BY200*VLOOKUP('Données projet'!$B$12,Paramètres!$A$1:$I$89,3,0)*VLOOKUP('Données projet'!$B$12,Paramètres!$A$1:$I$89,5,0)</f>
        <v>234.00000000000023</v>
      </c>
      <c r="CA200" s="13">
        <f t="shared" si="170"/>
        <v>57.146705242557189</v>
      </c>
      <c r="CB200" s="20">
        <f t="shared" si="171"/>
        <v>507.08051163078744</v>
      </c>
      <c r="CC200" s="59">
        <f t="shared" si="195"/>
        <v>800.4138449641207</v>
      </c>
      <c r="CD200" s="59">
        <f ca="1">AVERAGE(OFFSET($CC$3,0,0,'Données projet'!$E$12+1,1))-AVERAGE(OFFSET($H$3,0,0,'Données projet'!$E$12+1,1))</f>
        <v>310.06530483941287</v>
      </c>
      <c r="CE200" s="59">
        <f t="shared" si="207"/>
        <v>170.13425794309376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16.632878618711381</v>
      </c>
      <c r="CL200" s="21">
        <f>EXP(-LN(2)/25)*CL199+(1-EXP(-LN(2)/25))/(LN(2)/25)*Calculateur!CG200*Calculateur!CI200*VLOOKUP('Données projet'!$B$12,Paramètres!$A$1:$I$89,3,0)*0.475*44/12</f>
        <v>1.6341170300940355</v>
      </c>
      <c r="CM200" s="21">
        <f>EXP(-LN(2)/2)*CM199+(1-EXP(-LN(2)/2))/(LN(2)/2)*CG200*CJ200*VLOOKUP('Données projet'!$B$12,Paramètres!$A$1:$I$89,3,0)*0.475*44/12</f>
        <v>1.8477587919613536E-14</v>
      </c>
      <c r="CN200" s="22">
        <f t="shared" si="172"/>
        <v>18.266995648805434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168.08890945052406</v>
      </c>
      <c r="CZ200" s="59">
        <f t="shared" si="208"/>
        <v>182.52462557642343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7.5211756281622035</v>
      </c>
      <c r="DG200" s="21">
        <f>EXP(-LN(2)/25)*DG199+(1-EXP(-LN(2)/25))/(LN(2)/25)*Calculateur!DB200*Calculateur!DD200*VLOOKUP('Données projet'!$B$13,Paramètres!$A$1:$I$89,3,0)*0.475*44/12</f>
        <v>0.63969634984952151</v>
      </c>
      <c r="DH200" s="21">
        <f>EXP(-LN(2)/2)*DH199+(1-EXP(-LN(2)/2))/(LN(2)/2)*DB200*DE200*VLOOKUP('Données projet'!$B$13,Paramètres!$A$1:$I$89,3,0)*0.475*44/12</f>
        <v>1.3581012295594372E-19</v>
      </c>
      <c r="DI200" s="22">
        <f t="shared" si="175"/>
        <v>8.1608719780117251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-2.2737367544323206E-13</v>
      </c>
      <c r="DP200" s="17">
        <f>DO200*VLOOKUP('Données projet'!$B$14,Paramètres!$A$1:$I$89,3,0)*VLOOKUP('Données projet'!$B$14,Paramètres!$A$1:$I$89,5,0)</f>
        <v>-1.2710188457276673E-13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355.23615781077405</v>
      </c>
      <c r="DU200" s="59">
        <f t="shared" si="209"/>
        <v>448.84541017639367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17.164027659065162</v>
      </c>
      <c r="EB200" s="21">
        <f>EXP(-LN(2)/25)*EB199+(1-EXP(-LN(2)/25))/(LN(2)/25)*Calculateur!DW200*Calculateur!DY200*VLOOKUP('Données projet'!$B$14,Paramètres!$A$1:$I$89,3,0)*0.475*44/12</f>
        <v>1.4434638540655209</v>
      </c>
      <c r="EC200" s="21">
        <f>EXP(-LN(2)/2)*EC199+(1-EXP(-LN(2)/2))/(LN(2)/2)*DW200*DZ200*VLOOKUP('Données projet'!$B$14,Paramètres!$A$1:$I$89,3,0)*0.475*44/12</f>
        <v>1.3493185802052647E-19</v>
      </c>
      <c r="ED200" s="22">
        <f t="shared" si="178"/>
        <v>18.607491513130682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1.1368683772161603E-13</v>
      </c>
      <c r="EK200" s="17">
        <f>EJ200*VLOOKUP('Données projet'!$B$15,Paramètres!$A$1:$I$89,3,0)*VLOOKUP('Données projet'!$B$15,Paramètres!$A$1:$I$89,5,0)</f>
        <v>1.223725121235475E-13</v>
      </c>
      <c r="EL200" s="13">
        <f t="shared" si="179"/>
        <v>1.7956824466038182E-12</v>
      </c>
      <c r="EM200" s="20">
        <f t="shared" si="180"/>
        <v>3.3406123864501612E-12</v>
      </c>
      <c r="EN200" s="59">
        <f t="shared" si="198"/>
        <v>293.33333333333667</v>
      </c>
      <c r="EO200" s="59">
        <f ca="1">AVERAGE(OFFSET($EN$3,0,0,'Données projet'!$E$15+1,1))-AVERAGE(OFFSET($H$3,0,0,'Données projet'!$E$15+1,1))</f>
        <v>130.76477588601989</v>
      </c>
      <c r="EP200" s="59">
        <f t="shared" si="210"/>
        <v>94.034011511502172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61.995779763112402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61.995779763112402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-2.2737367544323206E-13</v>
      </c>
      <c r="FF200" s="17">
        <f>FE200*VLOOKUP('Données projet'!$B$16,Paramètres!$A$1:$I$89,3,0)*VLOOKUP('Données projet'!$B$16,Paramètres!$A$1:$I$89,5,0)</f>
        <v>-1.0345502232667058E-13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279.43442619866738</v>
      </c>
      <c r="FK200" s="59">
        <f t="shared" si="211"/>
        <v>355.95192241448217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13.970720187611175</v>
      </c>
      <c r="FR200" s="21">
        <f>EXP(-LN(2)/25)*FR199+(1-EXP(-LN(2)/25))/(LN(2)/25)*Calculateur!FM200*Calculateur!FO200*VLOOKUP('Données projet'!$B$16,Paramètres!$A$1:$I$89,3,0)*0.475*44/12</f>
        <v>1.1749124393556574</v>
      </c>
      <c r="FS200" s="21">
        <f>EXP(-LN(2)/2)*FS199+(1-EXP(-LN(2)/2))/(LN(2)/2)*FM200*FP200*VLOOKUP('Données projet'!$B$16,Paramètres!$A$1:$I$89,3,0)*0.475*44/12</f>
        <v>1.0982825652833551E-19</v>
      </c>
      <c r="FT200" s="22">
        <f t="shared" si="184"/>
        <v>15.145632626966831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-6.7984728957526396E-14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227.89848316900191</v>
      </c>
      <c r="T201" s="59">
        <f t="shared" si="204"/>
        <v>239.85955661394541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9.3186900065454168</v>
      </c>
      <c r="AA201" s="21">
        <f>EXP(-LN(2)/25)*AA200+(1-EXP(-LN(2)/25))/(LN(2)/25)*Calculateur!V201*Calculateur!X201*VLOOKUP('Données projet'!$B$9,Paramètres!$A$1:$I$89,3,0)*0.475*44/12</f>
        <v>0.75273927522457806</v>
      </c>
      <c r="AB201" s="21">
        <f>EXP(-LN(2)/2)*AB200+(1-EXP(-LN(2)/2))/(LN(2)/2)*V201*Y201*VLOOKUP('Données projet'!$B$9,Paramètres!$A$1:$I$89,3,0)*0.475*44/12</f>
        <v>1.2420233952071766E-19</v>
      </c>
      <c r="AC201" s="22">
        <f t="shared" si="163"/>
        <v>10.071429281769994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-5.6843418860808015E-14</v>
      </c>
      <c r="AJ201" s="13">
        <f>AI201*VLOOKUP('Données projet'!$B$10,Paramètres!$A$1:$I$89,3,0)*VLOOKUP('Données projet'!$B$10,Paramètres!$A$1:$I$89,5,0)</f>
        <v>-5.1431925385259088E-14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215.7418266360167</v>
      </c>
      <c r="AO201" s="59">
        <f t="shared" si="205"/>
        <v>155.78420008229949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47.351605037084532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47.351605037084532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2.2737367544323206E-13</v>
      </c>
      <c r="BE201" s="13">
        <f>BD201*VLOOKUP('Données projet'!$B$11,Paramètres!$A$1:$I$89,3,0)*VLOOKUP('Données projet'!$B$11,Paramètres!$A$1:$I$89,5,0)</f>
        <v>2.3055690689943731E-13</v>
      </c>
      <c r="BF201" s="13">
        <f t="shared" si="167"/>
        <v>3.142699285622457E-12</v>
      </c>
      <c r="BG201" s="20">
        <f t="shared" si="168"/>
        <v>5.8750878686422984E-12</v>
      </c>
      <c r="BH201" s="59">
        <f t="shared" si="194"/>
        <v>293.33333333333917</v>
      </c>
      <c r="BI201" s="59">
        <f ca="1">AVERAGE(OFFSET($BH$3,0,0,'Données projet'!$E$11+1,1))-AVERAGE(OFFSET($H$3,0,0,'Données projet'!$E$11+1,1))</f>
        <v>179.53921263314447</v>
      </c>
      <c r="BJ201" s="59">
        <f t="shared" si="206"/>
        <v>120.81513023281337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71.570746772051166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71.570746772051166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500.00000000000045</v>
      </c>
      <c r="BZ201" s="13">
        <f>BY201*VLOOKUP('Données projet'!$B$12,Paramètres!$A$1:$I$89,3,0)*VLOOKUP('Données projet'!$B$12,Paramètres!$A$1:$I$89,5,0)</f>
        <v>234.00000000000023</v>
      </c>
      <c r="CA201" s="13">
        <f t="shared" si="170"/>
        <v>57.146705242557189</v>
      </c>
      <c r="CB201" s="20">
        <f t="shared" si="171"/>
        <v>507.08051163078744</v>
      </c>
      <c r="CC201" s="59">
        <f t="shared" si="195"/>
        <v>800.4138449641207</v>
      </c>
      <c r="CD201" s="59">
        <f ca="1">AVERAGE(OFFSET($CC$3,0,0,'Données projet'!$E$12+1,1))-AVERAGE(OFFSET($H$3,0,0,'Données projet'!$E$12+1,1))</f>
        <v>310.06530483941287</v>
      </c>
      <c r="CE201" s="59">
        <f t="shared" si="207"/>
        <v>170.13425794309376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16.306718014052667</v>
      </c>
      <c r="CL201" s="21">
        <f>EXP(-LN(2)/25)*CL200+(1-EXP(-LN(2)/25))/(LN(2)/25)*Calculateur!CG201*Calculateur!CI201*VLOOKUP('Données projet'!$B$12,Paramètres!$A$1:$I$89,3,0)*0.475*44/12</f>
        <v>1.5894320139716342</v>
      </c>
      <c r="CM201" s="21">
        <f>EXP(-LN(2)/2)*CM200+(1-EXP(-LN(2)/2))/(LN(2)/2)*CG201*CJ201*VLOOKUP('Données projet'!$B$12,Paramètres!$A$1:$I$89,3,0)*0.475*44/12</f>
        <v>1.3065627717929363E-14</v>
      </c>
      <c r="CN201" s="22">
        <f t="shared" si="172"/>
        <v>17.896150028024316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168.08890945052406</v>
      </c>
      <c r="CZ201" s="59">
        <f t="shared" si="208"/>
        <v>182.52462557642343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7.3736899615581013</v>
      </c>
      <c r="DG201" s="21">
        <f>EXP(-LN(2)/25)*DG200+(1-EXP(-LN(2)/25))/(LN(2)/25)*Calculateur!DB201*Calculateur!DD201*VLOOKUP('Données projet'!$B$13,Paramètres!$A$1:$I$89,3,0)*0.475*44/12</f>
        <v>0.62220381952271731</v>
      </c>
      <c r="DH201" s="21">
        <f>EXP(-LN(2)/2)*DH200+(1-EXP(-LN(2)/2))/(LN(2)/2)*DB201*DE201*VLOOKUP('Données projet'!$B$13,Paramètres!$A$1:$I$89,3,0)*0.475*44/12</f>
        <v>9.6032258895926612E-20</v>
      </c>
      <c r="DI201" s="22">
        <f t="shared" si="175"/>
        <v>7.9958937810808184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-2.2737367544323206E-13</v>
      </c>
      <c r="DP201" s="17">
        <f>DO201*VLOOKUP('Données projet'!$B$14,Paramètres!$A$1:$I$89,3,0)*VLOOKUP('Données projet'!$B$14,Paramètres!$A$1:$I$89,5,0)</f>
        <v>-1.2710188457276673E-13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355.23615781077405</v>
      </c>
      <c r="DU201" s="59">
        <f t="shared" si="209"/>
        <v>448.84541017639367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16.827451545694036</v>
      </c>
      <c r="EB201" s="21">
        <f>EXP(-LN(2)/25)*EB200+(1-EXP(-LN(2)/25))/(LN(2)/25)*Calculateur!DW201*Calculateur!DY201*VLOOKUP('Données projet'!$B$14,Paramètres!$A$1:$I$89,3,0)*0.475*44/12</f>
        <v>1.4039922590676341</v>
      </c>
      <c r="EC201" s="21">
        <f>EXP(-LN(2)/2)*EC200+(1-EXP(-LN(2)/2))/(LN(2)/2)*DW201*DZ201*VLOOKUP('Données projet'!$B$14,Paramètres!$A$1:$I$89,3,0)*0.475*44/12</f>
        <v>9.5411231804414713E-20</v>
      </c>
      <c r="ED201" s="22">
        <f t="shared" si="178"/>
        <v>18.231443804761671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1.1368683772161603E-13</v>
      </c>
      <c r="EK201" s="17">
        <f>EJ201*VLOOKUP('Données projet'!$B$15,Paramètres!$A$1:$I$89,3,0)*VLOOKUP('Données projet'!$B$15,Paramètres!$A$1:$I$89,5,0)</f>
        <v>1.223725121235475E-13</v>
      </c>
      <c r="EL201" s="13">
        <f t="shared" si="179"/>
        <v>1.7956824466038182E-12</v>
      </c>
      <c r="EM201" s="20">
        <f t="shared" si="180"/>
        <v>3.3406123864501612E-12</v>
      </c>
      <c r="EN201" s="59">
        <f t="shared" si="198"/>
        <v>293.33333333333667</v>
      </c>
      <c r="EO201" s="59">
        <f ca="1">AVERAGE(OFFSET($EN$3,0,0,'Données projet'!$E$15+1,1))-AVERAGE(OFFSET($H$3,0,0,'Données projet'!$E$15+1,1))</f>
        <v>130.76477588601989</v>
      </c>
      <c r="EP201" s="59">
        <f t="shared" si="210"/>
        <v>94.034011511502172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60.780080335649629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60.780080335649629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-2.2737367544323206E-13</v>
      </c>
      <c r="FF201" s="17">
        <f>FE201*VLOOKUP('Données projet'!$B$16,Paramètres!$A$1:$I$89,3,0)*VLOOKUP('Données projet'!$B$16,Paramètres!$A$1:$I$89,5,0)</f>
        <v>-1.0345502232667058E-13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279.43442619866738</v>
      </c>
      <c r="FK201" s="59">
        <f t="shared" si="211"/>
        <v>355.95192241448217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13.696762886030026</v>
      </c>
      <c r="FR201" s="21">
        <f>EXP(-LN(2)/25)*FR200+(1-EXP(-LN(2)/25))/(LN(2)/25)*Calculateur!FM201*Calculateur!FO201*VLOOKUP('Données projet'!$B$16,Paramètres!$A$1:$I$89,3,0)*0.475*44/12</f>
        <v>1.1427843969155169</v>
      </c>
      <c r="FS201" s="21">
        <f>EXP(-LN(2)/2)*FS200+(1-EXP(-LN(2)/2))/(LN(2)/2)*FM201*FP201*VLOOKUP('Données projet'!$B$16,Paramètres!$A$1:$I$89,3,0)*0.475*44/12</f>
        <v>7.7660304957081746E-20</v>
      </c>
      <c r="FT201" s="22">
        <f t="shared" si="184"/>
        <v>14.839547282945542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-6.7984728957526396E-14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227.89848316900191</v>
      </c>
      <c r="T202" s="59">
        <f t="shared" si="204"/>
        <v>239.85955661394541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9.1359561793567323</v>
      </c>
      <c r="AA202" s="21">
        <f>EXP(-LN(2)/25)*AA201+(1-EXP(-LN(2)/25))/(LN(2)/25)*Calculateur!V202*Calculateur!X202*VLOOKUP('Données projet'!$B$9,Paramètres!$A$1:$I$89,3,0)*0.475*44/12</f>
        <v>0.73215558015872395</v>
      </c>
      <c r="AB202" s="21">
        <f>EXP(-LN(2)/2)*AB201+(1-EXP(-LN(2)/2))/(LN(2)/2)*V202*Y202*VLOOKUP('Données projet'!$B$9,Paramètres!$A$1:$I$89,3,0)*0.475*44/12</f>
        <v>8.7824316514333386E-20</v>
      </c>
      <c r="AC202" s="22">
        <f t="shared" si="163"/>
        <v>9.8681117595154557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-5.6843418860808015E-14</v>
      </c>
      <c r="AJ202" s="13">
        <f>AI202*VLOOKUP('Données projet'!$B$10,Paramètres!$A$1:$I$89,3,0)*VLOOKUP('Données projet'!$B$10,Paramètres!$A$1:$I$89,5,0)</f>
        <v>-5.1431925385259088E-14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215.7418266360167</v>
      </c>
      <c r="AO202" s="59">
        <f t="shared" si="205"/>
        <v>155.78420008229949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46.423068943934553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46.423068943934553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2.2737367544323206E-13</v>
      </c>
      <c r="BE202" s="13">
        <f>BD202*VLOOKUP('Données projet'!$B$11,Paramètres!$A$1:$I$89,3,0)*VLOOKUP('Données projet'!$B$11,Paramètres!$A$1:$I$89,5,0)</f>
        <v>2.3055690689943731E-13</v>
      </c>
      <c r="BF202" s="13">
        <f t="shared" si="167"/>
        <v>3.142699285622457E-12</v>
      </c>
      <c r="BG202" s="20">
        <f t="shared" si="168"/>
        <v>5.8750878686422984E-12</v>
      </c>
      <c r="BH202" s="59">
        <f t="shared" si="194"/>
        <v>293.33333333333917</v>
      </c>
      <c r="BI202" s="59">
        <f ca="1">AVERAGE(OFFSET($BH$3,0,0,'Données projet'!$E$11+1,1))-AVERAGE(OFFSET($H$3,0,0,'Données projet'!$E$11+1,1))</f>
        <v>179.53921263314447</v>
      </c>
      <c r="BJ202" s="59">
        <f t="shared" si="206"/>
        <v>120.81513023281337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70.167288081696313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70.167288081696313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500.00000000000045</v>
      </c>
      <c r="BZ202" s="13">
        <f>BY202*VLOOKUP('Données projet'!$B$12,Paramètres!$A$1:$I$89,3,0)*VLOOKUP('Données projet'!$B$12,Paramètres!$A$1:$I$89,5,0)</f>
        <v>234.00000000000023</v>
      </c>
      <c r="CA202" s="13">
        <f t="shared" si="170"/>
        <v>57.146705242557189</v>
      </c>
      <c r="CB202" s="20">
        <f t="shared" si="171"/>
        <v>507.08051163078744</v>
      </c>
      <c r="CC202" s="59">
        <f t="shared" si="195"/>
        <v>800.4138449641207</v>
      </c>
      <c r="CD202" s="59">
        <f ca="1">AVERAGE(OFFSET($CC$3,0,0,'Données projet'!$E$12+1,1))-AVERAGE(OFFSET($H$3,0,0,'Données projet'!$E$12+1,1))</f>
        <v>310.06530483941287</v>
      </c>
      <c r="CE202" s="59">
        <f t="shared" si="207"/>
        <v>170.13425794309376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15.986953219912985</v>
      </c>
      <c r="CL202" s="21">
        <f>EXP(-LN(2)/25)*CL201+(1-EXP(-LN(2)/25))/(LN(2)/25)*Calculateur!CG202*Calculateur!CI202*VLOOKUP('Données projet'!$B$12,Paramètres!$A$1:$I$89,3,0)*0.475*44/12</f>
        <v>1.5459689119649831</v>
      </c>
      <c r="CM202" s="21">
        <f>EXP(-LN(2)/2)*CM201+(1-EXP(-LN(2)/2))/(LN(2)/2)*CG202*CJ202*VLOOKUP('Données projet'!$B$12,Paramètres!$A$1:$I$89,3,0)*0.475*44/12</f>
        <v>9.2387939598067682E-15</v>
      </c>
      <c r="CN202" s="22">
        <f t="shared" si="172"/>
        <v>17.532922131877978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168.08890945052406</v>
      </c>
      <c r="CZ202" s="59">
        <f t="shared" si="208"/>
        <v>182.52462557642343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7.229096398918732</v>
      </c>
      <c r="DG202" s="21">
        <f>EXP(-LN(2)/25)*DG201+(1-EXP(-LN(2)/25))/(LN(2)/25)*Calculateur!DB202*Calculateur!DD202*VLOOKUP('Données projet'!$B$13,Paramètres!$A$1:$I$89,3,0)*0.475*44/12</f>
        <v>0.60518962335759174</v>
      </c>
      <c r="DH202" s="21">
        <f>EXP(-LN(2)/2)*DH201+(1-EXP(-LN(2)/2))/(LN(2)/2)*DB202*DE202*VLOOKUP('Données projet'!$B$13,Paramètres!$A$1:$I$89,3,0)*0.475*44/12</f>
        <v>6.7905061477971859E-20</v>
      </c>
      <c r="DI202" s="22">
        <f t="shared" si="175"/>
        <v>7.8342860222763235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-2.2737367544323206E-13</v>
      </c>
      <c r="DP202" s="17">
        <f>DO202*VLOOKUP('Données projet'!$B$14,Paramètres!$A$1:$I$89,3,0)*VLOOKUP('Données projet'!$B$14,Paramètres!$A$1:$I$89,5,0)</f>
        <v>-1.2710188457276673E-13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355.23615781077405</v>
      </c>
      <c r="DU202" s="59">
        <f t="shared" si="209"/>
        <v>448.84541017639367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16.497475484614959</v>
      </c>
      <c r="EB202" s="21">
        <f>EXP(-LN(2)/25)*EB201+(1-EXP(-LN(2)/25))/(LN(2)/25)*Calculateur!DW202*Calculateur!DY202*VLOOKUP('Données projet'!$B$14,Paramètres!$A$1:$I$89,3,0)*0.475*44/12</f>
        <v>1.3656000169106857</v>
      </c>
      <c r="EC202" s="21">
        <f>EXP(-LN(2)/2)*EC201+(1-EXP(-LN(2)/2))/(LN(2)/2)*DW202*DZ202*VLOOKUP('Données projet'!$B$14,Paramètres!$A$1:$I$89,3,0)*0.475*44/12</f>
        <v>6.7465929010263237E-20</v>
      </c>
      <c r="ED202" s="22">
        <f t="shared" si="178"/>
        <v>17.863075501525646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1.1368683772161603E-13</v>
      </c>
      <c r="EK202" s="17">
        <f>EJ202*VLOOKUP('Données projet'!$B$15,Paramètres!$A$1:$I$89,3,0)*VLOOKUP('Données projet'!$B$15,Paramètres!$A$1:$I$89,5,0)</f>
        <v>1.223725121235475E-13</v>
      </c>
      <c r="EL202" s="13">
        <f t="shared" si="179"/>
        <v>1.7956824466038182E-12</v>
      </c>
      <c r="EM202" s="20">
        <f t="shared" si="180"/>
        <v>3.3406123864501612E-12</v>
      </c>
      <c r="EN202" s="59">
        <f t="shared" si="198"/>
        <v>293.33333333333667</v>
      </c>
      <c r="EO202" s="59">
        <f ca="1">AVERAGE(OFFSET($EN$3,0,0,'Données projet'!$E$15+1,1))-AVERAGE(OFFSET($H$3,0,0,'Données projet'!$E$15+1,1))</f>
        <v>130.76477588601989</v>
      </c>
      <c r="EP202" s="59">
        <f t="shared" si="210"/>
        <v>94.034011511502172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59.588220032455972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59.588220032455972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-2.2737367544323206E-13</v>
      </c>
      <c r="FF202" s="17">
        <f>FE202*VLOOKUP('Données projet'!$B$16,Paramètres!$A$1:$I$89,3,0)*VLOOKUP('Données projet'!$B$16,Paramètres!$A$1:$I$89,5,0)</f>
        <v>-1.0345502232667058E-13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279.43442619866738</v>
      </c>
      <c r="FK202" s="59">
        <f t="shared" si="211"/>
        <v>355.95192241448217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13.428177720035428</v>
      </c>
      <c r="FR202" s="21">
        <f>EXP(-LN(2)/25)*FR201+(1-EXP(-LN(2)/25))/(LN(2)/25)*Calculateur!FM202*Calculateur!FO202*VLOOKUP('Données projet'!$B$16,Paramètres!$A$1:$I$89,3,0)*0.475*44/12</f>
        <v>1.1115348974854427</v>
      </c>
      <c r="FS202" s="21">
        <f>EXP(-LN(2)/2)*FS201+(1-EXP(-LN(2)/2))/(LN(2)/2)*FM202*FP202*VLOOKUP('Données projet'!$B$16,Paramètres!$A$1:$I$89,3,0)*0.475*44/12</f>
        <v>5.4914128264167753E-20</v>
      </c>
      <c r="FT202" s="22">
        <f t="shared" si="184"/>
        <v>14.539712617520872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-6.7984728957526396E-14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227.89848316900191</v>
      </c>
      <c r="T203" s="59">
        <f t="shared" si="204"/>
        <v>239.85955661394541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8.9568056510625897</v>
      </c>
      <c r="AA203" s="21">
        <f>EXP(-LN(2)/25)*AA202+(1-EXP(-LN(2)/25))/(LN(2)/25)*Calculateur!V203*Calculateur!X203*VLOOKUP('Données projet'!$B$9,Paramètres!$A$1:$I$89,3,0)*0.475*44/12</f>
        <v>0.71213474731689508</v>
      </c>
      <c r="AB203" s="21">
        <f>EXP(-LN(2)/2)*AB202+(1-EXP(-LN(2)/2))/(LN(2)/2)*V203*Y203*VLOOKUP('Données projet'!$B$9,Paramètres!$A$1:$I$89,3,0)*0.475*44/12</f>
        <v>6.210116976035883E-20</v>
      </c>
      <c r="AC203" s="22">
        <f t="shared" si="163"/>
        <v>9.668940398379485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-5.6843418860808015E-14</v>
      </c>
      <c r="AJ203" s="13">
        <f>AI203*VLOOKUP('Données projet'!$B$10,Paramètres!$A$1:$I$89,3,0)*VLOOKUP('Données projet'!$B$10,Paramètres!$A$1:$I$89,5,0)</f>
        <v>-5.1431925385259088E-14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215.7418266360167</v>
      </c>
      <c r="AO203" s="59">
        <f t="shared" si="205"/>
        <v>155.78420008229949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45.512740877220153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45.512740877220153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2.2737367544323206E-13</v>
      </c>
      <c r="BE203" s="13">
        <f>BD203*VLOOKUP('Données projet'!$B$11,Paramètres!$A$1:$I$89,3,0)*VLOOKUP('Données projet'!$B$11,Paramètres!$A$1:$I$89,5,0)</f>
        <v>2.3055690689943731E-13</v>
      </c>
      <c r="BF203" s="13">
        <f t="shared" si="167"/>
        <v>3.142699285622457E-12</v>
      </c>
      <c r="BG203" s="20">
        <f t="shared" si="168"/>
        <v>5.8750878686422984E-12</v>
      </c>
      <c r="BH203" s="59">
        <f t="shared" si="194"/>
        <v>293.33333333333917</v>
      </c>
      <c r="BI203" s="59">
        <f ca="1">AVERAGE(OFFSET($BH$3,0,0,'Données projet'!$E$11+1,1))-AVERAGE(OFFSET($H$3,0,0,'Données projet'!$E$11+1,1))</f>
        <v>179.53921263314447</v>
      </c>
      <c r="BJ203" s="59">
        <f t="shared" si="206"/>
        <v>120.81513023281337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68.791350360234048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68.791350360234048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500.00000000000045</v>
      </c>
      <c r="BZ203" s="13">
        <f>BY203*VLOOKUP('Données projet'!$B$12,Paramètres!$A$1:$I$89,3,0)*VLOOKUP('Données projet'!$B$12,Paramètres!$A$1:$I$89,5,0)</f>
        <v>234.00000000000023</v>
      </c>
      <c r="CA203" s="13">
        <f t="shared" si="170"/>
        <v>57.146705242557189</v>
      </c>
      <c r="CB203" s="20">
        <f t="shared" si="171"/>
        <v>507.08051163078744</v>
      </c>
      <c r="CC203" s="59">
        <f t="shared" si="195"/>
        <v>800.4138449641207</v>
      </c>
      <c r="CD203" s="59">
        <f ca="1">AVERAGE(OFFSET($CC$3,0,0,'Données projet'!$E$12+1,1))-AVERAGE(OFFSET($H$3,0,0,'Données projet'!$E$12+1,1))</f>
        <v>310.06530483941287</v>
      </c>
      <c r="CE203" s="59">
        <f t="shared" si="207"/>
        <v>170.13425794309376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15.673458818349117</v>
      </c>
      <c r="CL203" s="21">
        <f>EXP(-LN(2)/25)*CL202+(1-EXP(-LN(2)/25))/(LN(2)/25)*Calculateur!CG203*Calculateur!CI203*VLOOKUP('Données projet'!$B$12,Paramètres!$A$1:$I$89,3,0)*0.475*44/12</f>
        <v>1.5036943107683289</v>
      </c>
      <c r="CM203" s="21">
        <f>EXP(-LN(2)/2)*CM202+(1-EXP(-LN(2)/2))/(LN(2)/2)*CG203*CJ203*VLOOKUP('Données projet'!$B$12,Paramètres!$A$1:$I$89,3,0)*0.475*44/12</f>
        <v>6.5328138589646814E-15</v>
      </c>
      <c r="CN203" s="22">
        <f t="shared" si="172"/>
        <v>17.177153129117453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168.08890945052406</v>
      </c>
      <c r="CZ203" s="59">
        <f t="shared" si="208"/>
        <v>182.52462557642343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7.0873382278493553</v>
      </c>
      <c r="DG203" s="21">
        <f>EXP(-LN(2)/25)*DG202+(1-EXP(-LN(2)/25))/(LN(2)/25)*Calculateur!DB203*Calculateur!DD203*VLOOKUP('Données projet'!$B$13,Paramètres!$A$1:$I$89,3,0)*0.475*44/12</f>
        <v>0.58864068128133928</v>
      </c>
      <c r="DH203" s="21">
        <f>EXP(-LN(2)/2)*DH202+(1-EXP(-LN(2)/2))/(LN(2)/2)*DB203*DE203*VLOOKUP('Données projet'!$B$13,Paramètres!$A$1:$I$89,3,0)*0.475*44/12</f>
        <v>4.8016129447963306E-20</v>
      </c>
      <c r="DI203" s="22">
        <f t="shared" si="175"/>
        <v>7.6759789091306949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-2.2737367544323206E-13</v>
      </c>
      <c r="DP203" s="17">
        <f>DO203*VLOOKUP('Données projet'!$B$14,Paramètres!$A$1:$I$89,3,0)*VLOOKUP('Données projet'!$B$14,Paramètres!$A$1:$I$89,5,0)</f>
        <v>-1.2710188457276673E-13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355.23615781077405</v>
      </c>
      <c r="DU203" s="59">
        <f t="shared" si="209"/>
        <v>448.84541017639367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16.173970052828121</v>
      </c>
      <c r="EB203" s="21">
        <f>EXP(-LN(2)/25)*EB202+(1-EXP(-LN(2)/25))/(LN(2)/25)*Calculateur!DW203*Calculateur!DY203*VLOOKUP('Données projet'!$B$14,Paramètres!$A$1:$I$89,3,0)*0.475*44/12</f>
        <v>1.3282576126344792</v>
      </c>
      <c r="EC203" s="21">
        <f>EXP(-LN(2)/2)*EC202+(1-EXP(-LN(2)/2))/(LN(2)/2)*DW203*DZ203*VLOOKUP('Données projet'!$B$14,Paramètres!$A$1:$I$89,3,0)*0.475*44/12</f>
        <v>4.7705615902207357E-20</v>
      </c>
      <c r="ED203" s="22">
        <f t="shared" si="178"/>
        <v>17.502227665462602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1.1368683772161603E-13</v>
      </c>
      <c r="EK203" s="17">
        <f>EJ203*VLOOKUP('Données projet'!$B$15,Paramètres!$A$1:$I$89,3,0)*VLOOKUP('Données projet'!$B$15,Paramètres!$A$1:$I$89,5,0)</f>
        <v>1.223725121235475E-13</v>
      </c>
      <c r="EL203" s="13">
        <f t="shared" si="179"/>
        <v>1.7956824466038182E-12</v>
      </c>
      <c r="EM203" s="20">
        <f t="shared" si="180"/>
        <v>3.3406123864501612E-12</v>
      </c>
      <c r="EN203" s="59">
        <f t="shared" si="198"/>
        <v>293.33333333333667</v>
      </c>
      <c r="EO203" s="59">
        <f ca="1">AVERAGE(OFFSET($EN$3,0,0,'Données projet'!$E$15+1,1))-AVERAGE(OFFSET($H$3,0,0,'Données projet'!$E$15+1,1))</f>
        <v>130.76477588601989</v>
      </c>
      <c r="EP203" s="59">
        <f t="shared" si="210"/>
        <v>94.034011511502172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58.419731382844937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58.419731382844937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-2.2737367544323206E-13</v>
      </c>
      <c r="FF203" s="17">
        <f>FE203*VLOOKUP('Données projet'!$B$16,Paramètres!$A$1:$I$89,3,0)*VLOOKUP('Données projet'!$B$16,Paramètres!$A$1:$I$89,5,0)</f>
        <v>-1.0345502232667058E-13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279.43442619866738</v>
      </c>
      <c r="FK203" s="59">
        <f t="shared" si="211"/>
        <v>355.95192241448217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13.16485934532521</v>
      </c>
      <c r="FR203" s="21">
        <f>EXP(-LN(2)/25)*FR202+(1-EXP(-LN(2)/25))/(LN(2)/25)*Calculateur!FM203*Calculateur!FO203*VLOOKUP('Données projet'!$B$16,Paramètres!$A$1:$I$89,3,0)*0.475*44/12</f>
        <v>1.0811399172606233</v>
      </c>
      <c r="FS203" s="21">
        <f>EXP(-LN(2)/2)*FS202+(1-EXP(-LN(2)/2))/(LN(2)/2)*FM203*FP203*VLOOKUP('Données projet'!$B$16,Paramètres!$A$1:$I$89,3,0)*0.475*44/12</f>
        <v>3.8830152478540873E-20</v>
      </c>
      <c r="FT203" s="22">
        <f t="shared" si="184"/>
        <v>14.245999262585833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1.3758248603770518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1.144776349855815</v>
      </c>
      <c r="BA205" s="82">
        <f>EXP(LN('Données projet'!B88)/'Données projet'!A88)</f>
        <v>1.1191358811422176</v>
      </c>
      <c r="BV205" s="82">
        <f>EXP(LN('Données projet'!B114)/'Données projet'!A114)</f>
        <v>1.2880503926580862</v>
      </c>
      <c r="CQ205" s="82">
        <f>EXP(LN('Données projet'!B140)/'Données projet'!A140)</f>
        <v>1.3480061545972777</v>
      </c>
      <c r="DL205" s="82">
        <f>EXP(LN('Données projet'!B166)/'Données projet'!A166)</f>
        <v>1.3070441688874561</v>
      </c>
      <c r="EG205" s="82">
        <f>EXP(LN('Données projet'!B192)/'Données projet'!A192)</f>
        <v>1.1132057446377015</v>
      </c>
      <c r="FB205" s="82">
        <f>EXP(LN('Données projet'!B218)/'Données projet'!A218)</f>
        <v>1.3070441688874561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J28" sqref="J2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Pin maritime</v>
      </c>
      <c r="B6" s="146">
        <f>'Données projet'!D9</f>
        <v>6.0278400000000003</v>
      </c>
      <c r="C6" s="147">
        <f ca="1">IF(OR('Données projet'!B9="",'Données projet'!C9="",'Données projet'!C9=0%),0,Calculateur!S3)</f>
        <v>227.89848316900191</v>
      </c>
      <c r="D6" s="147">
        <f>IF(OR('Données projet'!B9="",'Données projet'!C9="",'Données projet'!C9=0%),0,Calculateur!T3)</f>
        <v>239.85955661394541</v>
      </c>
      <c r="E6" s="147">
        <f ca="1">MIN(C6,D6)</f>
        <v>227.89848316900191</v>
      </c>
      <c r="F6" s="147">
        <f ca="1">E6*B6</f>
        <v>1373.7355927854364</v>
      </c>
      <c r="G6" s="147">
        <f ca="1">F6*(100%-'Données projet'!$C$24)*(100%-'Données projet'!$C$25)*(100%-'Données projet'!$C$26)*(100%-'Données projet'!$C$27)</f>
        <v>1236.3620335068929</v>
      </c>
      <c r="H6" s="148">
        <f>IF(OR('Données projet'!B9="",'Données projet'!C9="",'Données projet'!C9=0%),0,AVERAGE(Calculateur!$AC$3:$AC$33)*B6)</f>
        <v>67.38498256556025</v>
      </c>
      <c r="I6" s="149">
        <f>H6*(100%-'Données projet'!$C$24)*(100%-'Données projet'!$C$25)*(100%-'Données projet'!$C$26)*(100%-'Données projet'!$C$27)</f>
        <v>60.646484309004229</v>
      </c>
      <c r="J6" s="150">
        <f>IF(OR('Données projet'!B9="",'Données projet'!C9="",'Données projet'!C9=0%),0,SUM(Calculateur!$V$3:$V$33)*VLOOKUP('Données projet'!$B$9,Paramètres!$A$1:$I$89,9,0)*B6)</f>
        <v>508.56886079999998</v>
      </c>
      <c r="K6" s="151">
        <f>J6*(100%-'Données projet'!$C$24)*(100%-'Données projet'!$C$25)*(100%-'Données projet'!$C$26)*(100%-'Données projet'!$C$27)</f>
        <v>457.71197472</v>
      </c>
      <c r="L6" s="152">
        <f ca="1">G6+I6+K6</f>
        <v>1754.7204925358972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sessile</v>
      </c>
      <c r="B7" s="154">
        <f>'Données projet'!D10</f>
        <v>4.7092499999999999</v>
      </c>
      <c r="C7" s="147">
        <f ca="1">IF(OR('Données projet'!B10="",'Données projet'!C10="",'Données projet'!C10=0%),0,Calculateur!AN3)</f>
        <v>215.7418266360167</v>
      </c>
      <c r="D7" s="147">
        <f>IF(OR('Données projet'!B10="",'Données projet'!C10="",'Données projet'!C10=0%),0,Calculateur!AO3)</f>
        <v>155.78420008229949</v>
      </c>
      <c r="E7" s="147">
        <f t="shared" ref="E7:E15" ca="1" si="0">MIN(C7,D7)</f>
        <v>155.78420008229949</v>
      </c>
      <c r="F7" s="147">
        <f t="shared" ref="F7:F15" ca="1" si="1">E7*B7</f>
        <v>733.62674423756891</v>
      </c>
      <c r="G7" s="147">
        <f ca="1">F7*(100%-'Données projet'!$C$24)*(100%-'Données projet'!$C$25)*(100%-'Données projet'!$C$26)*(100%-'Données projet'!$C$27)</f>
        <v>660.26406981381206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660.26406981381206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Chêne pubescent</v>
      </c>
      <c r="B8" s="154">
        <f>'Données projet'!D11</f>
        <v>2.4488099999999999</v>
      </c>
      <c r="C8" s="147">
        <f ca="1">IF(OR('Données projet'!B11="",'Données projet'!C11="",'Données projet'!C11=0%),0,Calculateur!BI3)</f>
        <v>179.53921263314447</v>
      </c>
      <c r="D8" s="147">
        <f>IF(OR('Données projet'!B11="",'Données projet'!C11="",'Données projet'!C11=0%),0,Calculateur!BJ3)</f>
        <v>120.81513023281337</v>
      </c>
      <c r="E8" s="147">
        <f t="shared" ca="1" si="0"/>
        <v>120.81513023281337</v>
      </c>
      <c r="F8" s="147">
        <f t="shared" ca="1" si="1"/>
        <v>295.85329906541568</v>
      </c>
      <c r="G8" s="147">
        <f ca="1">F8*(100%-'Données projet'!$C$24)*(100%-'Données projet'!$C$25)*(100%-'Données projet'!$C$26)*(100%-'Données projet'!$C$27)</f>
        <v>266.26796915887411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266.26796915887411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Cèdre de l'Atlas</v>
      </c>
      <c r="B9" s="154">
        <f>'Données projet'!D12</f>
        <v>2.26044</v>
      </c>
      <c r="C9" s="147">
        <f ca="1">IF(OR('Données projet'!B12="",'Données projet'!C12="",'Données projet'!C12=0%),0,Calculateur!CD3)</f>
        <v>310.06530483941287</v>
      </c>
      <c r="D9" s="147">
        <f>IF(OR('Données projet'!B12="",'Données projet'!C12="",'Données projet'!C12=0%),0,Calculateur!CE3)</f>
        <v>170.13425794309376</v>
      </c>
      <c r="E9" s="147">
        <f t="shared" ca="1" si="0"/>
        <v>170.13425794309376</v>
      </c>
      <c r="F9" s="147">
        <f t="shared" ca="1" si="1"/>
        <v>384.57828202488685</v>
      </c>
      <c r="G9" s="147">
        <f ca="1">F9*(100%-'Données projet'!$C$24)*(100%-'Données projet'!$C$25)*(100%-'Données projet'!$C$26)*(100%-'Données projet'!$C$27)</f>
        <v>346.12045382239819</v>
      </c>
      <c r="H9" s="155">
        <f>IF(OR('Données projet'!B12="",'Données projet'!C12="",'Données projet'!C12=0%),0,AVERAGE(Calculateur!$CN$3:$CN$33)*B9)</f>
        <v>6.984124126749677</v>
      </c>
      <c r="I9" s="149">
        <f>H9*(100%-'Données projet'!$C$24)*(100%-'Données projet'!$C$25)*(100%-'Données projet'!$C$26)*(100%-'Données projet'!$C$27)</f>
        <v>6.2857117140747096</v>
      </c>
      <c r="J9" s="150">
        <f>IF(OR('Données projet'!B12="",'Données projet'!C12="",'Données projet'!C12=0%),0,SUM(Calculateur!$CG$3:$CG$33)*VLOOKUP('Données projet'!$B$12,Paramètres!$A$1:$I$89,9,0)*B9)</f>
        <v>66.095265599999991</v>
      </c>
      <c r="K9" s="151">
        <f>J9*(100%-'Données projet'!$C$24)*(100%-'Données projet'!$C$25)*(100%-'Données projet'!$C$26)*(100%-'Données projet'!$C$27)</f>
        <v>59.485739039999991</v>
      </c>
      <c r="L9" s="152">
        <f t="shared" ca="1" si="2"/>
        <v>411.89190457647288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Pin taeda</v>
      </c>
      <c r="B10" s="154">
        <f>'Données projet'!D13</f>
        <v>1.3185900000000002</v>
      </c>
      <c r="C10" s="147">
        <f ca="1">IF(OR('Données projet'!B13="",'Données projet'!C13="",'Données projet'!C13=0%),0,Calculateur!CY3)</f>
        <v>168.08890945052406</v>
      </c>
      <c r="D10" s="147">
        <f>IF(OR('Données projet'!B13="",'Données projet'!C13="",'Données projet'!C13=0%),0,Calculateur!CZ3)</f>
        <v>182.52462557642343</v>
      </c>
      <c r="E10" s="147">
        <f t="shared" ca="1" si="0"/>
        <v>168.08890945052406</v>
      </c>
      <c r="F10" s="147">
        <f t="shared" ca="1" si="1"/>
        <v>221.64035511236654</v>
      </c>
      <c r="G10" s="147">
        <f ca="1">F10*(100%-'Données projet'!$C$24)*(100%-'Données projet'!$C$25)*(100%-'Données projet'!$C$26)*(100%-'Données projet'!$C$27)</f>
        <v>199.47631960112989</v>
      </c>
      <c r="H10" s="155">
        <f>IF(OR('Données projet'!B13="",'Données projet'!C13="",'Données projet'!C13=0%),0,AVERAGE(Calculateur!$DI$3:$DI$33)*B10)</f>
        <v>9.645719023210809</v>
      </c>
      <c r="I10" s="149">
        <f>H10*(100%-'Données projet'!$C$24)*(100%-'Données projet'!$C$25)*(100%-'Données projet'!$C$26)*(100%-'Données projet'!$C$27)</f>
        <v>8.6811471208897277</v>
      </c>
      <c r="J10" s="150">
        <f>IF(OR('Données projet'!B13="",'Données projet'!C13="",'Données projet'!C13=0%),0,SUM(Calculateur!$DB$3:$DB$33)*VLOOKUP('Données projet'!$B$13,Paramètres!$A$1:$I$89,9,0)*B10)</f>
        <v>58.400351100000009</v>
      </c>
      <c r="K10" s="151">
        <f>J10*(100%-'Données projet'!$C$24)*(100%-'Données projet'!$C$25)*(100%-'Données projet'!$C$26)*(100%-'Données projet'!$C$27)</f>
        <v>52.560315990000007</v>
      </c>
      <c r="L10" s="152">
        <f t="shared" ca="1" si="2"/>
        <v>260.71778271201964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Douglas</v>
      </c>
      <c r="B11" s="154">
        <f>'Données projet'!D14</f>
        <v>0.94185000000000008</v>
      </c>
      <c r="C11" s="147">
        <f ca="1">IF(OR('Données projet'!B14="",'Données projet'!C14="",'Données projet'!C14=0%),0,Calculateur!DT3)</f>
        <v>355.23615781077405</v>
      </c>
      <c r="D11" s="147">
        <f>IF(OR('Données projet'!B14="",'Données projet'!C14="",'Données projet'!C14=0%),0,Calculateur!DU3)</f>
        <v>448.84541017639367</v>
      </c>
      <c r="E11" s="147">
        <f t="shared" ca="1" si="0"/>
        <v>355.23615781077405</v>
      </c>
      <c r="F11" s="147">
        <f t="shared" ca="1" si="1"/>
        <v>334.57917523407758</v>
      </c>
      <c r="G11" s="147">
        <f ca="1">F11*(100%-'Données projet'!$C$24)*(100%-'Données projet'!$C$25)*(100%-'Données projet'!$C$26)*(100%-'Données projet'!$C$27)</f>
        <v>301.12125771066985</v>
      </c>
      <c r="H11" s="155">
        <f>IF(OR('Données projet'!B14="",'Données projet'!C14="",'Données projet'!C14=0%),0,AVERAGE(Calculateur!$ED$3:$ED$33)*B11)</f>
        <v>4.1742047717770374</v>
      </c>
      <c r="I11" s="149">
        <f>H11*(100%-'Données projet'!$C$24)*(100%-'Données projet'!$C$25)*(100%-'Données projet'!$C$26)*(100%-'Données projet'!$C$27)</f>
        <v>3.7567842945993339</v>
      </c>
      <c r="J11" s="150">
        <f>IF(OR('Données projet'!B14="",'Données projet'!C14="",'Données projet'!C14=0%),0,SUM(Calculateur!$DW$3:$DW$33)*VLOOKUP('Données projet'!$B$14,Paramètres!$A$1:$I$89,9,0)*B11)</f>
        <v>43.739514</v>
      </c>
      <c r="K11" s="151">
        <f>J11*(100%-'Données projet'!$C$24)*(100%-'Données projet'!$C$25)*(100%-'Données projet'!$C$26)*(100%-'Données projet'!$C$27)</f>
        <v>39.365562600000004</v>
      </c>
      <c r="L11" s="152">
        <f t="shared" ca="1" si="2"/>
        <v>344.24360460526918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Cormier</v>
      </c>
      <c r="B12" s="154">
        <f>'Données projet'!D15</f>
        <v>0.75348000000000004</v>
      </c>
      <c r="C12" s="147">
        <f ca="1">IF(OR('Données projet'!B15="",'Données projet'!C15="",'Données projet'!C15=0%),0,Calculateur!EO3)</f>
        <v>130.76477588601989</v>
      </c>
      <c r="D12" s="147">
        <f>IF(OR('Données projet'!B15="",'Données projet'!C15="",'Données projet'!C15=0%),0,Calculateur!EP3)</f>
        <v>94.034011511502172</v>
      </c>
      <c r="E12" s="147">
        <f t="shared" ca="1" si="0"/>
        <v>94.034011511502172</v>
      </c>
      <c r="F12" s="147">
        <f t="shared" ca="1" si="1"/>
        <v>70.852746993686665</v>
      </c>
      <c r="G12" s="147">
        <f ca="1">F12*(100%-'Données projet'!$C$24)*(100%-'Données projet'!$C$25)*(100%-'Données projet'!$C$26)*(100%-'Données projet'!$C$27)</f>
        <v>63.767472294317997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ca="1" si="2"/>
        <v>63.767472294317997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>Séquoia géant</v>
      </c>
      <c r="B13" s="154">
        <f>'Données projet'!D16</f>
        <v>0.37674000000000002</v>
      </c>
      <c r="C13" s="147">
        <f ca="1">IF(OR('Données projet'!B16="",'Données projet'!C16="",'Données projet'!C16=0%),0,Calculateur!FJ3)</f>
        <v>279.43442619866738</v>
      </c>
      <c r="D13" s="147">
        <f>IF(OR('Données projet'!B16="",'Données projet'!C16="",'Données projet'!C16=0%),0,Calculateur!FK3)</f>
        <v>355.95192241448217</v>
      </c>
      <c r="E13" s="147">
        <f t="shared" ca="1" si="0"/>
        <v>279.43442619866738</v>
      </c>
      <c r="F13" s="147">
        <f t="shared" ca="1" si="1"/>
        <v>105.27412572608596</v>
      </c>
      <c r="G13" s="147">
        <f ca="1">F13*(100%-'Données projet'!$C$24)*(100%-'Données projet'!$C$25)*(100%-'Données projet'!$C$26)*(100%-'Données projet'!$C$27)</f>
        <v>94.746713153477359</v>
      </c>
      <c r="H13" s="155">
        <f>IF(OR('Données projet'!B16="",'Données projet'!C16="",'Données projet'!C16=0%),0,AVERAGE(Calculateur!$FT$3:$FT$33)*B13)</f>
        <v>1.3590434140669423</v>
      </c>
      <c r="I13" s="149">
        <f>H13*(100%-'Données projet'!$C$24)*(100%-'Données projet'!$C$25)*(100%-'Données projet'!$C$26)*(100%-'Données projet'!$C$27)</f>
        <v>1.223139072660248</v>
      </c>
      <c r="J13" s="150">
        <f>IF(OR('Données projet'!C16="",'Données projet'!C16=0%),0,SUM(Calculateur!$FM$3:$FM$33)*VLOOKUP('Données projet'!$B$16,Paramètres!$A$1:$I$89,9,0)*B13)</f>
        <v>17.495805600000001</v>
      </c>
      <c r="K13" s="151">
        <f>J13*(100%-'Données projet'!$C$24)*(100%-'Données projet'!$C$25)*(100%-'Données projet'!$C$26)*(100%-'Données projet'!$C$27)</f>
        <v>15.746225040000001</v>
      </c>
      <c r="L13" s="152">
        <f t="shared" ca="1" si="2"/>
        <v>111.7160772661376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3520.1403211795246</v>
      </c>
      <c r="G16" s="166">
        <f t="shared" ca="1" si="3"/>
        <v>3168.1262890615722</v>
      </c>
      <c r="H16" s="167">
        <f t="shared" si="3"/>
        <v>89.548073901364731</v>
      </c>
      <c r="I16" s="167">
        <f t="shared" si="3"/>
        <v>80.593266511228251</v>
      </c>
      <c r="J16" s="168">
        <f t="shared" si="3"/>
        <v>694.29979709999998</v>
      </c>
      <c r="K16" s="168">
        <f t="shared" si="3"/>
        <v>624.86981738999998</v>
      </c>
      <c r="L16" s="169">
        <f t="shared" ca="1" si="3"/>
        <v>3873.5893729628006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Chêne pubescent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Cèdre de l'Atlas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Pin taeda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Douglas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Cormier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>Séquoia géant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H1" zoomScale="80" zoomScaleNormal="80" workbookViewId="0">
      <selection activeCell="C244" sqref="C24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2967.2313623704385</v>
      </c>
      <c r="U10" s="178">
        <f>'Données projet'!D9</f>
        <v>6.0278400000000003</v>
      </c>
      <c r="V10" s="177">
        <f>U10*T10</f>
        <v>17885.995895351025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1290.6434429642297</v>
      </c>
      <c r="U11" s="178">
        <f>'Données projet'!D10</f>
        <v>4.7092499999999999</v>
      </c>
      <c r="V11" s="177">
        <f t="shared" ref="V11" si="0">U11*T11</f>
        <v>6077.9626337792988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pubescent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656.76433035392074</v>
      </c>
      <c r="U12" s="178">
        <f>'Données projet'!D11</f>
        <v>2.4488099999999999</v>
      </c>
      <c r="V12" s="177">
        <f t="shared" ref="V12:V19" si="1">U12*T12</f>
        <v>1608.2910598139847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Cèdre de l'Atlas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1952.388022103876</v>
      </c>
      <c r="U13" s="178">
        <f>'Données projet'!D12</f>
        <v>2.26044</v>
      </c>
      <c r="V13" s="177">
        <f t="shared" si="1"/>
        <v>4413.2559806844856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Pin taeda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3047.9449898526741</v>
      </c>
      <c r="U14" s="178">
        <f>'Données projet'!D13</f>
        <v>1.3185900000000002</v>
      </c>
      <c r="V14" s="177">
        <f t="shared" si="1"/>
        <v>4018.989784169838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Douglas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8221.6424941326204</v>
      </c>
      <c r="U15" s="178">
        <f>'Données projet'!D14</f>
        <v>0.94185000000000008</v>
      </c>
      <c r="V15" s="177">
        <f t="shared" si="1"/>
        <v>7743.5539830988091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0</v>
      </c>
      <c r="O16" s="23"/>
      <c r="P16" s="23"/>
      <c r="Q16" s="234"/>
      <c r="R16" s="23"/>
      <c r="S16" s="36" t="str">
        <f>B200</f>
        <v>Cormier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256.91658927393036</v>
      </c>
      <c r="U16" s="178">
        <f>'Données projet'!D15</f>
        <v>0.75348000000000004</v>
      </c>
      <c r="V16" s="177">
        <f t="shared" si="1"/>
        <v>193.58151168612105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>Séquoia géant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4448.6615315473382</v>
      </c>
      <c r="U17" s="178">
        <f>'Données projet'!D16</f>
        <v>0.37674000000000002</v>
      </c>
      <c r="V17" s="177">
        <f t="shared" si="1"/>
        <v>1675.9887453951442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f>1896+2272+400+470</f>
        <v>5038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f>480+470+248</f>
        <v>1198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480+248</f>
        <v>728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4</v>
      </c>
      <c r="I23" s="191">
        <f>490+248</f>
        <v>738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-113806.91281941216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16</v>
      </c>
      <c r="B24" s="181">
        <f>'Données projet'!D37</f>
        <v>25</v>
      </c>
      <c r="C24" s="193">
        <v>15</v>
      </c>
      <c r="D24" s="182">
        <f t="shared" ref="D24:D42" si="2">B24*C24</f>
        <v>375</v>
      </c>
      <c r="E24" s="193">
        <v>150</v>
      </c>
      <c r="F24" s="233"/>
      <c r="H24" s="190">
        <v>5</v>
      </c>
      <c r="I24" s="191">
        <f>500+248</f>
        <v>748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20</v>
      </c>
      <c r="B25" s="181">
        <f>'Données projet'!D38</f>
        <v>34</v>
      </c>
      <c r="C25" s="193">
        <v>15</v>
      </c>
      <c r="D25" s="182">
        <f t="shared" si="2"/>
        <v>510</v>
      </c>
      <c r="E25" s="193">
        <v>150</v>
      </c>
      <c r="F25" s="233"/>
      <c r="H25" s="190">
        <v>6</v>
      </c>
      <c r="I25" s="191">
        <f>510+248</f>
        <v>758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-113806.91281941216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24</v>
      </c>
      <c r="B26" s="181">
        <f>'Données projet'!D39</f>
        <v>43</v>
      </c>
      <c r="C26" s="193">
        <v>20</v>
      </c>
      <c r="D26" s="182">
        <f t="shared" si="2"/>
        <v>860</v>
      </c>
      <c r="E26" s="193">
        <v>150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28</v>
      </c>
      <c r="B27" s="181">
        <f>'Données projet'!D40</f>
        <v>41</v>
      </c>
      <c r="C27" s="193">
        <v>30</v>
      </c>
      <c r="D27" s="182">
        <f t="shared" si="2"/>
        <v>1230</v>
      </c>
      <c r="E27" s="193">
        <v>150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34</v>
      </c>
      <c r="B28" s="181">
        <f>'Données projet'!D41</f>
        <v>60</v>
      </c>
      <c r="C28" s="193">
        <v>30</v>
      </c>
      <c r="D28" s="182">
        <f t="shared" si="2"/>
        <v>1800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40</v>
      </c>
      <c r="B29" s="181">
        <f>'Données projet'!D42</f>
        <v>34</v>
      </c>
      <c r="C29" s="193">
        <v>50</v>
      </c>
      <c r="D29" s="182">
        <f t="shared" si="2"/>
        <v>1700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46</v>
      </c>
      <c r="B30" s="181">
        <f>'Données projet'!D43</f>
        <v>21</v>
      </c>
      <c r="C30" s="193">
        <v>50</v>
      </c>
      <c r="D30" s="182">
        <f t="shared" si="2"/>
        <v>1050</v>
      </c>
      <c r="E30" s="193">
        <v>150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54</v>
      </c>
      <c r="B31" s="181">
        <f>'Données projet'!D44</f>
        <v>17</v>
      </c>
      <c r="C31" s="193">
        <v>50</v>
      </c>
      <c r="D31" s="182">
        <f t="shared" si="2"/>
        <v>850</v>
      </c>
      <c r="E31" s="193">
        <v>150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62</v>
      </c>
      <c r="B32" s="181">
        <f>'Données projet'!D45</f>
        <v>409</v>
      </c>
      <c r="C32" s="193">
        <v>50</v>
      </c>
      <c r="D32" s="182">
        <f t="shared" si="2"/>
        <v>20450</v>
      </c>
      <c r="E32" s="193">
        <v>150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36</v>
      </c>
      <c r="B54" s="181">
        <f>'Données projet'!D62</f>
        <v>36</v>
      </c>
      <c r="C54" s="191">
        <v>15</v>
      </c>
      <c r="D54" s="179">
        <f>B54*C54</f>
        <v>540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42</v>
      </c>
      <c r="B55" s="181">
        <f>'Données projet'!D63</f>
        <v>41</v>
      </c>
      <c r="C55" s="191">
        <v>15</v>
      </c>
      <c r="D55" s="179">
        <f t="shared" ref="D55:D73" si="4">B55*C55</f>
        <v>615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48</v>
      </c>
      <c r="B56" s="181">
        <f>'Données projet'!D64</f>
        <v>41</v>
      </c>
      <c r="C56" s="191">
        <v>30</v>
      </c>
      <c r="D56" s="179">
        <f t="shared" si="4"/>
        <v>1230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54</v>
      </c>
      <c r="B57" s="181">
        <f>'Données projet'!D65</f>
        <v>31</v>
      </c>
      <c r="C57" s="191">
        <v>50</v>
      </c>
      <c r="D57" s="179">
        <f t="shared" si="4"/>
        <v>1550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62</v>
      </c>
      <c r="B58" s="181">
        <f>'Données projet'!D66</f>
        <v>39</v>
      </c>
      <c r="C58" s="191">
        <v>70</v>
      </c>
      <c r="D58" s="179">
        <f t="shared" si="4"/>
        <v>2730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53</v>
      </c>
      <c r="C59" s="191">
        <v>90</v>
      </c>
      <c r="D59" s="179">
        <f t="shared" si="4"/>
        <v>4770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78</v>
      </c>
      <c r="B60" s="181">
        <f>'Données projet'!D68</f>
        <v>42</v>
      </c>
      <c r="C60" s="191">
        <v>100</v>
      </c>
      <c r="D60" s="179">
        <f t="shared" si="4"/>
        <v>4200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87</v>
      </c>
      <c r="B61" s="181">
        <f>'Données projet'!D69</f>
        <v>39</v>
      </c>
      <c r="C61" s="191">
        <v>100</v>
      </c>
      <c r="D61" s="179">
        <f t="shared" si="4"/>
        <v>3900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97</v>
      </c>
      <c r="B62" s="181">
        <f>'Données projet'!D70</f>
        <v>42</v>
      </c>
      <c r="C62" s="191">
        <v>150</v>
      </c>
      <c r="D62" s="179">
        <f t="shared" si="4"/>
        <v>6300</v>
      </c>
      <c r="E62" s="193">
        <v>150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107</v>
      </c>
      <c r="B63" s="181">
        <f>'Données projet'!D71</f>
        <v>46</v>
      </c>
      <c r="C63" s="191">
        <v>150</v>
      </c>
      <c r="D63" s="179">
        <f t="shared" si="4"/>
        <v>6900</v>
      </c>
      <c r="E63" s="193">
        <v>150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117</v>
      </c>
      <c r="B64" s="181">
        <f>'Données projet'!D72</f>
        <v>45</v>
      </c>
      <c r="C64" s="191">
        <v>150</v>
      </c>
      <c r="D64" s="179">
        <f t="shared" si="4"/>
        <v>6750</v>
      </c>
      <c r="E64" s="193">
        <v>150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129</v>
      </c>
      <c r="B65" s="181">
        <f>'Données projet'!D73</f>
        <v>337</v>
      </c>
      <c r="C65" s="191">
        <v>150</v>
      </c>
      <c r="D65" s="179">
        <f t="shared" si="4"/>
        <v>50550</v>
      </c>
      <c r="E65" s="193">
        <v>150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Chêne pubescent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30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42</v>
      </c>
      <c r="B85" s="181">
        <f>'Données projet'!D88</f>
        <v>30</v>
      </c>
      <c r="C85" s="191">
        <v>15</v>
      </c>
      <c r="D85" s="179">
        <f>B85*C85</f>
        <v>450</v>
      </c>
      <c r="E85" s="193">
        <v>150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48</v>
      </c>
      <c r="B86" s="181">
        <f>'Données projet'!D89</f>
        <v>28</v>
      </c>
      <c r="C86" s="191">
        <v>15</v>
      </c>
      <c r="D86" s="179">
        <f t="shared" ref="D86:D104" si="6">B86*C86</f>
        <v>420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56</v>
      </c>
      <c r="B87" s="181">
        <f>'Données projet'!D90</f>
        <v>36</v>
      </c>
      <c r="C87" s="191">
        <v>30</v>
      </c>
      <c r="D87" s="179">
        <f t="shared" si="6"/>
        <v>1080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64</v>
      </c>
      <c r="B88" s="181">
        <f>'Données projet'!D91</f>
        <v>41</v>
      </c>
      <c r="C88" s="191">
        <v>50</v>
      </c>
      <c r="D88" s="179">
        <f t="shared" si="6"/>
        <v>2050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72</v>
      </c>
      <c r="B89" s="181">
        <f>'Données projet'!D92</f>
        <v>32</v>
      </c>
      <c r="C89" s="191">
        <v>70</v>
      </c>
      <c r="D89" s="179">
        <f t="shared" si="6"/>
        <v>2240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81</v>
      </c>
      <c r="B90" s="181">
        <f>'Données projet'!D93</f>
        <v>31</v>
      </c>
      <c r="C90" s="191">
        <v>90</v>
      </c>
      <c r="D90" s="179">
        <f t="shared" si="6"/>
        <v>2790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90</v>
      </c>
      <c r="B91" s="181">
        <f>'Données projet'!D94</f>
        <v>30</v>
      </c>
      <c r="C91" s="191">
        <v>100</v>
      </c>
      <c r="D91" s="179">
        <f t="shared" si="6"/>
        <v>3000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102</v>
      </c>
      <c r="B92" s="181">
        <f>'Données projet'!D95</f>
        <v>41</v>
      </c>
      <c r="C92" s="191">
        <v>100</v>
      </c>
      <c r="D92" s="179">
        <f t="shared" si="6"/>
        <v>4100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114</v>
      </c>
      <c r="B93" s="181">
        <f>'Données projet'!D96</f>
        <v>37</v>
      </c>
      <c r="C93" s="191">
        <v>150</v>
      </c>
      <c r="D93" s="179">
        <f t="shared" si="6"/>
        <v>5550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126</v>
      </c>
      <c r="B94" s="181">
        <f>'Données projet'!D97</f>
        <v>38</v>
      </c>
      <c r="C94" s="191">
        <v>150</v>
      </c>
      <c r="D94" s="179">
        <f t="shared" si="6"/>
        <v>5700</v>
      </c>
      <c r="E94" s="193">
        <v>150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138</v>
      </c>
      <c r="B95" s="181">
        <f>'Données projet'!D98</f>
        <v>39</v>
      </c>
      <c r="C95" s="191">
        <v>150</v>
      </c>
      <c r="D95" s="179">
        <f t="shared" si="6"/>
        <v>5850</v>
      </c>
      <c r="E95" s="193">
        <v>150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153</v>
      </c>
      <c r="B96" s="181">
        <f>'Données projet'!D99</f>
        <v>296</v>
      </c>
      <c r="C96" s="191">
        <v>150</v>
      </c>
      <c r="D96" s="179">
        <f t="shared" si="6"/>
        <v>44400</v>
      </c>
      <c r="E96" s="193">
        <v>150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Cèdre de l'Atlas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20</v>
      </c>
      <c r="B116" s="181">
        <f>'Données projet'!D114</f>
        <v>31.6</v>
      </c>
      <c r="C116" s="191">
        <v>15</v>
      </c>
      <c r="D116" s="179">
        <f>B116*C116</f>
        <v>474</v>
      </c>
      <c r="E116" s="193">
        <v>150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30</v>
      </c>
      <c r="B117" s="181">
        <f>'Données projet'!D115</f>
        <v>36.4</v>
      </c>
      <c r="C117" s="191">
        <v>30</v>
      </c>
      <c r="D117" s="179">
        <f t="shared" ref="D117:D135" si="8">B117*C117</f>
        <v>1092</v>
      </c>
      <c r="E117" s="193">
        <v>150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40</v>
      </c>
      <c r="B118" s="181">
        <f>'Données projet'!D116</f>
        <v>52.26666666666668</v>
      </c>
      <c r="C118" s="191">
        <v>30</v>
      </c>
      <c r="D118" s="179">
        <f t="shared" si="8"/>
        <v>1568.0000000000005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50</v>
      </c>
      <c r="B119" s="181">
        <f>'Données projet'!D117</f>
        <v>68.788888888888891</v>
      </c>
      <c r="C119" s="191">
        <v>50</v>
      </c>
      <c r="D119" s="179">
        <f t="shared" si="8"/>
        <v>3439.4444444444443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60</v>
      </c>
      <c r="B120" s="181">
        <f>'Données projet'!D118</f>
        <v>88.535185185185185</v>
      </c>
      <c r="C120" s="191">
        <v>50</v>
      </c>
      <c r="D120" s="179">
        <f t="shared" si="8"/>
        <v>4426.7592592592591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70</v>
      </c>
      <c r="B121" s="181">
        <f>'Données projet'!D119</f>
        <v>111.0774691358025</v>
      </c>
      <c r="C121" s="191">
        <v>50</v>
      </c>
      <c r="D121" s="179">
        <f t="shared" si="8"/>
        <v>5553.8734567901247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80</v>
      </c>
      <c r="B122" s="181">
        <f>'Données projet'!D120</f>
        <v>135.65375514403294</v>
      </c>
      <c r="C122" s="191">
        <v>50</v>
      </c>
      <c r="D122" s="179">
        <f t="shared" si="8"/>
        <v>6782.6877572016474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90</v>
      </c>
      <c r="B123" s="181">
        <f>'Données projet'!D121</f>
        <v>160.72437414266119</v>
      </c>
      <c r="C123" s="191">
        <v>50</v>
      </c>
      <c r="D123" s="179">
        <f t="shared" si="8"/>
        <v>8036.2187071330591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100</v>
      </c>
      <c r="B124" s="181">
        <f>'Données projet'!D122</f>
        <v>100</v>
      </c>
      <c r="C124" s="191">
        <v>50</v>
      </c>
      <c r="D124" s="179">
        <f t="shared" si="8"/>
        <v>5000</v>
      </c>
      <c r="E124" s="193">
        <v>150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Pin taeda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12</v>
      </c>
      <c r="B147" s="175">
        <f>'Données projet'!D140</f>
        <v>0</v>
      </c>
      <c r="C147" s="191">
        <v>15</v>
      </c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16</v>
      </c>
      <c r="B148" s="175">
        <f>'Données projet'!D141</f>
        <v>15</v>
      </c>
      <c r="C148" s="191">
        <v>15</v>
      </c>
      <c r="D148" s="182">
        <f t="shared" ref="D148:D166" si="10">B148*C148</f>
        <v>225</v>
      </c>
      <c r="E148" s="193">
        <v>150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20</v>
      </c>
      <c r="B149" s="175">
        <f>'Données projet'!D142</f>
        <v>22</v>
      </c>
      <c r="C149" s="191">
        <v>30</v>
      </c>
      <c r="D149" s="182">
        <f t="shared" si="10"/>
        <v>660</v>
      </c>
      <c r="E149" s="193">
        <v>150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24</v>
      </c>
      <c r="B150" s="175">
        <f>'Données projet'!D143</f>
        <v>31</v>
      </c>
      <c r="C150" s="191">
        <v>30</v>
      </c>
      <c r="D150" s="182">
        <f t="shared" si="10"/>
        <v>930</v>
      </c>
      <c r="E150" s="193">
        <v>150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28</v>
      </c>
      <c r="B151" s="175">
        <f>'Données projet'!D144</f>
        <v>35</v>
      </c>
      <c r="C151" s="191">
        <v>50</v>
      </c>
      <c r="D151" s="182">
        <f t="shared" si="10"/>
        <v>1750</v>
      </c>
      <c r="E151" s="193">
        <v>150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34</v>
      </c>
      <c r="B152" s="175">
        <f>'Données projet'!D145</f>
        <v>46</v>
      </c>
      <c r="C152" s="191">
        <v>50</v>
      </c>
      <c r="D152" s="182">
        <f t="shared" si="10"/>
        <v>2300</v>
      </c>
      <c r="E152" s="193">
        <v>150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40</v>
      </c>
      <c r="B153" s="175">
        <f>'Données projet'!D146</f>
        <v>41</v>
      </c>
      <c r="C153" s="191">
        <v>50</v>
      </c>
      <c r="D153" s="182">
        <f t="shared" si="10"/>
        <v>2050</v>
      </c>
      <c r="E153" s="193">
        <v>150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46</v>
      </c>
      <c r="B154" s="175">
        <f>'Données projet'!D147</f>
        <v>29</v>
      </c>
      <c r="C154" s="191">
        <v>50</v>
      </c>
      <c r="D154" s="182">
        <f t="shared" si="10"/>
        <v>1450</v>
      </c>
      <c r="E154" s="193">
        <v>150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54</v>
      </c>
      <c r="B155" s="175">
        <f>'Données projet'!D148</f>
        <v>16</v>
      </c>
      <c r="C155" s="191">
        <v>50</v>
      </c>
      <c r="D155" s="182">
        <f t="shared" si="10"/>
        <v>800</v>
      </c>
      <c r="E155" s="193">
        <v>150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62</v>
      </c>
      <c r="B156" s="175">
        <f>'Données projet'!D149</f>
        <v>316</v>
      </c>
      <c r="C156" s="191">
        <v>50</v>
      </c>
      <c r="D156" s="182">
        <f t="shared" si="10"/>
        <v>15800</v>
      </c>
      <c r="E156" s="193">
        <v>150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Douglas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19</v>
      </c>
      <c r="B178" s="181">
        <f>'Données projet'!D166</f>
        <v>0</v>
      </c>
      <c r="C178" s="193"/>
      <c r="D178" s="179">
        <f>B178*C178</f>
        <v>0</v>
      </c>
      <c r="E178" s="193">
        <v>150</v>
      </c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25</v>
      </c>
      <c r="B179" s="181">
        <f>'Données projet'!D167</f>
        <v>54</v>
      </c>
      <c r="C179" s="193">
        <v>20</v>
      </c>
      <c r="D179" s="179">
        <f t="shared" ref="D179:D197" si="11">B179*C179</f>
        <v>1080</v>
      </c>
      <c r="E179" s="193">
        <v>150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30</v>
      </c>
      <c r="B180" s="181">
        <f>'Données projet'!D168</f>
        <v>54</v>
      </c>
      <c r="C180" s="193">
        <v>30</v>
      </c>
      <c r="D180" s="179">
        <f t="shared" si="11"/>
        <v>1620</v>
      </c>
      <c r="E180" s="193">
        <v>150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35</v>
      </c>
      <c r="B181" s="181">
        <f>'Données projet'!D169</f>
        <v>69</v>
      </c>
      <c r="C181" s="193">
        <v>50</v>
      </c>
      <c r="D181" s="179">
        <f t="shared" si="11"/>
        <v>3450</v>
      </c>
      <c r="E181" s="193">
        <v>150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40</v>
      </c>
      <c r="B182" s="181">
        <f>'Données projet'!D170</f>
        <v>72</v>
      </c>
      <c r="C182" s="193">
        <v>90</v>
      </c>
      <c r="D182" s="179">
        <f t="shared" si="11"/>
        <v>6480</v>
      </c>
      <c r="E182" s="193">
        <v>150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45</v>
      </c>
      <c r="B183" s="181">
        <f>'Données projet'!D171</f>
        <v>66</v>
      </c>
      <c r="C183" s="193">
        <v>90</v>
      </c>
      <c r="D183" s="179">
        <f t="shared" si="11"/>
        <v>5940</v>
      </c>
      <c r="E183" s="193">
        <v>150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50</v>
      </c>
      <c r="B184" s="181">
        <f>'Données projet'!D172</f>
        <v>48</v>
      </c>
      <c r="C184" s="193">
        <v>90</v>
      </c>
      <c r="D184" s="179">
        <f t="shared" si="11"/>
        <v>4320</v>
      </c>
      <c r="E184" s="193">
        <v>150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55</v>
      </c>
      <c r="B185" s="181">
        <f>'Données projet'!D173</f>
        <v>35</v>
      </c>
      <c r="C185" s="193">
        <v>90</v>
      </c>
      <c r="D185" s="179">
        <f t="shared" si="11"/>
        <v>3150</v>
      </c>
      <c r="E185" s="193">
        <v>150</v>
      </c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60</v>
      </c>
      <c r="B186" s="181">
        <f>'Données projet'!D174</f>
        <v>666</v>
      </c>
      <c r="C186" s="193">
        <v>90</v>
      </c>
      <c r="D186" s="179">
        <f t="shared" si="11"/>
        <v>59940</v>
      </c>
      <c r="E186" s="193">
        <v>150</v>
      </c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Cormier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42</v>
      </c>
      <c r="B209" s="181">
        <f>'Données projet'!D192</f>
        <v>24</v>
      </c>
      <c r="C209" s="193">
        <v>20</v>
      </c>
      <c r="D209" s="179">
        <f>B209*C209</f>
        <v>480</v>
      </c>
      <c r="E209" s="193">
        <v>150</v>
      </c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48</v>
      </c>
      <c r="B210" s="181">
        <f>'Données projet'!D193</f>
        <v>22.400000000000002</v>
      </c>
      <c r="C210" s="193">
        <v>20</v>
      </c>
      <c r="D210" s="179">
        <f t="shared" ref="D210:D228" si="12">B210*C210</f>
        <v>448.00000000000006</v>
      </c>
      <c r="E210" s="193">
        <v>150</v>
      </c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56</v>
      </c>
      <c r="B211" s="181">
        <f>'Données projet'!D194</f>
        <v>28.8</v>
      </c>
      <c r="C211" s="193">
        <v>20</v>
      </c>
      <c r="D211" s="179">
        <f t="shared" si="12"/>
        <v>576</v>
      </c>
      <c r="E211" s="193">
        <v>150</v>
      </c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64</v>
      </c>
      <c r="B212" s="181">
        <f>'Données projet'!D195</f>
        <v>32.800000000000004</v>
      </c>
      <c r="C212" s="193">
        <v>20</v>
      </c>
      <c r="D212" s="179">
        <f t="shared" si="12"/>
        <v>656.00000000000011</v>
      </c>
      <c r="E212" s="193">
        <v>150</v>
      </c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72</v>
      </c>
      <c r="B213" s="181">
        <f>'Données projet'!D196</f>
        <v>25.6</v>
      </c>
      <c r="C213" s="193">
        <v>20</v>
      </c>
      <c r="D213" s="179">
        <f t="shared" si="12"/>
        <v>512</v>
      </c>
      <c r="E213" s="193">
        <v>150</v>
      </c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81</v>
      </c>
      <c r="B214" s="181">
        <f>'Données projet'!D197</f>
        <v>24.8</v>
      </c>
      <c r="C214" s="193">
        <v>40</v>
      </c>
      <c r="D214" s="179">
        <f t="shared" si="12"/>
        <v>992</v>
      </c>
      <c r="E214" s="193">
        <v>150</v>
      </c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90</v>
      </c>
      <c r="B215" s="181">
        <f>'Données projet'!D198</f>
        <v>24</v>
      </c>
      <c r="C215" s="193">
        <v>40</v>
      </c>
      <c r="D215" s="179">
        <f t="shared" si="12"/>
        <v>960</v>
      </c>
      <c r="E215" s="193">
        <v>150</v>
      </c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102</v>
      </c>
      <c r="B216" s="181">
        <f>'Données projet'!D199</f>
        <v>32.800000000000004</v>
      </c>
      <c r="C216" s="193">
        <v>50</v>
      </c>
      <c r="D216" s="179">
        <f t="shared" si="12"/>
        <v>1640.0000000000002</v>
      </c>
      <c r="E216" s="193">
        <v>150</v>
      </c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114</v>
      </c>
      <c r="B217" s="181">
        <f>'Données projet'!D200</f>
        <v>29.6</v>
      </c>
      <c r="C217" s="193">
        <v>50</v>
      </c>
      <c r="D217" s="179">
        <f t="shared" si="12"/>
        <v>1480</v>
      </c>
      <c r="E217" s="193">
        <v>150</v>
      </c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126</v>
      </c>
      <c r="B218" s="181">
        <f>'Données projet'!D201</f>
        <v>30.400000000000002</v>
      </c>
      <c r="C218" s="193">
        <v>50</v>
      </c>
      <c r="D218" s="179">
        <f t="shared" si="12"/>
        <v>1520</v>
      </c>
      <c r="E218" s="193">
        <v>150</v>
      </c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138</v>
      </c>
      <c r="B219" s="181">
        <f>'Données projet'!D202</f>
        <v>31.200000000000003</v>
      </c>
      <c r="C219" s="193">
        <v>50</v>
      </c>
      <c r="D219" s="179">
        <f t="shared" si="12"/>
        <v>1560.0000000000002</v>
      </c>
      <c r="E219" s="193">
        <v>150</v>
      </c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153</v>
      </c>
      <c r="B220" s="181">
        <f>'Données projet'!D203</f>
        <v>236.8</v>
      </c>
      <c r="C220" s="193">
        <v>50</v>
      </c>
      <c r="D220" s="179">
        <f t="shared" si="12"/>
        <v>11840</v>
      </c>
      <c r="E220" s="193">
        <v>150</v>
      </c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>Séquoia géant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19</v>
      </c>
      <c r="B240" s="181">
        <f>'Données projet'!D218</f>
        <v>0</v>
      </c>
      <c r="C240" s="193">
        <v>15</v>
      </c>
      <c r="D240" s="179">
        <f>B240*C240</f>
        <v>0</v>
      </c>
      <c r="E240" s="193">
        <v>150</v>
      </c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25</v>
      </c>
      <c r="B241" s="181">
        <f>'Données projet'!D219</f>
        <v>54</v>
      </c>
      <c r="C241" s="193">
        <v>15</v>
      </c>
      <c r="D241" s="179">
        <f t="shared" ref="D241:D259" si="13">B241*C241</f>
        <v>810</v>
      </c>
      <c r="E241" s="193">
        <v>150</v>
      </c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30</v>
      </c>
      <c r="B242" s="181">
        <f>'Données projet'!D220</f>
        <v>54</v>
      </c>
      <c r="C242" s="193">
        <v>20</v>
      </c>
      <c r="D242" s="179">
        <f t="shared" si="13"/>
        <v>1080</v>
      </c>
      <c r="E242" s="193">
        <v>150</v>
      </c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35</v>
      </c>
      <c r="B243" s="181">
        <f>'Données projet'!D221</f>
        <v>69</v>
      </c>
      <c r="C243" s="193">
        <v>20</v>
      </c>
      <c r="D243" s="179">
        <f t="shared" si="13"/>
        <v>1380</v>
      </c>
      <c r="E243" s="193">
        <v>150</v>
      </c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40</v>
      </c>
      <c r="B244" s="181">
        <f>'Données projet'!D222</f>
        <v>72</v>
      </c>
      <c r="C244" s="193">
        <v>50</v>
      </c>
      <c r="D244" s="179">
        <f t="shared" si="13"/>
        <v>3600</v>
      </c>
      <c r="E244" s="193">
        <v>150</v>
      </c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45</v>
      </c>
      <c r="B245" s="181">
        <f>'Données projet'!D223</f>
        <v>66</v>
      </c>
      <c r="C245" s="193">
        <v>50</v>
      </c>
      <c r="D245" s="179">
        <f t="shared" si="13"/>
        <v>3300</v>
      </c>
      <c r="E245" s="193">
        <v>150</v>
      </c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50</v>
      </c>
      <c r="B246" s="181">
        <f>'Données projet'!D224</f>
        <v>48</v>
      </c>
      <c r="C246" s="193">
        <v>50</v>
      </c>
      <c r="D246" s="179">
        <f t="shared" si="13"/>
        <v>2400</v>
      </c>
      <c r="E246" s="193">
        <v>150</v>
      </c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55</v>
      </c>
      <c r="B247" s="181">
        <f>'Données projet'!D225</f>
        <v>35</v>
      </c>
      <c r="C247" s="193">
        <v>50</v>
      </c>
      <c r="D247" s="179">
        <f t="shared" si="13"/>
        <v>1750</v>
      </c>
      <c r="E247" s="193">
        <v>150</v>
      </c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60</v>
      </c>
      <c r="B248" s="181">
        <f>'Données projet'!D226</f>
        <v>666</v>
      </c>
      <c r="C248" s="193">
        <v>50</v>
      </c>
      <c r="D248" s="179">
        <f t="shared" si="13"/>
        <v>33300</v>
      </c>
      <c r="E248" s="193">
        <v>150</v>
      </c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6D0C3-9692-4B0B-A66E-BDFB94638B45}">
  <dimension ref="A1:F15"/>
  <sheetViews>
    <sheetView workbookViewId="0">
      <selection activeCell="A18" sqref="A18"/>
    </sheetView>
  </sheetViews>
  <sheetFormatPr baseColWidth="10" defaultRowHeight="15" x14ac:dyDescent="0.25"/>
  <cols>
    <col min="1" max="1" width="20.85546875" bestFit="1" customWidth="1"/>
    <col min="2" max="2" width="21.7109375" bestFit="1" customWidth="1"/>
    <col min="3" max="3" width="14.140625" bestFit="1" customWidth="1"/>
  </cols>
  <sheetData>
    <row r="1" spans="1:6" x14ac:dyDescent="0.25">
      <c r="A1" s="304" t="s">
        <v>0</v>
      </c>
      <c r="B1" s="304" t="s">
        <v>324</v>
      </c>
      <c r="C1" s="304" t="s">
        <v>329</v>
      </c>
      <c r="D1" s="307" t="s">
        <v>330</v>
      </c>
    </row>
    <row r="2" spans="1:6" x14ac:dyDescent="0.25">
      <c r="A2" s="304" t="s">
        <v>36</v>
      </c>
      <c r="B2" s="304">
        <v>8404</v>
      </c>
      <c r="C2" s="306">
        <f>B2/$B$11</f>
        <v>0.31992081921656707</v>
      </c>
      <c r="D2" s="304" t="s">
        <v>331</v>
      </c>
      <c r="E2">
        <v>1</v>
      </c>
    </row>
    <row r="3" spans="1:6" x14ac:dyDescent="0.25">
      <c r="A3" s="304" t="s">
        <v>14</v>
      </c>
      <c r="B3" s="304">
        <v>6655</v>
      </c>
      <c r="C3" s="306">
        <f>B3/$B$11</f>
        <v>0.2533404393010773</v>
      </c>
      <c r="D3" s="304" t="s">
        <v>331</v>
      </c>
      <c r="E3">
        <v>1</v>
      </c>
    </row>
    <row r="4" spans="1:6" x14ac:dyDescent="0.25">
      <c r="A4" s="304" t="s">
        <v>12</v>
      </c>
      <c r="B4" s="304">
        <v>3367</v>
      </c>
      <c r="C4" s="306">
        <f>B4/$B$11</f>
        <v>0.12817389318207772</v>
      </c>
      <c r="D4" s="304" t="s">
        <v>332</v>
      </c>
      <c r="E4">
        <v>2</v>
      </c>
    </row>
    <row r="5" spans="1:6" x14ac:dyDescent="0.25">
      <c r="A5" s="304" t="s">
        <v>164</v>
      </c>
      <c r="B5" s="304">
        <v>3074</v>
      </c>
      <c r="C5" s="306">
        <f>B5/$B$11</f>
        <v>0.11702006166964864</v>
      </c>
      <c r="D5" s="304" t="s">
        <v>331</v>
      </c>
      <c r="E5">
        <v>1</v>
      </c>
    </row>
    <row r="6" spans="1:6" x14ac:dyDescent="0.25">
      <c r="A6" s="304" t="s">
        <v>326</v>
      </c>
      <c r="B6" s="304">
        <v>1886</v>
      </c>
      <c r="C6" s="306">
        <f>B6/$B$11</f>
        <v>7.179565267044806E-2</v>
      </c>
      <c r="D6" s="304" t="s">
        <v>332</v>
      </c>
      <c r="E6">
        <v>2</v>
      </c>
    </row>
    <row r="7" spans="1:6" x14ac:dyDescent="0.25">
      <c r="A7" s="304" t="s">
        <v>18</v>
      </c>
      <c r="B7" s="304">
        <v>1372</v>
      </c>
      <c r="C7" s="306">
        <f>B7/$B$11</f>
        <v>5.2228862918268684E-2</v>
      </c>
      <c r="D7" s="304" t="s">
        <v>332</v>
      </c>
      <c r="E7">
        <v>2</v>
      </c>
    </row>
    <row r="8" spans="1:6" x14ac:dyDescent="0.25">
      <c r="A8" s="304" t="s">
        <v>52</v>
      </c>
      <c r="B8" s="304">
        <v>933</v>
      </c>
      <c r="C8" s="306">
        <f>B8/$B$11</f>
        <v>3.5517149491796414E-2</v>
      </c>
      <c r="D8" s="304" t="s">
        <v>332</v>
      </c>
      <c r="E8">
        <v>2</v>
      </c>
      <c r="F8" t="s">
        <v>361</v>
      </c>
    </row>
    <row r="9" spans="1:6" x14ac:dyDescent="0.25">
      <c r="A9" s="304" t="s">
        <v>327</v>
      </c>
      <c r="B9" s="304">
        <v>568</v>
      </c>
      <c r="C9" s="306">
        <f>B9/$B$11</f>
        <v>2.1622444706688494E-2</v>
      </c>
      <c r="D9" s="304" t="s">
        <v>332</v>
      </c>
      <c r="E9">
        <v>2</v>
      </c>
      <c r="F9" t="s">
        <v>362</v>
      </c>
    </row>
    <row r="10" spans="1:6" x14ac:dyDescent="0.25">
      <c r="A10" s="304" t="s">
        <v>325</v>
      </c>
      <c r="B10" s="304">
        <v>10</v>
      </c>
      <c r="C10" s="305">
        <f>B10/$B$11</f>
        <v>3.806768434276143E-4</v>
      </c>
      <c r="D10" s="304" t="s">
        <v>331</v>
      </c>
    </row>
    <row r="11" spans="1:6" x14ac:dyDescent="0.25">
      <c r="A11" s="304" t="s">
        <v>328</v>
      </c>
      <c r="B11" s="304">
        <v>26269</v>
      </c>
      <c r="C11" s="304"/>
    </row>
    <row r="14" spans="1:6" x14ac:dyDescent="0.25">
      <c r="A14" t="s">
        <v>363</v>
      </c>
      <c r="B14">
        <v>18.837</v>
      </c>
    </row>
    <row r="15" spans="1:6" x14ac:dyDescent="0.25">
      <c r="A15" t="s">
        <v>364</v>
      </c>
      <c r="B15">
        <f>B11/B14</f>
        <v>1394.5426554122207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E775B-DC18-4491-B8DB-5D774A6672BB}">
  <dimension ref="A1:CD68"/>
  <sheetViews>
    <sheetView topLeftCell="K1" workbookViewId="0">
      <selection activeCell="T3" sqref="T3"/>
    </sheetView>
  </sheetViews>
  <sheetFormatPr baseColWidth="10" defaultRowHeight="15" x14ac:dyDescent="0.25"/>
  <cols>
    <col min="1" max="1" width="11.42578125" style="309"/>
    <col min="2" max="2" width="16.42578125" style="309" bestFit="1" customWidth="1"/>
    <col min="3" max="4" width="11.42578125" style="309"/>
    <col min="5" max="5" width="10.5703125" style="309" customWidth="1"/>
    <col min="6" max="10" width="11.42578125" style="309"/>
    <col min="11" max="11" width="16.42578125" style="309" bestFit="1" customWidth="1"/>
    <col min="12" max="20" width="11.42578125" style="309"/>
    <col min="21" max="21" width="16.42578125" style="309" bestFit="1" customWidth="1"/>
    <col min="22" max="29" width="11.42578125" style="309"/>
    <col min="30" max="30" width="16.42578125" style="309" bestFit="1" customWidth="1"/>
    <col min="31" max="31" width="15.7109375" style="309" customWidth="1"/>
    <col min="32" max="38" width="11.42578125" style="309"/>
    <col min="39" max="39" width="16.42578125" style="309" customWidth="1"/>
    <col min="40" max="47" width="11.42578125" style="309"/>
    <col min="48" max="48" width="16.42578125" style="309" bestFit="1" customWidth="1"/>
    <col min="49" max="49" width="15.7109375" style="309" bestFit="1" customWidth="1"/>
    <col min="50" max="50" width="11.42578125" style="309"/>
    <col min="51" max="51" width="16.85546875" style="309" bestFit="1" customWidth="1"/>
    <col min="52" max="16384" width="11.42578125" style="309"/>
  </cols>
  <sheetData>
    <row r="1" spans="1:82" ht="23.25" x14ac:dyDescent="0.35">
      <c r="A1" s="308" t="s">
        <v>334</v>
      </c>
      <c r="B1" s="308"/>
      <c r="C1" s="308"/>
      <c r="D1" s="308"/>
      <c r="E1" s="308"/>
      <c r="F1" s="308"/>
      <c r="G1" s="308"/>
      <c r="H1" s="308"/>
      <c r="J1" s="308" t="s">
        <v>335</v>
      </c>
      <c r="K1" s="308"/>
      <c r="L1" s="308"/>
      <c r="M1" s="308"/>
      <c r="N1" s="308"/>
      <c r="O1" s="308"/>
      <c r="P1" s="308"/>
      <c r="Q1" s="308"/>
      <c r="T1" s="308" t="s">
        <v>336</v>
      </c>
      <c r="U1" s="308"/>
      <c r="V1" s="308"/>
      <c r="W1" s="308"/>
      <c r="X1" s="308"/>
      <c r="Y1" s="308"/>
      <c r="Z1" s="308"/>
      <c r="AA1" s="308"/>
      <c r="AC1" s="308" t="s">
        <v>337</v>
      </c>
      <c r="AD1" s="308"/>
      <c r="AE1" s="308"/>
      <c r="AF1" s="308"/>
      <c r="AG1" s="308"/>
      <c r="AH1" s="308"/>
      <c r="AI1" s="308"/>
      <c r="AJ1" s="308"/>
      <c r="AL1" s="308" t="s">
        <v>338</v>
      </c>
      <c r="AM1" s="308"/>
      <c r="AN1" s="308"/>
      <c r="AO1" s="308"/>
      <c r="AP1" s="308"/>
      <c r="AQ1" s="308"/>
      <c r="AR1" s="308"/>
      <c r="AS1" s="308"/>
      <c r="AU1" s="308" t="s">
        <v>339</v>
      </c>
      <c r="AV1" s="308"/>
      <c r="AW1" s="308"/>
      <c r="AX1" s="308"/>
      <c r="AY1" s="308"/>
      <c r="AZ1" s="308"/>
      <c r="BA1" s="308"/>
      <c r="BB1" s="308"/>
      <c r="BC1" s="308"/>
      <c r="BE1" s="308" t="s">
        <v>340</v>
      </c>
      <c r="BF1" s="308"/>
      <c r="BG1" s="308"/>
      <c r="BH1" s="308"/>
      <c r="BI1" s="308"/>
      <c r="BJ1" s="308"/>
      <c r="BK1" s="308"/>
      <c r="BL1" s="308"/>
      <c r="BN1" s="308" t="s">
        <v>341</v>
      </c>
      <c r="BO1" s="308"/>
      <c r="BP1" s="308"/>
      <c r="BQ1" s="308"/>
      <c r="BR1" s="308"/>
      <c r="BS1" s="308"/>
      <c r="BT1" s="308"/>
      <c r="BU1" s="308"/>
      <c r="BW1" s="308" t="s">
        <v>342</v>
      </c>
      <c r="BX1" s="308"/>
      <c r="BY1" s="308"/>
      <c r="BZ1" s="308"/>
      <c r="CA1" s="308"/>
      <c r="CB1" s="308"/>
      <c r="CC1" s="308"/>
      <c r="CD1" s="308"/>
    </row>
    <row r="2" spans="1:82" x14ac:dyDescent="0.25">
      <c r="BN2" s="310" t="s">
        <v>343</v>
      </c>
      <c r="BW2" s="310" t="s">
        <v>344</v>
      </c>
    </row>
    <row r="3" spans="1:82" ht="16.5" x14ac:dyDescent="0.25">
      <c r="A3" s="311" t="s">
        <v>345</v>
      </c>
      <c r="B3" s="311"/>
      <c r="C3" s="311"/>
      <c r="D3" s="311"/>
      <c r="E3" s="311"/>
      <c r="F3" s="311"/>
      <c r="G3" s="311"/>
      <c r="H3" s="311"/>
      <c r="J3" s="312" t="s">
        <v>346</v>
      </c>
      <c r="K3" s="312"/>
      <c r="L3" s="312"/>
      <c r="M3" s="312"/>
      <c r="N3" s="312"/>
      <c r="O3" s="312"/>
      <c r="P3" s="312"/>
      <c r="Q3" s="312"/>
      <c r="T3" s="312" t="s">
        <v>347</v>
      </c>
      <c r="U3" s="312"/>
      <c r="V3" s="312"/>
      <c r="W3" s="312"/>
      <c r="X3" s="312"/>
      <c r="Y3" s="312"/>
      <c r="Z3" s="312"/>
      <c r="AA3" s="312"/>
      <c r="AC3" s="312" t="s">
        <v>348</v>
      </c>
      <c r="AD3" s="312"/>
      <c r="AE3" s="312"/>
      <c r="AF3" s="312"/>
      <c r="AG3" s="312"/>
      <c r="AH3" s="312"/>
      <c r="AI3" s="312"/>
      <c r="AJ3" s="312"/>
      <c r="AL3" s="312" t="s">
        <v>347</v>
      </c>
      <c r="AM3" s="312"/>
      <c r="AN3" s="313"/>
      <c r="AO3" s="313"/>
      <c r="AP3" s="313"/>
      <c r="AR3" s="313"/>
      <c r="AS3" s="313"/>
      <c r="AU3" s="312" t="s">
        <v>349</v>
      </c>
      <c r="AV3" s="312"/>
      <c r="AW3" s="312"/>
      <c r="AX3" s="312"/>
      <c r="AY3" s="312"/>
      <c r="AZ3" s="312"/>
      <c r="BA3" s="312"/>
      <c r="BE3" s="312" t="s">
        <v>350</v>
      </c>
      <c r="BF3" s="312"/>
      <c r="BG3" s="312"/>
      <c r="BH3" s="312"/>
      <c r="BI3" s="312"/>
      <c r="BJ3" s="312"/>
      <c r="BN3" s="312" t="s">
        <v>351</v>
      </c>
      <c r="BO3" s="312"/>
      <c r="BP3" s="313"/>
      <c r="BQ3" s="313"/>
      <c r="BR3" s="313"/>
      <c r="BT3" s="313"/>
      <c r="BU3" s="313"/>
      <c r="BW3" s="311" t="s">
        <v>345</v>
      </c>
      <c r="BX3" s="311"/>
      <c r="BY3" s="311"/>
      <c r="BZ3" s="311"/>
      <c r="CA3" s="311"/>
      <c r="CB3" s="311"/>
      <c r="CC3" s="311"/>
      <c r="CD3" s="311"/>
    </row>
    <row r="4" spans="1:82" ht="16.5" x14ac:dyDescent="0.25">
      <c r="A4" s="314"/>
      <c r="B4" s="314"/>
      <c r="AL4" s="315"/>
      <c r="AM4" s="315"/>
      <c r="AN4" s="313"/>
      <c r="AO4" s="313"/>
      <c r="AP4" s="313"/>
      <c r="AR4" s="313"/>
      <c r="AS4" s="313"/>
      <c r="BN4" s="315"/>
      <c r="BO4" s="315"/>
      <c r="BP4" s="313"/>
      <c r="BQ4" s="313"/>
      <c r="BR4" s="313"/>
      <c r="BT4" s="313"/>
      <c r="BU4" s="313"/>
      <c r="BW4" s="314"/>
      <c r="BX4" s="314"/>
    </row>
    <row r="5" spans="1:82" ht="15" customHeight="1" x14ac:dyDescent="0.25">
      <c r="A5" s="309" t="s">
        <v>352</v>
      </c>
      <c r="J5" s="309" t="s">
        <v>352</v>
      </c>
      <c r="T5" s="309" t="s">
        <v>352</v>
      </c>
      <c r="AC5" s="309" t="s">
        <v>352</v>
      </c>
      <c r="AL5" s="309" t="s">
        <v>352</v>
      </c>
      <c r="AU5" s="309" t="s">
        <v>352</v>
      </c>
      <c r="BE5" s="309" t="s">
        <v>352</v>
      </c>
      <c r="BN5" s="309" t="s">
        <v>352</v>
      </c>
      <c r="BW5" s="309" t="s">
        <v>352</v>
      </c>
    </row>
    <row r="6" spans="1:82" ht="15" customHeight="1" x14ac:dyDescent="0.25">
      <c r="A6" s="316"/>
      <c r="B6" s="317" t="s">
        <v>185</v>
      </c>
      <c r="C6" s="318" t="s">
        <v>186</v>
      </c>
      <c r="D6" s="319"/>
      <c r="E6" s="320" t="s">
        <v>187</v>
      </c>
      <c r="F6" s="321"/>
      <c r="G6" s="321"/>
      <c r="H6" s="322"/>
      <c r="J6" s="316"/>
      <c r="K6" s="317" t="s">
        <v>185</v>
      </c>
      <c r="L6" s="318" t="s">
        <v>186</v>
      </c>
      <c r="M6" s="319"/>
      <c r="N6" s="320" t="s">
        <v>187</v>
      </c>
      <c r="O6" s="321"/>
      <c r="P6" s="321"/>
      <c r="Q6" s="322"/>
      <c r="T6" s="316"/>
      <c r="U6" s="317" t="s">
        <v>185</v>
      </c>
      <c r="V6" s="318" t="s">
        <v>186</v>
      </c>
      <c r="W6" s="319"/>
      <c r="X6" s="320" t="s">
        <v>187</v>
      </c>
      <c r="Y6" s="321"/>
      <c r="Z6" s="321"/>
      <c r="AA6" s="322"/>
      <c r="AC6" s="316"/>
      <c r="AD6" s="317" t="s">
        <v>185</v>
      </c>
      <c r="AE6" s="323"/>
      <c r="AF6" s="324"/>
      <c r="AG6" s="320" t="s">
        <v>187</v>
      </c>
      <c r="AH6" s="321"/>
      <c r="AI6" s="321"/>
      <c r="AJ6" s="322"/>
      <c r="AL6" s="316"/>
      <c r="AM6" s="317" t="s">
        <v>185</v>
      </c>
      <c r="AN6" s="325" t="s">
        <v>186</v>
      </c>
      <c r="AO6" s="324"/>
      <c r="AP6" s="326" t="s">
        <v>187</v>
      </c>
      <c r="AQ6" s="327"/>
      <c r="AR6" s="327"/>
      <c r="AS6" s="328"/>
      <c r="AU6" s="316"/>
      <c r="AV6" s="317" t="s">
        <v>185</v>
      </c>
      <c r="AW6" s="317" t="s">
        <v>353</v>
      </c>
      <c r="AX6" s="325" t="s">
        <v>186</v>
      </c>
      <c r="AY6" s="324"/>
      <c r="AZ6" s="326" t="s">
        <v>187</v>
      </c>
      <c r="BA6" s="327"/>
      <c r="BB6" s="327"/>
      <c r="BC6" s="328"/>
      <c r="BE6" s="316"/>
      <c r="BF6" s="317" t="s">
        <v>185</v>
      </c>
      <c r="BG6" s="325" t="s">
        <v>186</v>
      </c>
      <c r="BH6" s="324"/>
      <c r="BI6" s="326" t="s">
        <v>187</v>
      </c>
      <c r="BJ6" s="327"/>
      <c r="BK6" s="327"/>
      <c r="BL6" s="328"/>
      <c r="BN6" s="316"/>
      <c r="BO6" s="317" t="s">
        <v>185</v>
      </c>
      <c r="BP6" s="325" t="s">
        <v>186</v>
      </c>
      <c r="BQ6" s="324"/>
      <c r="BR6" s="326" t="s">
        <v>187</v>
      </c>
      <c r="BS6" s="327"/>
      <c r="BT6" s="327"/>
      <c r="BU6" s="328"/>
      <c r="BW6" s="316"/>
      <c r="BX6" s="317" t="s">
        <v>185</v>
      </c>
      <c r="BY6" s="318" t="s">
        <v>186</v>
      </c>
      <c r="BZ6" s="319"/>
      <c r="CA6" s="320" t="s">
        <v>187</v>
      </c>
      <c r="CB6" s="321"/>
      <c r="CC6" s="321"/>
      <c r="CD6" s="322"/>
    </row>
    <row r="7" spans="1:82" ht="75" x14ac:dyDescent="0.25">
      <c r="A7" s="329" t="s">
        <v>180</v>
      </c>
      <c r="B7" s="330" t="s">
        <v>354</v>
      </c>
      <c r="C7" s="330" t="s">
        <v>188</v>
      </c>
      <c r="D7" s="330" t="s">
        <v>251</v>
      </c>
      <c r="E7" s="329" t="s">
        <v>183</v>
      </c>
      <c r="F7" s="329" t="s">
        <v>181</v>
      </c>
      <c r="G7" s="329" t="s">
        <v>184</v>
      </c>
      <c r="H7" s="329" t="s">
        <v>182</v>
      </c>
      <c r="J7" s="329" t="s">
        <v>180</v>
      </c>
      <c r="K7" s="330" t="s">
        <v>354</v>
      </c>
      <c r="L7" s="330" t="s">
        <v>188</v>
      </c>
      <c r="M7" s="330" t="s">
        <v>251</v>
      </c>
      <c r="N7" s="329" t="s">
        <v>183</v>
      </c>
      <c r="O7" s="329" t="s">
        <v>181</v>
      </c>
      <c r="P7" s="329" t="s">
        <v>184</v>
      </c>
      <c r="Q7" s="329" t="s">
        <v>182</v>
      </c>
      <c r="T7" s="329" t="s">
        <v>180</v>
      </c>
      <c r="U7" s="330" t="s">
        <v>354</v>
      </c>
      <c r="V7" s="330" t="s">
        <v>188</v>
      </c>
      <c r="W7" s="330" t="s">
        <v>251</v>
      </c>
      <c r="X7" s="329" t="s">
        <v>183</v>
      </c>
      <c r="Y7" s="329" t="s">
        <v>181</v>
      </c>
      <c r="Z7" s="329" t="s">
        <v>184</v>
      </c>
      <c r="AA7" s="329" t="s">
        <v>182</v>
      </c>
      <c r="AC7" s="329" t="s">
        <v>180</v>
      </c>
      <c r="AD7" s="330" t="s">
        <v>354</v>
      </c>
      <c r="AE7" s="330" t="s">
        <v>188</v>
      </c>
      <c r="AF7" s="330" t="s">
        <v>251</v>
      </c>
      <c r="AG7" s="329" t="s">
        <v>183</v>
      </c>
      <c r="AH7" s="329" t="s">
        <v>181</v>
      </c>
      <c r="AI7" s="329" t="s">
        <v>184</v>
      </c>
      <c r="AJ7" s="329" t="s">
        <v>182</v>
      </c>
      <c r="AL7" s="329" t="s">
        <v>180</v>
      </c>
      <c r="AM7" s="330" t="s">
        <v>354</v>
      </c>
      <c r="AN7" s="330" t="s">
        <v>188</v>
      </c>
      <c r="AO7" s="330" t="s">
        <v>251</v>
      </c>
      <c r="AP7" s="329" t="s">
        <v>183</v>
      </c>
      <c r="AQ7" s="329" t="s">
        <v>181</v>
      </c>
      <c r="AR7" s="329" t="s">
        <v>184</v>
      </c>
      <c r="AS7" s="329" t="s">
        <v>182</v>
      </c>
      <c r="AU7" s="329" t="s">
        <v>180</v>
      </c>
      <c r="AV7" s="330" t="s">
        <v>354</v>
      </c>
      <c r="AW7" s="330" t="s">
        <v>355</v>
      </c>
      <c r="AX7" s="330" t="s">
        <v>188</v>
      </c>
      <c r="AY7" s="330" t="s">
        <v>251</v>
      </c>
      <c r="AZ7" s="329" t="s">
        <v>183</v>
      </c>
      <c r="BA7" s="329" t="s">
        <v>181</v>
      </c>
      <c r="BB7" s="329" t="s">
        <v>184</v>
      </c>
      <c r="BC7" s="329" t="s">
        <v>182</v>
      </c>
      <c r="BE7" s="329" t="s">
        <v>180</v>
      </c>
      <c r="BF7" s="330" t="s">
        <v>354</v>
      </c>
      <c r="BG7" s="330" t="s">
        <v>188</v>
      </c>
      <c r="BH7" s="330" t="s">
        <v>251</v>
      </c>
      <c r="BI7" s="329" t="s">
        <v>183</v>
      </c>
      <c r="BJ7" s="329" t="s">
        <v>181</v>
      </c>
      <c r="BK7" s="329" t="s">
        <v>184</v>
      </c>
      <c r="BL7" s="329" t="s">
        <v>182</v>
      </c>
      <c r="BN7" s="329" t="s">
        <v>180</v>
      </c>
      <c r="BO7" s="330" t="s">
        <v>354</v>
      </c>
      <c r="BP7" s="330" t="s">
        <v>188</v>
      </c>
      <c r="BQ7" s="330" t="s">
        <v>251</v>
      </c>
      <c r="BR7" s="329" t="s">
        <v>183</v>
      </c>
      <c r="BS7" s="329" t="s">
        <v>181</v>
      </c>
      <c r="BT7" s="329" t="s">
        <v>184</v>
      </c>
      <c r="BU7" s="329" t="s">
        <v>182</v>
      </c>
      <c r="BW7" s="329" t="s">
        <v>180</v>
      </c>
      <c r="BX7" s="330" t="s">
        <v>354</v>
      </c>
      <c r="BY7" s="330" t="s">
        <v>188</v>
      </c>
      <c r="BZ7" s="330" t="s">
        <v>251</v>
      </c>
      <c r="CA7" s="329" t="s">
        <v>183</v>
      </c>
      <c r="CB7" s="329" t="s">
        <v>181</v>
      </c>
      <c r="CC7" s="329" t="s">
        <v>184</v>
      </c>
      <c r="CD7" s="329" t="s">
        <v>182</v>
      </c>
    </row>
    <row r="8" spans="1:82" ht="15" customHeight="1" x14ac:dyDescent="0.25">
      <c r="A8" s="331">
        <v>36</v>
      </c>
      <c r="B8" s="331">
        <v>130</v>
      </c>
      <c r="C8" s="332">
        <v>1</v>
      </c>
      <c r="D8" s="332">
        <v>36</v>
      </c>
      <c r="E8" s="333">
        <v>0</v>
      </c>
      <c r="F8" s="333">
        <v>0</v>
      </c>
      <c r="G8" s="333">
        <v>0</v>
      </c>
      <c r="H8" s="333">
        <v>1</v>
      </c>
      <c r="J8" s="334">
        <v>12</v>
      </c>
      <c r="K8" s="334">
        <v>46</v>
      </c>
      <c r="L8" s="335">
        <v>0</v>
      </c>
      <c r="M8" s="336">
        <v>0</v>
      </c>
      <c r="N8" s="333">
        <v>0</v>
      </c>
      <c r="O8" s="333">
        <f>0.56</f>
        <v>0.56000000000000005</v>
      </c>
      <c r="P8" s="333">
        <f>0.44</f>
        <v>0.44</v>
      </c>
      <c r="Q8" s="333">
        <v>0</v>
      </c>
      <c r="T8" s="334">
        <v>15</v>
      </c>
      <c r="U8" s="334">
        <v>162</v>
      </c>
      <c r="V8" s="335">
        <v>0</v>
      </c>
      <c r="W8" s="336">
        <v>0</v>
      </c>
      <c r="X8" s="333">
        <v>0</v>
      </c>
      <c r="Y8" s="333">
        <f>0.56</f>
        <v>0.56000000000000005</v>
      </c>
      <c r="Z8" s="333">
        <f>0.44</f>
        <v>0.44</v>
      </c>
      <c r="AA8" s="333">
        <v>0</v>
      </c>
      <c r="AC8" s="334">
        <v>12</v>
      </c>
      <c r="AD8" s="334">
        <v>103</v>
      </c>
      <c r="AE8" s="337">
        <v>0</v>
      </c>
      <c r="AF8" s="334">
        <v>0</v>
      </c>
      <c r="AG8" s="333">
        <v>0</v>
      </c>
      <c r="AH8" s="333">
        <f>0.56</f>
        <v>0.56000000000000005</v>
      </c>
      <c r="AI8" s="333">
        <f>0.44</f>
        <v>0.44</v>
      </c>
      <c r="AJ8" s="333">
        <v>0</v>
      </c>
      <c r="AL8" s="334">
        <v>15</v>
      </c>
      <c r="AM8" s="338">
        <v>136.77875</v>
      </c>
      <c r="AN8" s="332">
        <v>1</v>
      </c>
      <c r="AO8" s="338">
        <v>20</v>
      </c>
      <c r="AP8" s="333">
        <v>0</v>
      </c>
      <c r="AQ8" s="333">
        <v>0</v>
      </c>
      <c r="AR8" s="333">
        <v>0</v>
      </c>
      <c r="AS8" s="333">
        <v>1</v>
      </c>
      <c r="AU8" s="334">
        <v>20</v>
      </c>
      <c r="AV8" s="338">
        <v>158</v>
      </c>
      <c r="AW8" s="338">
        <v>126.4</v>
      </c>
      <c r="AX8" s="332">
        <v>1</v>
      </c>
      <c r="AY8" s="338">
        <v>31.6</v>
      </c>
      <c r="AZ8" s="333">
        <v>0</v>
      </c>
      <c r="BA8" s="333">
        <v>0.56000000000000005</v>
      </c>
      <c r="BB8" s="333">
        <v>0.44</v>
      </c>
      <c r="BC8" s="333">
        <v>0</v>
      </c>
      <c r="BE8" s="334">
        <v>17</v>
      </c>
      <c r="BF8" s="338">
        <v>118</v>
      </c>
      <c r="BG8" s="332">
        <v>1</v>
      </c>
      <c r="BH8" s="338">
        <v>15</v>
      </c>
      <c r="BI8" s="333">
        <v>0</v>
      </c>
      <c r="BJ8" s="333">
        <v>0.56000000000000005</v>
      </c>
      <c r="BK8" s="333">
        <v>0.44</v>
      </c>
      <c r="BL8" s="333">
        <v>0</v>
      </c>
      <c r="BN8" s="334">
        <v>15</v>
      </c>
      <c r="BO8" s="338">
        <v>113.423</v>
      </c>
      <c r="BP8" s="332">
        <v>1</v>
      </c>
      <c r="BQ8" s="338">
        <v>20</v>
      </c>
      <c r="BR8" s="333">
        <v>0</v>
      </c>
      <c r="BS8" s="333">
        <v>0</v>
      </c>
      <c r="BT8" s="333">
        <v>0</v>
      </c>
      <c r="BU8" s="333">
        <v>1</v>
      </c>
      <c r="BW8" s="331">
        <v>36</v>
      </c>
      <c r="BX8" s="331">
        <v>104</v>
      </c>
      <c r="BY8" s="332">
        <v>1</v>
      </c>
      <c r="BZ8" s="332">
        <v>28.8</v>
      </c>
      <c r="CA8" s="333">
        <v>0</v>
      </c>
      <c r="CB8" s="333">
        <v>0</v>
      </c>
      <c r="CC8" s="333">
        <v>0</v>
      </c>
      <c r="CD8" s="333">
        <v>1</v>
      </c>
    </row>
    <row r="9" spans="1:82" ht="15" customHeight="1" x14ac:dyDescent="0.25">
      <c r="A9" s="331">
        <v>42</v>
      </c>
      <c r="B9" s="331">
        <v>148</v>
      </c>
      <c r="C9" s="332">
        <v>2</v>
      </c>
      <c r="D9" s="332">
        <v>41</v>
      </c>
      <c r="E9" s="333">
        <v>0</v>
      </c>
      <c r="F9" s="333">
        <v>0</v>
      </c>
      <c r="G9" s="333">
        <v>0</v>
      </c>
      <c r="H9" s="333">
        <v>1</v>
      </c>
      <c r="J9" s="334">
        <v>16</v>
      </c>
      <c r="K9" s="334">
        <v>107</v>
      </c>
      <c r="L9" s="332">
        <v>1</v>
      </c>
      <c r="M9" s="334">
        <v>25</v>
      </c>
      <c r="N9" s="333">
        <v>0</v>
      </c>
      <c r="O9" s="333">
        <f>0.56</f>
        <v>0.56000000000000005</v>
      </c>
      <c r="P9" s="333">
        <v>0.44</v>
      </c>
      <c r="Q9" s="333">
        <v>0</v>
      </c>
      <c r="T9" s="334">
        <v>20</v>
      </c>
      <c r="U9" s="334">
        <v>303</v>
      </c>
      <c r="V9" s="332">
        <v>1</v>
      </c>
      <c r="W9" s="334">
        <v>43</v>
      </c>
      <c r="X9" s="333">
        <v>0</v>
      </c>
      <c r="Y9" s="333">
        <f>0.56</f>
        <v>0.56000000000000005</v>
      </c>
      <c r="Z9" s="333">
        <v>0.44</v>
      </c>
      <c r="AA9" s="333">
        <v>0</v>
      </c>
      <c r="AC9" s="334">
        <v>18</v>
      </c>
      <c r="AD9" s="334">
        <v>262</v>
      </c>
      <c r="AE9" s="339">
        <v>0</v>
      </c>
      <c r="AF9" s="334">
        <v>0</v>
      </c>
      <c r="AG9" s="333">
        <v>0</v>
      </c>
      <c r="AH9" s="333">
        <f>0.56</f>
        <v>0.56000000000000005</v>
      </c>
      <c r="AI9" s="333">
        <v>0.44</v>
      </c>
      <c r="AJ9" s="333">
        <v>0</v>
      </c>
      <c r="AL9" s="334">
        <v>25</v>
      </c>
      <c r="AM9" s="338">
        <v>254.32675</v>
      </c>
      <c r="AN9" s="332">
        <v>2</v>
      </c>
      <c r="AO9" s="338">
        <v>42.387791666666672</v>
      </c>
      <c r="AP9" s="333">
        <v>0.7</v>
      </c>
      <c r="AQ9" s="333">
        <v>0</v>
      </c>
      <c r="AR9" s="333">
        <v>0</v>
      </c>
      <c r="AS9" s="333">
        <v>0.3</v>
      </c>
      <c r="AU9" s="334">
        <v>30</v>
      </c>
      <c r="AV9" s="338">
        <v>223.66666666666666</v>
      </c>
      <c r="AW9" s="338">
        <v>182</v>
      </c>
      <c r="AX9" s="332">
        <v>2</v>
      </c>
      <c r="AY9" s="338">
        <v>36.4</v>
      </c>
      <c r="AZ9" s="333">
        <v>0.7</v>
      </c>
      <c r="BA9" s="333">
        <v>0.16800000000000001</v>
      </c>
      <c r="BB9" s="333">
        <v>0.13200000000000001</v>
      </c>
      <c r="BC9" s="333">
        <v>0</v>
      </c>
      <c r="BE9" s="334">
        <v>20</v>
      </c>
      <c r="BF9" s="338">
        <v>137</v>
      </c>
      <c r="BG9" s="332">
        <v>2</v>
      </c>
      <c r="BH9" s="338">
        <v>15</v>
      </c>
      <c r="BI9" s="333">
        <v>0.7</v>
      </c>
      <c r="BJ9" s="333">
        <v>0.16800000000000001</v>
      </c>
      <c r="BK9" s="333">
        <v>0.13200000000000001</v>
      </c>
      <c r="BL9" s="333">
        <v>0</v>
      </c>
      <c r="BN9" s="334">
        <v>25</v>
      </c>
      <c r="BO9" s="338">
        <v>203.46140000000003</v>
      </c>
      <c r="BP9" s="332">
        <v>2</v>
      </c>
      <c r="BQ9" s="338">
        <v>33.910233333333338</v>
      </c>
      <c r="BR9" s="333">
        <v>0.7</v>
      </c>
      <c r="BS9" s="333">
        <v>0</v>
      </c>
      <c r="BT9" s="333">
        <v>0</v>
      </c>
      <c r="BU9" s="333">
        <v>0.3</v>
      </c>
      <c r="BW9" s="331">
        <v>42</v>
      </c>
      <c r="BX9" s="331">
        <v>118.4</v>
      </c>
      <c r="BY9" s="332">
        <v>2</v>
      </c>
      <c r="BZ9" s="332">
        <v>32.800000000000004</v>
      </c>
      <c r="CA9" s="333">
        <v>0</v>
      </c>
      <c r="CB9" s="333">
        <v>0</v>
      </c>
      <c r="CC9" s="333">
        <v>0</v>
      </c>
      <c r="CD9" s="333">
        <v>1</v>
      </c>
    </row>
    <row r="10" spans="1:82" x14ac:dyDescent="0.25">
      <c r="A10" s="331">
        <v>48</v>
      </c>
      <c r="B10" s="331">
        <v>157</v>
      </c>
      <c r="C10" s="332">
        <v>3</v>
      </c>
      <c r="D10" s="332">
        <v>41</v>
      </c>
      <c r="E10" s="333">
        <v>0</v>
      </c>
      <c r="F10" s="333">
        <v>0</v>
      </c>
      <c r="G10" s="333">
        <v>0</v>
      </c>
      <c r="H10" s="333">
        <v>1</v>
      </c>
      <c r="J10" s="334">
        <v>20</v>
      </c>
      <c r="K10" s="334">
        <v>151</v>
      </c>
      <c r="L10" s="332">
        <v>2</v>
      </c>
      <c r="M10" s="334">
        <v>34</v>
      </c>
      <c r="N10" s="333">
        <v>0.7</v>
      </c>
      <c r="O10" s="333">
        <f>0.3*0.56</f>
        <v>0.16800000000000001</v>
      </c>
      <c r="P10" s="333">
        <f>0.3*0.44</f>
        <v>0.13200000000000001</v>
      </c>
      <c r="Q10" s="333">
        <v>0</v>
      </c>
      <c r="T10" s="334">
        <v>25</v>
      </c>
      <c r="U10" s="334">
        <v>419</v>
      </c>
      <c r="V10" s="332">
        <v>2</v>
      </c>
      <c r="W10" s="334">
        <v>60</v>
      </c>
      <c r="X10" s="333">
        <v>0.7</v>
      </c>
      <c r="Y10" s="333">
        <f>0.3*0.56</f>
        <v>0.16800000000000001</v>
      </c>
      <c r="Z10" s="333">
        <f>0.3*0.44</f>
        <v>0.13200000000000001</v>
      </c>
      <c r="AA10" s="333">
        <v>0</v>
      </c>
      <c r="AC10" s="334">
        <v>24</v>
      </c>
      <c r="AD10" s="334">
        <v>423</v>
      </c>
      <c r="AE10" s="339">
        <v>0</v>
      </c>
      <c r="AF10" s="334">
        <v>0</v>
      </c>
      <c r="AG10" s="333">
        <v>0.7</v>
      </c>
      <c r="AH10" s="333">
        <f>0.3*0.56</f>
        <v>0.16800000000000001</v>
      </c>
      <c r="AI10" s="333">
        <f>0.3*0.44</f>
        <v>0.13200000000000001</v>
      </c>
      <c r="AJ10" s="333">
        <v>0</v>
      </c>
      <c r="AL10" s="334">
        <v>35</v>
      </c>
      <c r="AM10" s="338">
        <v>384.7869583333333</v>
      </c>
      <c r="AN10" s="332">
        <v>3</v>
      </c>
      <c r="AO10" s="338">
        <v>64.131159722222222</v>
      </c>
      <c r="AP10" s="333">
        <v>0.7</v>
      </c>
      <c r="AQ10" s="333">
        <v>0</v>
      </c>
      <c r="AR10" s="333">
        <v>0</v>
      </c>
      <c r="AS10" s="333">
        <v>0.3</v>
      </c>
      <c r="AU10" s="334">
        <v>40</v>
      </c>
      <c r="AV10" s="338">
        <v>312.72222222222223</v>
      </c>
      <c r="AW10" s="338">
        <v>261.33333333333337</v>
      </c>
      <c r="AX10" s="332">
        <v>3</v>
      </c>
      <c r="AY10" s="338">
        <v>52.26666666666668</v>
      </c>
      <c r="AZ10" s="333">
        <v>0.7</v>
      </c>
      <c r="BA10" s="333">
        <v>0.16800000000000001</v>
      </c>
      <c r="BB10" s="333">
        <v>0.13200000000000001</v>
      </c>
      <c r="BC10" s="333">
        <v>0</v>
      </c>
      <c r="BE10" s="334">
        <v>25</v>
      </c>
      <c r="BF10" s="338">
        <v>204</v>
      </c>
      <c r="BG10" s="332">
        <v>3</v>
      </c>
      <c r="BH10" s="338">
        <v>36</v>
      </c>
      <c r="BI10" s="333">
        <v>0.7</v>
      </c>
      <c r="BJ10" s="333">
        <v>0.16800000000000001</v>
      </c>
      <c r="BK10" s="333">
        <v>0.13200000000000001</v>
      </c>
      <c r="BL10" s="333">
        <v>0</v>
      </c>
      <c r="BN10" s="334">
        <v>35</v>
      </c>
      <c r="BO10" s="338">
        <v>307.82956666666666</v>
      </c>
      <c r="BP10" s="332">
        <v>3</v>
      </c>
      <c r="BQ10" s="338">
        <v>51.304927777777777</v>
      </c>
      <c r="BR10" s="333">
        <v>0.7</v>
      </c>
      <c r="BS10" s="333">
        <v>0</v>
      </c>
      <c r="BT10" s="333">
        <v>0</v>
      </c>
      <c r="BU10" s="333">
        <v>0.3</v>
      </c>
      <c r="BW10" s="331">
        <v>48</v>
      </c>
      <c r="BX10" s="331">
        <v>125.60000000000002</v>
      </c>
      <c r="BY10" s="332">
        <v>3</v>
      </c>
      <c r="BZ10" s="332">
        <v>32.800000000000004</v>
      </c>
      <c r="CA10" s="333">
        <v>0</v>
      </c>
      <c r="CB10" s="333">
        <v>0</v>
      </c>
      <c r="CC10" s="333">
        <v>0</v>
      </c>
      <c r="CD10" s="333">
        <v>1</v>
      </c>
    </row>
    <row r="11" spans="1:82" x14ac:dyDescent="0.25">
      <c r="A11" s="331">
        <v>54</v>
      </c>
      <c r="B11" s="331">
        <v>163</v>
      </c>
      <c r="C11" s="332">
        <v>4</v>
      </c>
      <c r="D11" s="332">
        <v>31</v>
      </c>
      <c r="E11" s="333">
        <v>0.7</v>
      </c>
      <c r="F11" s="333">
        <v>0</v>
      </c>
      <c r="G11" s="333">
        <v>0</v>
      </c>
      <c r="H11" s="333">
        <v>0.3</v>
      </c>
      <c r="J11" s="334">
        <v>24</v>
      </c>
      <c r="K11" s="334">
        <v>197</v>
      </c>
      <c r="L11" s="332">
        <v>3</v>
      </c>
      <c r="M11" s="334">
        <v>43</v>
      </c>
      <c r="N11" s="333">
        <v>0.7</v>
      </c>
      <c r="O11" s="333">
        <f t="shared" ref="O11:O17" si="0">0.3*0.56</f>
        <v>0.16800000000000001</v>
      </c>
      <c r="P11" s="333">
        <f t="shared" ref="P11:P17" si="1">0.3*0.44</f>
        <v>0.13200000000000001</v>
      </c>
      <c r="Q11" s="333">
        <v>0</v>
      </c>
      <c r="T11" s="334">
        <v>30</v>
      </c>
      <c r="U11" s="334">
        <v>524</v>
      </c>
      <c r="V11" s="332">
        <v>3</v>
      </c>
      <c r="W11" s="334">
        <v>90</v>
      </c>
      <c r="X11" s="333">
        <v>0.7</v>
      </c>
      <c r="Y11" s="333">
        <f t="shared" ref="Y11:Y18" si="2">0.3*0.56</f>
        <v>0.16800000000000001</v>
      </c>
      <c r="Z11" s="333">
        <f t="shared" ref="Z11:Z18" si="3">0.3*0.44</f>
        <v>0.13200000000000001</v>
      </c>
      <c r="AA11" s="333">
        <v>0</v>
      </c>
      <c r="AC11" s="334">
        <v>30</v>
      </c>
      <c r="AD11" s="334">
        <v>583</v>
      </c>
      <c r="AE11" s="339">
        <v>1</v>
      </c>
      <c r="AF11" s="334">
        <v>107</v>
      </c>
      <c r="AG11" s="333">
        <v>0.7</v>
      </c>
      <c r="AH11" s="333">
        <f t="shared" ref="AH11:AH19" si="4">0.3*0.56</f>
        <v>0.16800000000000001</v>
      </c>
      <c r="AI11" s="333">
        <f t="shared" ref="AI11:AI19" si="5">0.3*0.44</f>
        <v>0.13200000000000001</v>
      </c>
      <c r="AJ11" s="333">
        <v>0</v>
      </c>
      <c r="AL11" s="334">
        <v>45</v>
      </c>
      <c r="AM11" s="338">
        <v>528.80379861111123</v>
      </c>
      <c r="AN11" s="332">
        <v>4</v>
      </c>
      <c r="AO11" s="338">
        <v>88.133966435185201</v>
      </c>
      <c r="AP11" s="333">
        <v>0.9</v>
      </c>
      <c r="AQ11" s="333">
        <v>0</v>
      </c>
      <c r="AR11" s="333">
        <v>0</v>
      </c>
      <c r="AS11" s="333">
        <v>0.1</v>
      </c>
      <c r="AU11" s="334">
        <v>50</v>
      </c>
      <c r="AV11" s="338">
        <v>412.87962962962962</v>
      </c>
      <c r="AW11" s="338">
        <v>343.94444444444446</v>
      </c>
      <c r="AX11" s="332">
        <v>4</v>
      </c>
      <c r="AY11" s="338">
        <v>68.788888888888891</v>
      </c>
      <c r="AZ11" s="333">
        <v>0.7</v>
      </c>
      <c r="BA11" s="333">
        <v>0.16800000000000001</v>
      </c>
      <c r="BB11" s="333">
        <v>0.13200000000000001</v>
      </c>
      <c r="BC11" s="333">
        <v>0</v>
      </c>
      <c r="BE11" s="334">
        <v>30</v>
      </c>
      <c r="BF11" s="338">
        <v>256</v>
      </c>
      <c r="BG11" s="332">
        <v>4</v>
      </c>
      <c r="BH11" s="338">
        <v>54</v>
      </c>
      <c r="BI11" s="333">
        <v>0.7</v>
      </c>
      <c r="BJ11" s="333">
        <v>0.16800000000000001</v>
      </c>
      <c r="BK11" s="333">
        <v>0.13200000000000001</v>
      </c>
      <c r="BL11" s="333">
        <v>0</v>
      </c>
      <c r="BN11" s="334">
        <v>45</v>
      </c>
      <c r="BO11" s="338">
        <v>423.04303888888887</v>
      </c>
      <c r="BP11" s="332">
        <v>4</v>
      </c>
      <c r="BQ11" s="338">
        <v>70.507173148148155</v>
      </c>
      <c r="BR11" s="333">
        <v>0.9</v>
      </c>
      <c r="BS11" s="333">
        <v>0</v>
      </c>
      <c r="BT11" s="333">
        <v>0</v>
      </c>
      <c r="BU11" s="333">
        <v>0.1</v>
      </c>
      <c r="BW11" s="331">
        <v>54</v>
      </c>
      <c r="BX11" s="331">
        <v>130.4</v>
      </c>
      <c r="BY11" s="332">
        <v>4</v>
      </c>
      <c r="BZ11" s="332">
        <v>24.8</v>
      </c>
      <c r="CA11" s="333">
        <v>0.7</v>
      </c>
      <c r="CB11" s="333">
        <v>0</v>
      </c>
      <c r="CC11" s="333">
        <v>0</v>
      </c>
      <c r="CD11" s="333">
        <v>0.3</v>
      </c>
    </row>
    <row r="12" spans="1:82" x14ac:dyDescent="0.25">
      <c r="A12" s="331">
        <v>62</v>
      </c>
      <c r="B12" s="331">
        <v>194</v>
      </c>
      <c r="C12" s="332">
        <v>5</v>
      </c>
      <c r="D12" s="332">
        <v>39</v>
      </c>
      <c r="E12" s="333">
        <v>0.7</v>
      </c>
      <c r="F12" s="333">
        <v>0</v>
      </c>
      <c r="G12" s="333">
        <v>0</v>
      </c>
      <c r="H12" s="333">
        <v>0.3</v>
      </c>
      <c r="J12" s="334">
        <v>28</v>
      </c>
      <c r="K12" s="334">
        <v>233</v>
      </c>
      <c r="L12" s="332">
        <v>4</v>
      </c>
      <c r="M12" s="334">
        <v>41</v>
      </c>
      <c r="N12" s="333">
        <v>0.7</v>
      </c>
      <c r="O12" s="333">
        <f t="shared" si="0"/>
        <v>0.16800000000000001</v>
      </c>
      <c r="P12" s="333">
        <f t="shared" si="1"/>
        <v>0.13200000000000001</v>
      </c>
      <c r="Q12" s="333">
        <v>0</v>
      </c>
      <c r="T12" s="334">
        <v>35</v>
      </c>
      <c r="U12" s="334">
        <v>576</v>
      </c>
      <c r="V12" s="332">
        <v>4</v>
      </c>
      <c r="W12" s="334">
        <v>72</v>
      </c>
      <c r="X12" s="333">
        <v>0.7</v>
      </c>
      <c r="Y12" s="333">
        <f t="shared" si="2"/>
        <v>0.16800000000000001</v>
      </c>
      <c r="Z12" s="333">
        <f t="shared" si="3"/>
        <v>0.13200000000000001</v>
      </c>
      <c r="AA12" s="333">
        <v>0</v>
      </c>
      <c r="AC12" s="334">
        <v>36</v>
      </c>
      <c r="AD12" s="334">
        <v>621</v>
      </c>
      <c r="AE12" s="339">
        <v>2</v>
      </c>
      <c r="AF12" s="334">
        <v>119</v>
      </c>
      <c r="AG12" s="333">
        <v>0.7</v>
      </c>
      <c r="AH12" s="333">
        <f t="shared" si="4"/>
        <v>0.16800000000000001</v>
      </c>
      <c r="AI12" s="333">
        <f t="shared" si="5"/>
        <v>0.13200000000000001</v>
      </c>
      <c r="AJ12" s="333">
        <v>0</v>
      </c>
      <c r="AL12" s="334">
        <v>55</v>
      </c>
      <c r="AM12" s="338">
        <v>686.47258217592594</v>
      </c>
      <c r="AN12" s="332" t="s">
        <v>333</v>
      </c>
      <c r="AO12" s="338">
        <v>686.47258217592594</v>
      </c>
      <c r="AP12" s="333">
        <v>0.9</v>
      </c>
      <c r="AQ12" s="333">
        <v>0</v>
      </c>
      <c r="AR12" s="333">
        <v>0</v>
      </c>
      <c r="AS12" s="333">
        <v>0.1</v>
      </c>
      <c r="AU12" s="334">
        <v>60</v>
      </c>
      <c r="AV12" s="338">
        <v>531.18672839506189</v>
      </c>
      <c r="AW12" s="338">
        <v>442.67592592592592</v>
      </c>
      <c r="AX12" s="332">
        <v>5</v>
      </c>
      <c r="AY12" s="338">
        <v>88.535185185185185</v>
      </c>
      <c r="AZ12" s="333">
        <v>0.7</v>
      </c>
      <c r="BA12" s="333">
        <v>0.16800000000000001</v>
      </c>
      <c r="BB12" s="333">
        <v>0.13200000000000001</v>
      </c>
      <c r="BC12" s="333">
        <v>0</v>
      </c>
      <c r="BE12" s="334">
        <v>35</v>
      </c>
      <c r="BF12" s="338">
        <v>299</v>
      </c>
      <c r="BG12" s="332">
        <v>5</v>
      </c>
      <c r="BH12" s="338">
        <v>55</v>
      </c>
      <c r="BI12" s="333">
        <v>0.7</v>
      </c>
      <c r="BJ12" s="333">
        <v>0.16800000000000001</v>
      </c>
      <c r="BK12" s="333">
        <v>0.13200000000000001</v>
      </c>
      <c r="BL12" s="333">
        <v>0</v>
      </c>
      <c r="BN12" s="334">
        <v>55</v>
      </c>
      <c r="BO12" s="338">
        <v>545.97886574074084</v>
      </c>
      <c r="BP12" s="332" t="s">
        <v>333</v>
      </c>
      <c r="BQ12" s="338">
        <v>545.97886574074084</v>
      </c>
      <c r="BR12" s="333">
        <v>0.9</v>
      </c>
      <c r="BS12" s="333">
        <v>0</v>
      </c>
      <c r="BT12" s="333">
        <v>0</v>
      </c>
      <c r="BU12" s="333">
        <v>0.1</v>
      </c>
      <c r="BW12" s="331">
        <v>62</v>
      </c>
      <c r="BX12" s="331">
        <v>155.19999999999999</v>
      </c>
      <c r="BY12" s="332">
        <v>5</v>
      </c>
      <c r="BZ12" s="332">
        <v>31.200000000000003</v>
      </c>
      <c r="CA12" s="333">
        <v>0.7</v>
      </c>
      <c r="CB12" s="333">
        <v>0</v>
      </c>
      <c r="CC12" s="333">
        <v>0</v>
      </c>
      <c r="CD12" s="333">
        <v>0.3</v>
      </c>
    </row>
    <row r="13" spans="1:82" x14ac:dyDescent="0.25">
      <c r="A13" s="331">
        <v>70</v>
      </c>
      <c r="B13" s="331">
        <v>220</v>
      </c>
      <c r="C13" s="332">
        <v>6</v>
      </c>
      <c r="D13" s="332">
        <v>53</v>
      </c>
      <c r="E13" s="333">
        <v>0.7</v>
      </c>
      <c r="F13" s="333">
        <v>0</v>
      </c>
      <c r="G13" s="333">
        <v>0</v>
      </c>
      <c r="H13" s="333">
        <v>0.3</v>
      </c>
      <c r="J13" s="334">
        <v>34</v>
      </c>
      <c r="K13" s="334">
        <v>304</v>
      </c>
      <c r="L13" s="332">
        <v>5</v>
      </c>
      <c r="M13" s="334">
        <v>60</v>
      </c>
      <c r="N13" s="333">
        <v>0.7</v>
      </c>
      <c r="O13" s="333">
        <f t="shared" si="0"/>
        <v>0.16800000000000001</v>
      </c>
      <c r="P13" s="333">
        <f t="shared" si="1"/>
        <v>0.13200000000000001</v>
      </c>
      <c r="Q13" s="333">
        <v>0</v>
      </c>
      <c r="T13" s="334">
        <v>40</v>
      </c>
      <c r="U13" s="334">
        <v>639</v>
      </c>
      <c r="V13" s="332">
        <v>5</v>
      </c>
      <c r="W13" s="334">
        <v>77</v>
      </c>
      <c r="X13" s="333">
        <v>0.7</v>
      </c>
      <c r="Y13" s="333">
        <f t="shared" si="2"/>
        <v>0.16800000000000001</v>
      </c>
      <c r="Z13" s="333">
        <f t="shared" si="3"/>
        <v>0.13200000000000001</v>
      </c>
      <c r="AA13" s="333">
        <v>0</v>
      </c>
      <c r="AC13" s="334">
        <v>42</v>
      </c>
      <c r="AD13" s="334">
        <v>615</v>
      </c>
      <c r="AE13" s="339">
        <v>3</v>
      </c>
      <c r="AF13" s="334">
        <v>121</v>
      </c>
      <c r="AG13" s="333">
        <v>0.7</v>
      </c>
      <c r="AH13" s="333">
        <f t="shared" si="4"/>
        <v>0.16800000000000001</v>
      </c>
      <c r="AI13" s="333">
        <f t="shared" si="5"/>
        <v>0.13200000000000001</v>
      </c>
      <c r="AJ13" s="333">
        <v>0</v>
      </c>
      <c r="AU13" s="334">
        <v>70</v>
      </c>
      <c r="AV13" s="338">
        <v>666.46887860082302</v>
      </c>
      <c r="AW13" s="338">
        <v>555.38734567901247</v>
      </c>
      <c r="AX13" s="332">
        <v>6</v>
      </c>
      <c r="AY13" s="338">
        <v>111.0774691358025</v>
      </c>
      <c r="AZ13" s="333">
        <v>0.7</v>
      </c>
      <c r="BA13" s="333">
        <v>0.16800000000000001</v>
      </c>
      <c r="BB13" s="333">
        <v>0.13200000000000001</v>
      </c>
      <c r="BC13" s="333">
        <v>0</v>
      </c>
      <c r="BE13" s="334">
        <v>40</v>
      </c>
      <c r="BF13" s="338">
        <v>332</v>
      </c>
      <c r="BG13" s="332">
        <v>6</v>
      </c>
      <c r="BH13" s="338">
        <v>48</v>
      </c>
      <c r="BI13" s="333">
        <v>0.7</v>
      </c>
      <c r="BJ13" s="333">
        <v>0.16800000000000001</v>
      </c>
      <c r="BK13" s="333">
        <v>0.13200000000000001</v>
      </c>
      <c r="BL13" s="333">
        <v>0</v>
      </c>
      <c r="BW13" s="331">
        <v>70</v>
      </c>
      <c r="BX13" s="331">
        <v>176</v>
      </c>
      <c r="BY13" s="332">
        <v>6</v>
      </c>
      <c r="BZ13" s="332">
        <v>42.400000000000006</v>
      </c>
      <c r="CA13" s="333">
        <v>0.7</v>
      </c>
      <c r="CB13" s="333">
        <v>0</v>
      </c>
      <c r="CC13" s="333">
        <v>0</v>
      </c>
      <c r="CD13" s="333">
        <v>0.3</v>
      </c>
    </row>
    <row r="14" spans="1:82" x14ac:dyDescent="0.25">
      <c r="A14" s="331">
        <v>78</v>
      </c>
      <c r="B14" s="331">
        <v>227</v>
      </c>
      <c r="C14" s="332">
        <v>7</v>
      </c>
      <c r="D14" s="332">
        <v>42</v>
      </c>
      <c r="E14" s="333">
        <v>0.7</v>
      </c>
      <c r="F14" s="333">
        <v>0</v>
      </c>
      <c r="G14" s="333">
        <v>0</v>
      </c>
      <c r="H14" s="333">
        <v>0.3</v>
      </c>
      <c r="J14" s="334">
        <v>40</v>
      </c>
      <c r="K14" s="334">
        <v>333</v>
      </c>
      <c r="L14" s="332">
        <v>6</v>
      </c>
      <c r="M14" s="334">
        <v>34</v>
      </c>
      <c r="N14" s="333">
        <v>0.7</v>
      </c>
      <c r="O14" s="333">
        <f t="shared" si="0"/>
        <v>0.16800000000000001</v>
      </c>
      <c r="P14" s="333">
        <f t="shared" si="1"/>
        <v>0.13200000000000001</v>
      </c>
      <c r="Q14" s="333">
        <v>0</v>
      </c>
      <c r="T14" s="334">
        <v>45</v>
      </c>
      <c r="U14" s="334">
        <v>686</v>
      </c>
      <c r="V14" s="332">
        <v>6</v>
      </c>
      <c r="W14" s="334">
        <v>64</v>
      </c>
      <c r="X14" s="333">
        <v>0.7</v>
      </c>
      <c r="Y14" s="333">
        <f t="shared" si="2"/>
        <v>0.16800000000000001</v>
      </c>
      <c r="Z14" s="333">
        <f t="shared" si="3"/>
        <v>0.13200000000000001</v>
      </c>
      <c r="AA14" s="333">
        <v>0</v>
      </c>
      <c r="AC14" s="334">
        <v>48</v>
      </c>
      <c r="AD14" s="334">
        <v>600</v>
      </c>
      <c r="AE14" s="339">
        <v>4</v>
      </c>
      <c r="AF14" s="334">
        <v>123</v>
      </c>
      <c r="AG14" s="333">
        <v>0.7</v>
      </c>
      <c r="AH14" s="333">
        <f t="shared" si="4"/>
        <v>0.16800000000000001</v>
      </c>
      <c r="AI14" s="333">
        <f t="shared" si="5"/>
        <v>0.13200000000000001</v>
      </c>
      <c r="AJ14" s="333">
        <v>0</v>
      </c>
      <c r="AU14" s="334">
        <v>80</v>
      </c>
      <c r="AV14" s="338">
        <v>813.92185356652965</v>
      </c>
      <c r="AW14" s="338">
        <v>678.26877572016463</v>
      </c>
      <c r="AX14" s="332">
        <v>7</v>
      </c>
      <c r="AY14" s="338">
        <v>135.65375514403294</v>
      </c>
      <c r="AZ14" s="333">
        <v>0.7</v>
      </c>
      <c r="BA14" s="333">
        <v>0.16800000000000001</v>
      </c>
      <c r="BB14" s="333">
        <v>0.13200000000000001</v>
      </c>
      <c r="BC14" s="333">
        <v>0</v>
      </c>
      <c r="BE14" s="334">
        <v>45</v>
      </c>
      <c r="BF14" s="338">
        <v>384</v>
      </c>
      <c r="BG14" s="332">
        <v>7</v>
      </c>
      <c r="BH14" s="338">
        <v>57</v>
      </c>
      <c r="BI14" s="333">
        <v>0.7</v>
      </c>
      <c r="BJ14" s="333">
        <v>0.16800000000000001</v>
      </c>
      <c r="BK14" s="333">
        <v>0.13200000000000001</v>
      </c>
      <c r="BL14" s="333">
        <v>0</v>
      </c>
      <c r="BW14" s="331">
        <v>78</v>
      </c>
      <c r="BX14" s="331">
        <v>181.6</v>
      </c>
      <c r="BY14" s="332">
        <v>7</v>
      </c>
      <c r="BZ14" s="332">
        <v>33.6</v>
      </c>
      <c r="CA14" s="333">
        <v>0.7</v>
      </c>
      <c r="CB14" s="333">
        <v>0</v>
      </c>
      <c r="CC14" s="333">
        <v>0</v>
      </c>
      <c r="CD14" s="333">
        <v>0.3</v>
      </c>
    </row>
    <row r="15" spans="1:82" x14ac:dyDescent="0.25">
      <c r="A15" s="331">
        <v>87</v>
      </c>
      <c r="B15" s="331">
        <v>243</v>
      </c>
      <c r="C15" s="332">
        <v>8</v>
      </c>
      <c r="D15" s="332">
        <v>39</v>
      </c>
      <c r="E15" s="333">
        <v>0.9</v>
      </c>
      <c r="F15" s="333">
        <v>0</v>
      </c>
      <c r="G15" s="333">
        <v>0</v>
      </c>
      <c r="H15" s="333">
        <v>0.1</v>
      </c>
      <c r="J15" s="334">
        <v>46</v>
      </c>
      <c r="K15" s="334">
        <v>365</v>
      </c>
      <c r="L15" s="332">
        <v>7</v>
      </c>
      <c r="M15" s="334">
        <v>21</v>
      </c>
      <c r="N15" s="333">
        <v>0.7</v>
      </c>
      <c r="O15" s="333">
        <f t="shared" si="0"/>
        <v>0.16800000000000001</v>
      </c>
      <c r="P15" s="333">
        <f t="shared" si="1"/>
        <v>0.13200000000000001</v>
      </c>
      <c r="Q15" s="333">
        <v>0</v>
      </c>
      <c r="T15" s="334">
        <v>50</v>
      </c>
      <c r="U15" s="334">
        <v>724</v>
      </c>
      <c r="V15" s="332">
        <v>7</v>
      </c>
      <c r="W15" s="334">
        <v>62</v>
      </c>
      <c r="X15" s="333">
        <v>0.7</v>
      </c>
      <c r="Y15" s="333">
        <f t="shared" si="2"/>
        <v>0.16800000000000001</v>
      </c>
      <c r="Z15" s="333">
        <f t="shared" si="3"/>
        <v>0.13200000000000001</v>
      </c>
      <c r="AA15" s="333">
        <v>0</v>
      </c>
      <c r="AC15" s="334">
        <v>54</v>
      </c>
      <c r="AD15" s="334">
        <v>573</v>
      </c>
      <c r="AE15" s="339">
        <v>5</v>
      </c>
      <c r="AF15" s="334">
        <v>119</v>
      </c>
      <c r="AG15" s="333">
        <v>0.7</v>
      </c>
      <c r="AH15" s="333">
        <f t="shared" si="4"/>
        <v>0.16800000000000001</v>
      </c>
      <c r="AI15" s="333">
        <f t="shared" si="5"/>
        <v>0.13200000000000001</v>
      </c>
      <c r="AJ15" s="333">
        <v>0</v>
      </c>
      <c r="AU15" s="334">
        <v>90</v>
      </c>
      <c r="AV15" s="338">
        <v>964.34635773891171</v>
      </c>
      <c r="AW15" s="338">
        <v>803.62187071330584</v>
      </c>
      <c r="AX15" s="332">
        <v>8</v>
      </c>
      <c r="AY15" s="338">
        <v>160.72437414266119</v>
      </c>
      <c r="AZ15" s="333">
        <v>0.7</v>
      </c>
      <c r="BA15" s="333">
        <v>0.16800000000000001</v>
      </c>
      <c r="BB15" s="333">
        <v>0.13200000000000001</v>
      </c>
      <c r="BC15" s="333">
        <v>0</v>
      </c>
      <c r="BE15" s="334">
        <v>50</v>
      </c>
      <c r="BF15" s="338">
        <v>414</v>
      </c>
      <c r="BG15" s="332">
        <v>8</v>
      </c>
      <c r="BH15" s="338">
        <v>47</v>
      </c>
      <c r="BI15" s="333">
        <v>0.7</v>
      </c>
      <c r="BJ15" s="333">
        <v>0.16800000000000001</v>
      </c>
      <c r="BK15" s="333">
        <v>0.13200000000000001</v>
      </c>
      <c r="BL15" s="333">
        <v>0</v>
      </c>
      <c r="BW15" s="331">
        <v>87</v>
      </c>
      <c r="BX15" s="331">
        <v>194.40000000000003</v>
      </c>
      <c r="BY15" s="332">
        <v>8</v>
      </c>
      <c r="BZ15" s="332">
        <v>31.200000000000003</v>
      </c>
      <c r="CA15" s="333">
        <v>0.9</v>
      </c>
      <c r="CB15" s="333">
        <v>0</v>
      </c>
      <c r="CC15" s="333">
        <v>0</v>
      </c>
      <c r="CD15" s="333">
        <v>0.1</v>
      </c>
    </row>
    <row r="16" spans="1:82" x14ac:dyDescent="0.25">
      <c r="A16" s="331">
        <v>97</v>
      </c>
      <c r="B16" s="331">
        <v>265</v>
      </c>
      <c r="C16" s="332">
        <v>9</v>
      </c>
      <c r="D16" s="332">
        <v>42</v>
      </c>
      <c r="E16" s="333">
        <v>0.9</v>
      </c>
      <c r="F16" s="333">
        <v>0</v>
      </c>
      <c r="G16" s="333">
        <v>0</v>
      </c>
      <c r="H16" s="333">
        <v>0.1</v>
      </c>
      <c r="J16" s="334">
        <v>54</v>
      </c>
      <c r="K16" s="334">
        <v>402</v>
      </c>
      <c r="L16" s="332">
        <v>8</v>
      </c>
      <c r="M16" s="334">
        <v>17</v>
      </c>
      <c r="N16" s="333">
        <v>0.7</v>
      </c>
      <c r="O16" s="333">
        <f t="shared" si="0"/>
        <v>0.16800000000000001</v>
      </c>
      <c r="P16" s="333">
        <f t="shared" si="1"/>
        <v>0.13200000000000001</v>
      </c>
      <c r="Q16" s="333">
        <v>0</v>
      </c>
      <c r="T16" s="334">
        <v>55</v>
      </c>
      <c r="U16" s="334">
        <v>739</v>
      </c>
      <c r="V16" s="332">
        <v>8</v>
      </c>
      <c r="W16" s="334">
        <v>46</v>
      </c>
      <c r="X16" s="333">
        <v>0.7</v>
      </c>
      <c r="Y16" s="333">
        <f t="shared" si="2"/>
        <v>0.16800000000000001</v>
      </c>
      <c r="Z16" s="333">
        <f t="shared" si="3"/>
        <v>0.13200000000000001</v>
      </c>
      <c r="AA16" s="333">
        <v>0</v>
      </c>
      <c r="AC16" s="334">
        <v>60</v>
      </c>
      <c r="AD16" s="334">
        <v>534</v>
      </c>
      <c r="AE16" s="339">
        <v>6</v>
      </c>
      <c r="AF16" s="334">
        <v>112</v>
      </c>
      <c r="AG16" s="333">
        <v>0.7</v>
      </c>
      <c r="AH16" s="333">
        <f t="shared" si="4"/>
        <v>0.16800000000000001</v>
      </c>
      <c r="AI16" s="333">
        <f t="shared" si="5"/>
        <v>0.13200000000000001</v>
      </c>
      <c r="AJ16" s="333">
        <v>0</v>
      </c>
      <c r="AU16" s="334">
        <v>100</v>
      </c>
      <c r="AV16" s="338">
        <v>600</v>
      </c>
      <c r="AW16" s="338">
        <v>0</v>
      </c>
      <c r="AX16" s="332" t="s">
        <v>333</v>
      </c>
      <c r="AY16" s="338">
        <f>AV16</f>
        <v>600</v>
      </c>
      <c r="AZ16" s="333">
        <v>0.7</v>
      </c>
      <c r="BA16" s="333">
        <v>0.16800000000000001</v>
      </c>
      <c r="BB16" s="333">
        <v>0.13200000000000001</v>
      </c>
      <c r="BC16" s="333">
        <v>0</v>
      </c>
      <c r="BE16" s="334">
        <v>55</v>
      </c>
      <c r="BF16" s="338">
        <v>463</v>
      </c>
      <c r="BG16" s="332">
        <v>9</v>
      </c>
      <c r="BH16" s="338">
        <v>48</v>
      </c>
      <c r="BI16" s="333">
        <v>0.7</v>
      </c>
      <c r="BJ16" s="333">
        <v>0.16800000000000001</v>
      </c>
      <c r="BK16" s="333">
        <v>0.13200000000000001</v>
      </c>
      <c r="BL16" s="333">
        <v>0</v>
      </c>
      <c r="BW16" s="331">
        <v>97</v>
      </c>
      <c r="BX16" s="331">
        <v>212</v>
      </c>
      <c r="BY16" s="332">
        <v>9</v>
      </c>
      <c r="BZ16" s="332">
        <v>33.6</v>
      </c>
      <c r="CA16" s="333">
        <v>0.9</v>
      </c>
      <c r="CB16" s="333">
        <v>0</v>
      </c>
      <c r="CC16" s="333">
        <v>0</v>
      </c>
      <c r="CD16" s="333">
        <v>0.1</v>
      </c>
    </row>
    <row r="17" spans="1:82" x14ac:dyDescent="0.25">
      <c r="A17" s="331">
        <v>107</v>
      </c>
      <c r="B17" s="331">
        <v>288</v>
      </c>
      <c r="C17" s="332">
        <v>10</v>
      </c>
      <c r="D17" s="332">
        <v>46</v>
      </c>
      <c r="E17" s="333">
        <v>0.9</v>
      </c>
      <c r="F17" s="333">
        <v>0</v>
      </c>
      <c r="G17" s="333">
        <v>0</v>
      </c>
      <c r="H17" s="333">
        <v>0.1</v>
      </c>
      <c r="J17" s="334">
        <v>62</v>
      </c>
      <c r="K17" s="334">
        <v>409</v>
      </c>
      <c r="L17" s="332" t="s">
        <v>333</v>
      </c>
      <c r="M17" s="334">
        <f>402+7</f>
        <v>409</v>
      </c>
      <c r="N17" s="333">
        <v>0.7</v>
      </c>
      <c r="O17" s="333">
        <f t="shared" si="0"/>
        <v>0.16800000000000001</v>
      </c>
      <c r="P17" s="333">
        <f t="shared" si="1"/>
        <v>0.13200000000000001</v>
      </c>
      <c r="Q17" s="333">
        <v>0</v>
      </c>
      <c r="T17" s="334">
        <v>60</v>
      </c>
      <c r="U17" s="334">
        <v>754</v>
      </c>
      <c r="V17" s="340">
        <v>9</v>
      </c>
      <c r="W17" s="334">
        <v>35</v>
      </c>
      <c r="X17" s="333">
        <v>0.7</v>
      </c>
      <c r="Y17" s="333">
        <f t="shared" si="2"/>
        <v>0.16800000000000001</v>
      </c>
      <c r="Z17" s="333">
        <f t="shared" si="3"/>
        <v>0.13200000000000001</v>
      </c>
      <c r="AA17" s="333">
        <v>0</v>
      </c>
      <c r="AC17" s="334">
        <v>66</v>
      </c>
      <c r="AD17" s="334">
        <v>502</v>
      </c>
      <c r="AE17" s="339">
        <v>7</v>
      </c>
      <c r="AF17" s="334">
        <v>109</v>
      </c>
      <c r="AG17" s="333">
        <v>0.7</v>
      </c>
      <c r="AH17" s="333">
        <f t="shared" si="4"/>
        <v>0.16800000000000001</v>
      </c>
      <c r="AI17" s="333">
        <f t="shared" si="5"/>
        <v>0.13200000000000001</v>
      </c>
      <c r="AJ17" s="333">
        <v>0</v>
      </c>
      <c r="AN17" s="341"/>
      <c r="AP17" s="342"/>
      <c r="AQ17" s="342"/>
      <c r="AR17" s="342"/>
      <c r="AS17" s="342"/>
      <c r="BE17" s="334">
        <v>60</v>
      </c>
      <c r="BF17" s="338">
        <v>500</v>
      </c>
      <c r="BG17" s="332">
        <v>10</v>
      </c>
      <c r="BH17" s="338">
        <v>32</v>
      </c>
      <c r="BI17" s="333">
        <v>0.7</v>
      </c>
      <c r="BJ17" s="333">
        <v>0.16800000000000001</v>
      </c>
      <c r="BK17" s="333">
        <v>0.13200000000000001</v>
      </c>
      <c r="BL17" s="333">
        <v>0</v>
      </c>
      <c r="BR17" s="342"/>
      <c r="BS17" s="342"/>
      <c r="BT17" s="342"/>
      <c r="BU17" s="342"/>
      <c r="BW17" s="331">
        <v>107</v>
      </c>
      <c r="BX17" s="331">
        <v>230.40000000000003</v>
      </c>
      <c r="BY17" s="332">
        <v>10</v>
      </c>
      <c r="BZ17" s="332">
        <v>36.800000000000004</v>
      </c>
      <c r="CA17" s="333">
        <v>0.9</v>
      </c>
      <c r="CB17" s="333">
        <v>0</v>
      </c>
      <c r="CC17" s="333">
        <v>0</v>
      </c>
      <c r="CD17" s="333">
        <v>0.1</v>
      </c>
    </row>
    <row r="18" spans="1:82" x14ac:dyDescent="0.25">
      <c r="A18" s="331">
        <v>117</v>
      </c>
      <c r="B18" s="331">
        <v>309</v>
      </c>
      <c r="C18" s="332">
        <v>11</v>
      </c>
      <c r="D18" s="332">
        <v>45</v>
      </c>
      <c r="E18" s="333">
        <v>0.9</v>
      </c>
      <c r="F18" s="333">
        <v>0</v>
      </c>
      <c r="G18" s="333">
        <v>0</v>
      </c>
      <c r="H18" s="333">
        <v>0.1</v>
      </c>
      <c r="T18" s="334">
        <v>65</v>
      </c>
      <c r="U18" s="334">
        <v>769</v>
      </c>
      <c r="V18" s="332" t="s">
        <v>333</v>
      </c>
      <c r="W18" s="334">
        <f>740+29</f>
        <v>769</v>
      </c>
      <c r="X18" s="333">
        <v>0.7</v>
      </c>
      <c r="Y18" s="333">
        <f t="shared" si="2"/>
        <v>0.16800000000000001</v>
      </c>
      <c r="Z18" s="333">
        <f t="shared" si="3"/>
        <v>0.13200000000000001</v>
      </c>
      <c r="AA18" s="333">
        <v>0</v>
      </c>
      <c r="AC18" s="334">
        <v>72</v>
      </c>
      <c r="AD18" s="334">
        <v>463</v>
      </c>
      <c r="AE18" s="339">
        <v>8</v>
      </c>
      <c r="AF18" s="334">
        <f>101+362</f>
        <v>463</v>
      </c>
      <c r="AG18" s="333">
        <v>0.7</v>
      </c>
      <c r="AH18" s="333">
        <f t="shared" si="4"/>
        <v>0.16800000000000001</v>
      </c>
      <c r="AI18" s="333">
        <f t="shared" si="5"/>
        <v>0.13200000000000001</v>
      </c>
      <c r="AJ18" s="333">
        <v>0</v>
      </c>
      <c r="BE18" s="334">
        <v>65</v>
      </c>
      <c r="BF18" s="338">
        <v>555</v>
      </c>
      <c r="BG18" s="332" t="s">
        <v>333</v>
      </c>
      <c r="BH18" s="338">
        <f>527+28</f>
        <v>555</v>
      </c>
      <c r="BI18" s="333">
        <v>0.7</v>
      </c>
      <c r="BJ18" s="333">
        <v>0.16800000000000001</v>
      </c>
      <c r="BK18" s="333">
        <v>0.13200000000000001</v>
      </c>
      <c r="BL18" s="333">
        <v>0</v>
      </c>
      <c r="BW18" s="331">
        <v>117</v>
      </c>
      <c r="BX18" s="331">
        <v>247.20000000000002</v>
      </c>
      <c r="BY18" s="332">
        <v>11</v>
      </c>
      <c r="BZ18" s="332">
        <v>36</v>
      </c>
      <c r="CA18" s="333">
        <v>0.9</v>
      </c>
      <c r="CB18" s="333">
        <v>0</v>
      </c>
      <c r="CC18" s="333">
        <v>0</v>
      </c>
      <c r="CD18" s="333">
        <v>0.1</v>
      </c>
    </row>
    <row r="19" spans="1:82" x14ac:dyDescent="0.25">
      <c r="A19" s="331">
        <v>129</v>
      </c>
      <c r="B19" s="331">
        <v>337</v>
      </c>
      <c r="C19" s="332" t="s">
        <v>333</v>
      </c>
      <c r="D19" s="332">
        <v>337</v>
      </c>
      <c r="E19" s="333">
        <v>0.9</v>
      </c>
      <c r="F19" s="333">
        <v>0</v>
      </c>
      <c r="G19" s="333">
        <v>0</v>
      </c>
      <c r="H19" s="333">
        <v>0.1</v>
      </c>
      <c r="AC19" s="334">
        <v>78</v>
      </c>
      <c r="AD19" s="334">
        <v>426</v>
      </c>
      <c r="AE19" s="339" t="s">
        <v>333</v>
      </c>
      <c r="AF19" s="334">
        <v>426</v>
      </c>
      <c r="AG19" s="333">
        <v>0.7</v>
      </c>
      <c r="AH19" s="333">
        <f t="shared" si="4"/>
        <v>0.16800000000000001</v>
      </c>
      <c r="AI19" s="333">
        <f t="shared" si="5"/>
        <v>0.13200000000000001</v>
      </c>
      <c r="AJ19" s="333">
        <v>0</v>
      </c>
      <c r="BW19" s="331">
        <v>129</v>
      </c>
      <c r="BX19" s="331">
        <v>269.60000000000002</v>
      </c>
      <c r="BY19" s="332" t="s">
        <v>333</v>
      </c>
      <c r="BZ19" s="332">
        <v>269.60000000000002</v>
      </c>
      <c r="CA19" s="333">
        <v>0.9</v>
      </c>
      <c r="CB19" s="333">
        <v>0</v>
      </c>
      <c r="CC19" s="333">
        <v>0</v>
      </c>
      <c r="CD19" s="333">
        <v>0.1</v>
      </c>
    </row>
    <row r="20" spans="1:82" x14ac:dyDescent="0.25">
      <c r="G20" s="309" t="s">
        <v>356</v>
      </c>
      <c r="CC20" s="309" t="s">
        <v>356</v>
      </c>
    </row>
    <row r="21" spans="1:82" ht="36" customHeight="1" x14ac:dyDescent="0.25">
      <c r="A21" s="309" t="s">
        <v>357</v>
      </c>
      <c r="G21" s="309" t="s">
        <v>356</v>
      </c>
      <c r="J21" s="309" t="s">
        <v>357</v>
      </c>
      <c r="T21" s="309" t="s">
        <v>357</v>
      </c>
      <c r="AL21" s="309" t="s">
        <v>357</v>
      </c>
      <c r="AU21" s="309" t="s">
        <v>357</v>
      </c>
      <c r="BE21" s="309" t="s">
        <v>357</v>
      </c>
      <c r="BN21" s="309" t="s">
        <v>357</v>
      </c>
      <c r="BW21" s="309" t="s">
        <v>357</v>
      </c>
      <c r="CC21" s="309" t="s">
        <v>356</v>
      </c>
    </row>
    <row r="22" spans="1:82" ht="20.25" customHeight="1" x14ac:dyDescent="0.25">
      <c r="A22" s="316"/>
      <c r="B22" s="317" t="s">
        <v>185</v>
      </c>
      <c r="C22" s="318" t="s">
        <v>186</v>
      </c>
      <c r="D22" s="319"/>
      <c r="E22" s="320" t="s">
        <v>187</v>
      </c>
      <c r="F22" s="321"/>
      <c r="G22" s="321"/>
      <c r="H22" s="322"/>
      <c r="J22" s="316"/>
      <c r="K22" s="317" t="s">
        <v>185</v>
      </c>
      <c r="L22" s="325" t="s">
        <v>186</v>
      </c>
      <c r="M22" s="324"/>
      <c r="N22" s="326" t="s">
        <v>187</v>
      </c>
      <c r="O22" s="327"/>
      <c r="P22" s="327"/>
      <c r="Q22" s="328"/>
      <c r="T22" s="316"/>
      <c r="U22" s="317" t="s">
        <v>185</v>
      </c>
      <c r="V22" s="325" t="s">
        <v>186</v>
      </c>
      <c r="W22" s="324"/>
      <c r="X22" s="326" t="s">
        <v>187</v>
      </c>
      <c r="Y22" s="327"/>
      <c r="Z22" s="327"/>
      <c r="AA22" s="328"/>
      <c r="AL22" s="316"/>
      <c r="AM22" s="317" t="s">
        <v>185</v>
      </c>
      <c r="AN22" s="325" t="s">
        <v>186</v>
      </c>
      <c r="AO22" s="324"/>
      <c r="AP22" s="326" t="s">
        <v>187</v>
      </c>
      <c r="AQ22" s="327"/>
      <c r="AR22" s="327"/>
      <c r="AS22" s="328"/>
      <c r="AU22" s="316"/>
      <c r="AV22" s="317" t="s">
        <v>185</v>
      </c>
      <c r="AW22" s="317" t="s">
        <v>353</v>
      </c>
      <c r="AX22" s="325" t="s">
        <v>186</v>
      </c>
      <c r="AY22" s="324"/>
      <c r="AZ22" s="326" t="s">
        <v>187</v>
      </c>
      <c r="BA22" s="327"/>
      <c r="BB22" s="327"/>
      <c r="BC22" s="328"/>
      <c r="BE22" s="316"/>
      <c r="BF22" s="317" t="s">
        <v>185</v>
      </c>
      <c r="BG22" s="325" t="s">
        <v>186</v>
      </c>
      <c r="BH22" s="324"/>
      <c r="BI22" s="326" t="s">
        <v>187</v>
      </c>
      <c r="BJ22" s="327"/>
      <c r="BK22" s="327"/>
      <c r="BL22" s="328"/>
      <c r="BN22" s="316"/>
      <c r="BO22" s="317" t="s">
        <v>185</v>
      </c>
      <c r="BP22" s="325" t="s">
        <v>186</v>
      </c>
      <c r="BQ22" s="324"/>
      <c r="BR22" s="326" t="s">
        <v>187</v>
      </c>
      <c r="BS22" s="327"/>
      <c r="BT22" s="327"/>
      <c r="BU22" s="328"/>
      <c r="BW22" s="316"/>
      <c r="BX22" s="317" t="s">
        <v>185</v>
      </c>
      <c r="BY22" s="318" t="s">
        <v>186</v>
      </c>
      <c r="BZ22" s="319"/>
      <c r="CA22" s="320" t="s">
        <v>187</v>
      </c>
      <c r="CB22" s="321"/>
      <c r="CC22" s="321"/>
      <c r="CD22" s="322"/>
    </row>
    <row r="23" spans="1:82" ht="75" x14ac:dyDescent="0.25">
      <c r="A23" s="329" t="s">
        <v>180</v>
      </c>
      <c r="B23" s="330" t="s">
        <v>354</v>
      </c>
      <c r="C23" s="330" t="s">
        <v>188</v>
      </c>
      <c r="D23" s="330" t="s">
        <v>251</v>
      </c>
      <c r="E23" s="329" t="s">
        <v>183</v>
      </c>
      <c r="F23" s="329" t="s">
        <v>181</v>
      </c>
      <c r="G23" s="329" t="s">
        <v>184</v>
      </c>
      <c r="H23" s="329" t="s">
        <v>182</v>
      </c>
      <c r="J23" s="329" t="s">
        <v>180</v>
      </c>
      <c r="K23" s="330" t="s">
        <v>354</v>
      </c>
      <c r="L23" s="330" t="s">
        <v>188</v>
      </c>
      <c r="M23" s="330" t="s">
        <v>251</v>
      </c>
      <c r="N23" s="329" t="s">
        <v>183</v>
      </c>
      <c r="O23" s="329" t="s">
        <v>181</v>
      </c>
      <c r="P23" s="329" t="s">
        <v>184</v>
      </c>
      <c r="Q23" s="329" t="s">
        <v>182</v>
      </c>
      <c r="T23" s="329" t="s">
        <v>180</v>
      </c>
      <c r="U23" s="330" t="s">
        <v>354</v>
      </c>
      <c r="V23" s="330" t="s">
        <v>188</v>
      </c>
      <c r="W23" s="330" t="s">
        <v>251</v>
      </c>
      <c r="X23" s="329" t="s">
        <v>183</v>
      </c>
      <c r="Y23" s="329" t="s">
        <v>181</v>
      </c>
      <c r="Z23" s="329" t="s">
        <v>184</v>
      </c>
      <c r="AA23" s="329" t="s">
        <v>182</v>
      </c>
      <c r="AL23" s="329" t="s">
        <v>180</v>
      </c>
      <c r="AM23" s="330" t="s">
        <v>354</v>
      </c>
      <c r="AN23" s="330" t="s">
        <v>188</v>
      </c>
      <c r="AO23" s="330" t="s">
        <v>251</v>
      </c>
      <c r="AP23" s="329" t="s">
        <v>183</v>
      </c>
      <c r="AQ23" s="329" t="s">
        <v>181</v>
      </c>
      <c r="AR23" s="329" t="s">
        <v>184</v>
      </c>
      <c r="AS23" s="329" t="s">
        <v>182</v>
      </c>
      <c r="AU23" s="329" t="s">
        <v>180</v>
      </c>
      <c r="AV23" s="330" t="s">
        <v>354</v>
      </c>
      <c r="AW23" s="330" t="s">
        <v>355</v>
      </c>
      <c r="AX23" s="330" t="s">
        <v>188</v>
      </c>
      <c r="AY23" s="330" t="s">
        <v>251</v>
      </c>
      <c r="AZ23" s="329" t="s">
        <v>183</v>
      </c>
      <c r="BA23" s="329" t="s">
        <v>181</v>
      </c>
      <c r="BB23" s="329" t="s">
        <v>184</v>
      </c>
      <c r="BC23" s="329" t="s">
        <v>182</v>
      </c>
      <c r="BE23" s="329" t="s">
        <v>180</v>
      </c>
      <c r="BF23" s="330" t="s">
        <v>354</v>
      </c>
      <c r="BG23" s="330" t="s">
        <v>188</v>
      </c>
      <c r="BH23" s="330" t="s">
        <v>251</v>
      </c>
      <c r="BI23" s="329" t="s">
        <v>183</v>
      </c>
      <c r="BJ23" s="329" t="s">
        <v>181</v>
      </c>
      <c r="BK23" s="329" t="s">
        <v>184</v>
      </c>
      <c r="BL23" s="329" t="s">
        <v>182</v>
      </c>
      <c r="BN23" s="329" t="s">
        <v>180</v>
      </c>
      <c r="BO23" s="330" t="s">
        <v>354</v>
      </c>
      <c r="BP23" s="330" t="s">
        <v>188</v>
      </c>
      <c r="BQ23" s="330" t="s">
        <v>251</v>
      </c>
      <c r="BR23" s="329" t="s">
        <v>183</v>
      </c>
      <c r="BS23" s="329" t="s">
        <v>181</v>
      </c>
      <c r="BT23" s="329" t="s">
        <v>184</v>
      </c>
      <c r="BU23" s="329" t="s">
        <v>182</v>
      </c>
      <c r="BW23" s="329" t="s">
        <v>180</v>
      </c>
      <c r="BX23" s="330" t="s">
        <v>354</v>
      </c>
      <c r="BY23" s="330" t="s">
        <v>188</v>
      </c>
      <c r="BZ23" s="330" t="s">
        <v>251</v>
      </c>
      <c r="CA23" s="329" t="s">
        <v>183</v>
      </c>
      <c r="CB23" s="329" t="s">
        <v>181</v>
      </c>
      <c r="CC23" s="329" t="s">
        <v>184</v>
      </c>
      <c r="CD23" s="329" t="s">
        <v>182</v>
      </c>
    </row>
    <row r="24" spans="1:82" x14ac:dyDescent="0.25">
      <c r="A24" s="331">
        <v>42</v>
      </c>
      <c r="B24" s="331">
        <v>113</v>
      </c>
      <c r="C24" s="332">
        <v>1</v>
      </c>
      <c r="D24" s="332">
        <v>30</v>
      </c>
      <c r="E24" s="333">
        <v>0</v>
      </c>
      <c r="F24" s="333">
        <v>0</v>
      </c>
      <c r="G24" s="333">
        <v>0</v>
      </c>
      <c r="H24" s="333">
        <v>1</v>
      </c>
      <c r="J24" s="334">
        <v>12</v>
      </c>
      <c r="K24" s="334">
        <v>36</v>
      </c>
      <c r="L24" s="335">
        <v>0</v>
      </c>
      <c r="M24" s="336">
        <v>0</v>
      </c>
      <c r="N24" s="333">
        <v>0</v>
      </c>
      <c r="O24" s="333">
        <f>0.56</f>
        <v>0.56000000000000005</v>
      </c>
      <c r="P24" s="333">
        <f>0.44</f>
        <v>0.44</v>
      </c>
      <c r="Q24" s="333">
        <v>0</v>
      </c>
      <c r="T24" s="334">
        <v>19</v>
      </c>
      <c r="U24" s="334">
        <v>162</v>
      </c>
      <c r="W24" s="336">
        <v>0</v>
      </c>
      <c r="X24" s="333">
        <v>0</v>
      </c>
      <c r="Y24" s="333">
        <f>0.56</f>
        <v>0.56000000000000005</v>
      </c>
      <c r="Z24" s="333">
        <f>0.44</f>
        <v>0.44</v>
      </c>
      <c r="AA24" s="333">
        <v>0</v>
      </c>
      <c r="AL24" s="334">
        <v>15</v>
      </c>
      <c r="AM24" s="338">
        <v>119.57375</v>
      </c>
      <c r="AN24" s="332">
        <v>1</v>
      </c>
      <c r="AO24" s="338">
        <v>20</v>
      </c>
      <c r="AP24" s="333">
        <v>0</v>
      </c>
      <c r="AQ24" s="333">
        <v>0</v>
      </c>
      <c r="AR24" s="333">
        <v>0</v>
      </c>
      <c r="AS24" s="333">
        <v>1</v>
      </c>
      <c r="AU24" s="334">
        <v>20</v>
      </c>
      <c r="AV24" s="338">
        <v>115</v>
      </c>
      <c r="AW24" s="338">
        <v>92</v>
      </c>
      <c r="AX24" s="332">
        <v>1</v>
      </c>
      <c r="AY24" s="338">
        <v>23</v>
      </c>
      <c r="AZ24" s="333">
        <v>0</v>
      </c>
      <c r="BA24" s="333">
        <v>0.56000000000000005</v>
      </c>
      <c r="BB24" s="333">
        <v>0.44</v>
      </c>
      <c r="BC24" s="333">
        <v>0</v>
      </c>
      <c r="BE24" s="334">
        <v>22</v>
      </c>
      <c r="BF24" s="338">
        <v>123</v>
      </c>
      <c r="BG24" s="332">
        <v>1</v>
      </c>
      <c r="BH24" s="338">
        <v>16</v>
      </c>
      <c r="BI24" s="333">
        <v>0</v>
      </c>
      <c r="BJ24" s="333">
        <v>0.56000000000000005</v>
      </c>
      <c r="BK24" s="333">
        <v>0.44</v>
      </c>
      <c r="BL24" s="333">
        <v>0</v>
      </c>
      <c r="BN24" s="334">
        <v>15</v>
      </c>
      <c r="BO24" s="338">
        <v>99.659000000000006</v>
      </c>
      <c r="BP24" s="332">
        <v>1</v>
      </c>
      <c r="BQ24" s="338">
        <v>20</v>
      </c>
      <c r="BR24" s="333">
        <v>0</v>
      </c>
      <c r="BS24" s="333">
        <v>0</v>
      </c>
      <c r="BT24" s="333">
        <v>0</v>
      </c>
      <c r="BU24" s="333">
        <v>1</v>
      </c>
      <c r="BW24" s="331">
        <v>42</v>
      </c>
      <c r="BX24" s="331">
        <v>90.4</v>
      </c>
      <c r="BY24" s="332">
        <v>1</v>
      </c>
      <c r="BZ24" s="332">
        <v>24</v>
      </c>
      <c r="CA24" s="333">
        <v>0</v>
      </c>
      <c r="CB24" s="333">
        <v>0</v>
      </c>
      <c r="CC24" s="333">
        <v>0</v>
      </c>
      <c r="CD24" s="333">
        <v>1</v>
      </c>
    </row>
    <row r="25" spans="1:82" x14ac:dyDescent="0.25">
      <c r="A25" s="331">
        <v>48</v>
      </c>
      <c r="B25" s="331">
        <v>120</v>
      </c>
      <c r="C25" s="332">
        <v>2</v>
      </c>
      <c r="D25" s="332">
        <v>28</v>
      </c>
      <c r="E25" s="333">
        <v>0</v>
      </c>
      <c r="F25" s="333">
        <v>0</v>
      </c>
      <c r="G25" s="333">
        <v>0</v>
      </c>
      <c r="H25" s="333">
        <v>1</v>
      </c>
      <c r="J25" s="334">
        <v>16</v>
      </c>
      <c r="K25" s="334">
        <v>81</v>
      </c>
      <c r="L25" s="332">
        <v>1</v>
      </c>
      <c r="M25" s="334">
        <v>15</v>
      </c>
      <c r="N25" s="333">
        <v>0</v>
      </c>
      <c r="O25" s="333">
        <f>0.56</f>
        <v>0.56000000000000005</v>
      </c>
      <c r="P25" s="333">
        <v>0.44</v>
      </c>
      <c r="Q25" s="333">
        <v>0</v>
      </c>
      <c r="T25" s="334">
        <v>25</v>
      </c>
      <c r="U25" s="334">
        <v>335</v>
      </c>
      <c r="V25" s="332">
        <v>1</v>
      </c>
      <c r="W25" s="334">
        <v>54</v>
      </c>
      <c r="X25" s="333">
        <v>0</v>
      </c>
      <c r="Y25" s="333">
        <f>0.56</f>
        <v>0.56000000000000005</v>
      </c>
      <c r="Z25" s="333">
        <v>0.44</v>
      </c>
      <c r="AA25" s="333">
        <v>0</v>
      </c>
      <c r="AL25" s="334">
        <v>25</v>
      </c>
      <c r="AM25" s="338">
        <v>217.85774999999995</v>
      </c>
      <c r="AN25" s="332">
        <v>2</v>
      </c>
      <c r="AO25" s="338">
        <v>36.309624999999997</v>
      </c>
      <c r="AP25" s="333">
        <v>0.7</v>
      </c>
      <c r="AQ25" s="333">
        <v>0</v>
      </c>
      <c r="AR25" s="333">
        <v>0</v>
      </c>
      <c r="AS25" s="333">
        <v>0.3</v>
      </c>
      <c r="AU25" s="334">
        <v>30</v>
      </c>
      <c r="AV25" s="338">
        <v>157</v>
      </c>
      <c r="AW25" s="338">
        <v>130.83333333333334</v>
      </c>
      <c r="AX25" s="332">
        <v>2</v>
      </c>
      <c r="AY25" s="338">
        <v>26.166666666666671</v>
      </c>
      <c r="AZ25" s="333">
        <v>0.7</v>
      </c>
      <c r="BA25" s="333">
        <v>0.16800000000000001</v>
      </c>
      <c r="BB25" s="333">
        <v>0.13200000000000001</v>
      </c>
      <c r="BC25" s="333">
        <v>0</v>
      </c>
      <c r="BE25" s="334">
        <v>25</v>
      </c>
      <c r="BF25" s="338">
        <v>144</v>
      </c>
      <c r="BG25" s="332">
        <v>2</v>
      </c>
      <c r="BH25" s="338">
        <v>17</v>
      </c>
      <c r="BI25" s="333">
        <v>0.7</v>
      </c>
      <c r="BJ25" s="333">
        <v>0.16800000000000001</v>
      </c>
      <c r="BK25" s="333">
        <v>0.13200000000000001</v>
      </c>
      <c r="BL25" s="333">
        <v>0</v>
      </c>
      <c r="BN25" s="334">
        <v>25</v>
      </c>
      <c r="BO25" s="338">
        <v>174.28619999999998</v>
      </c>
      <c r="BP25" s="332">
        <v>2</v>
      </c>
      <c r="BQ25" s="338">
        <v>29.047699999999999</v>
      </c>
      <c r="BR25" s="333">
        <v>0.7</v>
      </c>
      <c r="BS25" s="333">
        <v>0</v>
      </c>
      <c r="BT25" s="333">
        <v>0</v>
      </c>
      <c r="BU25" s="333">
        <v>0.3</v>
      </c>
      <c r="BW25" s="331">
        <v>48</v>
      </c>
      <c r="BX25" s="331">
        <v>96</v>
      </c>
      <c r="BY25" s="332">
        <v>2</v>
      </c>
      <c r="BZ25" s="332">
        <v>22.400000000000002</v>
      </c>
      <c r="CA25" s="333">
        <v>0</v>
      </c>
      <c r="CB25" s="333">
        <v>0</v>
      </c>
      <c r="CC25" s="333">
        <v>0</v>
      </c>
      <c r="CD25" s="333">
        <v>1</v>
      </c>
    </row>
    <row r="26" spans="1:82" x14ac:dyDescent="0.25">
      <c r="A26" s="331">
        <v>56</v>
      </c>
      <c r="B26" s="331">
        <v>138</v>
      </c>
      <c r="C26" s="332">
        <v>3</v>
      </c>
      <c r="D26" s="332">
        <v>36</v>
      </c>
      <c r="E26" s="333">
        <v>0</v>
      </c>
      <c r="F26" s="333">
        <v>0</v>
      </c>
      <c r="G26" s="333">
        <v>0</v>
      </c>
      <c r="H26" s="333">
        <v>1</v>
      </c>
      <c r="J26" s="334">
        <v>20</v>
      </c>
      <c r="K26" s="334">
        <v>119</v>
      </c>
      <c r="L26" s="332">
        <v>2</v>
      </c>
      <c r="M26" s="334">
        <v>22</v>
      </c>
      <c r="N26" s="333">
        <v>0</v>
      </c>
      <c r="O26" s="333">
        <f>0.56</f>
        <v>0.56000000000000005</v>
      </c>
      <c r="P26" s="333">
        <v>0.44</v>
      </c>
      <c r="Q26" s="333">
        <v>0</v>
      </c>
      <c r="T26" s="334">
        <v>30</v>
      </c>
      <c r="U26" s="334">
        <v>421</v>
      </c>
      <c r="V26" s="332">
        <v>2</v>
      </c>
      <c r="W26" s="334">
        <v>54</v>
      </c>
      <c r="X26" s="333">
        <v>0.7</v>
      </c>
      <c r="Y26" s="333">
        <f>0.3*0.56</f>
        <v>0.16800000000000001</v>
      </c>
      <c r="Z26" s="333">
        <f>0.3*0.44</f>
        <v>0.13200000000000001</v>
      </c>
      <c r="AA26" s="333">
        <v>0</v>
      </c>
      <c r="AL26" s="334">
        <v>35</v>
      </c>
      <c r="AM26" s="338">
        <v>330.732125</v>
      </c>
      <c r="AN26" s="332">
        <v>3</v>
      </c>
      <c r="AO26" s="338">
        <v>55.12202083333333</v>
      </c>
      <c r="AP26" s="333">
        <v>0.7</v>
      </c>
      <c r="AQ26" s="333">
        <v>0</v>
      </c>
      <c r="AR26" s="333">
        <v>0</v>
      </c>
      <c r="AS26" s="333">
        <v>0.3</v>
      </c>
      <c r="AU26" s="334">
        <v>40</v>
      </c>
      <c r="AV26" s="338">
        <v>201.30555555555554</v>
      </c>
      <c r="AW26" s="338">
        <v>164</v>
      </c>
      <c r="AX26" s="332">
        <v>3</v>
      </c>
      <c r="AY26" s="338">
        <v>37.305555555555557</v>
      </c>
      <c r="AZ26" s="333">
        <v>0.7</v>
      </c>
      <c r="BA26" s="333">
        <v>0.16800000000000001</v>
      </c>
      <c r="BB26" s="333">
        <v>0.13200000000000001</v>
      </c>
      <c r="BC26" s="333">
        <v>0</v>
      </c>
      <c r="BE26" s="334">
        <v>30</v>
      </c>
      <c r="BF26" s="338">
        <v>194</v>
      </c>
      <c r="BG26" s="332">
        <v>3</v>
      </c>
      <c r="BH26" s="338">
        <v>34</v>
      </c>
      <c r="BI26" s="333">
        <v>0.7</v>
      </c>
      <c r="BJ26" s="333">
        <v>0.16800000000000001</v>
      </c>
      <c r="BK26" s="333">
        <v>0.13200000000000001</v>
      </c>
      <c r="BL26" s="333">
        <v>0</v>
      </c>
      <c r="BN26" s="334">
        <v>35</v>
      </c>
      <c r="BO26" s="338">
        <v>264.58570000000003</v>
      </c>
      <c r="BP26" s="332">
        <v>3</v>
      </c>
      <c r="BQ26" s="338">
        <v>44.097616666666674</v>
      </c>
      <c r="BR26" s="333">
        <v>0.7</v>
      </c>
      <c r="BS26" s="333">
        <v>0</v>
      </c>
      <c r="BT26" s="333">
        <v>0</v>
      </c>
      <c r="BU26" s="333">
        <v>0.3</v>
      </c>
      <c r="BW26" s="331">
        <v>56</v>
      </c>
      <c r="BX26" s="331">
        <v>110.4</v>
      </c>
      <c r="BY26" s="332">
        <v>3</v>
      </c>
      <c r="BZ26" s="332">
        <v>28.8</v>
      </c>
      <c r="CA26" s="333">
        <v>0</v>
      </c>
      <c r="CB26" s="333">
        <v>0</v>
      </c>
      <c r="CC26" s="333">
        <v>0</v>
      </c>
      <c r="CD26" s="333">
        <v>1</v>
      </c>
    </row>
    <row r="27" spans="1:82" x14ac:dyDescent="0.25">
      <c r="A27" s="331">
        <v>64</v>
      </c>
      <c r="B27" s="331">
        <v>155</v>
      </c>
      <c r="C27" s="332">
        <v>4</v>
      </c>
      <c r="D27" s="332">
        <v>41</v>
      </c>
      <c r="E27" s="333">
        <v>0.7</v>
      </c>
      <c r="F27" s="333">
        <v>0</v>
      </c>
      <c r="G27" s="333">
        <v>0</v>
      </c>
      <c r="H27" s="333">
        <v>0.3</v>
      </c>
      <c r="J27" s="334">
        <v>24</v>
      </c>
      <c r="K27" s="334">
        <v>157</v>
      </c>
      <c r="L27" s="332">
        <v>3</v>
      </c>
      <c r="M27" s="334">
        <v>31</v>
      </c>
      <c r="N27" s="333">
        <v>0.7</v>
      </c>
      <c r="O27" s="333">
        <f t="shared" ref="O27:O33" si="6">0.3*0.56</f>
        <v>0.16800000000000001</v>
      </c>
      <c r="P27" s="333">
        <f t="shared" ref="P27:P33" si="7">0.3*0.44</f>
        <v>0.13200000000000001</v>
      </c>
      <c r="Q27" s="333">
        <v>0</v>
      </c>
      <c r="T27" s="334">
        <v>35</v>
      </c>
      <c r="U27" s="334">
        <v>505</v>
      </c>
      <c r="V27" s="332">
        <v>3</v>
      </c>
      <c r="W27" s="334">
        <v>69</v>
      </c>
      <c r="X27" s="333">
        <v>0.7</v>
      </c>
      <c r="Y27" s="333">
        <f t="shared" ref="Y27:Y32" si="8">0.3*0.56</f>
        <v>0.16800000000000001</v>
      </c>
      <c r="Z27" s="333">
        <f t="shared" ref="Z27:Z32" si="9">0.3*0.44</f>
        <v>0.13200000000000001</v>
      </c>
      <c r="AA27" s="333">
        <v>0</v>
      </c>
      <c r="AL27" s="334">
        <v>45</v>
      </c>
      <c r="AM27" s="338">
        <v>455.69410416666676</v>
      </c>
      <c r="AN27" s="332">
        <v>4</v>
      </c>
      <c r="AO27" s="338">
        <v>75.949017361111132</v>
      </c>
      <c r="AP27" s="333">
        <v>0.9</v>
      </c>
      <c r="AQ27" s="333">
        <v>0</v>
      </c>
      <c r="AR27" s="333">
        <v>0</v>
      </c>
      <c r="AS27" s="333">
        <v>0.1</v>
      </c>
      <c r="AU27" s="334">
        <v>50</v>
      </c>
      <c r="AV27" s="338">
        <v>233.11574074074076</v>
      </c>
      <c r="AW27" s="338">
        <v>186</v>
      </c>
      <c r="AX27" s="332">
        <v>4</v>
      </c>
      <c r="AY27" s="338">
        <v>47.115740740740748</v>
      </c>
      <c r="AZ27" s="333">
        <v>0.7</v>
      </c>
      <c r="BA27" s="333">
        <v>0.16800000000000001</v>
      </c>
      <c r="BB27" s="333">
        <v>0.13200000000000001</v>
      </c>
      <c r="BC27" s="333">
        <v>0</v>
      </c>
      <c r="BE27" s="334">
        <v>35</v>
      </c>
      <c r="BF27" s="338">
        <v>233</v>
      </c>
      <c r="BG27" s="332">
        <v>4</v>
      </c>
      <c r="BH27" s="338">
        <v>41</v>
      </c>
      <c r="BI27" s="333">
        <v>0.7</v>
      </c>
      <c r="BJ27" s="333">
        <v>0.16800000000000001</v>
      </c>
      <c r="BK27" s="333">
        <v>0.13200000000000001</v>
      </c>
      <c r="BL27" s="333">
        <v>0</v>
      </c>
      <c r="BN27" s="334">
        <v>45</v>
      </c>
      <c r="BO27" s="338">
        <v>364.55528333333342</v>
      </c>
      <c r="BP27" s="332">
        <v>4</v>
      </c>
      <c r="BQ27" s="338">
        <v>60.759213888888908</v>
      </c>
      <c r="BR27" s="333">
        <v>0.9</v>
      </c>
      <c r="BS27" s="333">
        <v>0</v>
      </c>
      <c r="BT27" s="333">
        <v>0</v>
      </c>
      <c r="BU27" s="333">
        <v>0.1</v>
      </c>
      <c r="BW27" s="331">
        <v>64</v>
      </c>
      <c r="BX27" s="331">
        <v>124</v>
      </c>
      <c r="BY27" s="332">
        <v>4</v>
      </c>
      <c r="BZ27" s="332">
        <v>32.800000000000004</v>
      </c>
      <c r="CA27" s="333">
        <v>0.7</v>
      </c>
      <c r="CB27" s="333">
        <v>0</v>
      </c>
      <c r="CC27" s="333">
        <v>0</v>
      </c>
      <c r="CD27" s="333">
        <v>0.3</v>
      </c>
    </row>
    <row r="28" spans="1:82" x14ac:dyDescent="0.25">
      <c r="A28" s="331">
        <v>72</v>
      </c>
      <c r="B28" s="331">
        <v>160</v>
      </c>
      <c r="C28" s="332">
        <v>5</v>
      </c>
      <c r="D28" s="332">
        <v>32</v>
      </c>
      <c r="E28" s="333">
        <v>0.7</v>
      </c>
      <c r="F28" s="333">
        <v>0</v>
      </c>
      <c r="G28" s="333">
        <v>0</v>
      </c>
      <c r="H28" s="333">
        <v>0.3</v>
      </c>
      <c r="J28" s="334">
        <v>28</v>
      </c>
      <c r="K28" s="334">
        <v>190</v>
      </c>
      <c r="L28" s="332">
        <v>4</v>
      </c>
      <c r="M28" s="334">
        <v>35</v>
      </c>
      <c r="N28" s="333">
        <v>0.7</v>
      </c>
      <c r="O28" s="333">
        <f t="shared" si="6"/>
        <v>0.16800000000000001</v>
      </c>
      <c r="P28" s="333">
        <f t="shared" si="7"/>
        <v>0.13200000000000001</v>
      </c>
      <c r="Q28" s="333">
        <v>0</v>
      </c>
      <c r="T28" s="334">
        <v>40</v>
      </c>
      <c r="U28" s="334">
        <v>564</v>
      </c>
      <c r="V28" s="332">
        <v>4</v>
      </c>
      <c r="W28" s="334">
        <v>72</v>
      </c>
      <c r="X28" s="333">
        <v>0.7</v>
      </c>
      <c r="Y28" s="333">
        <f t="shared" si="8"/>
        <v>0.16800000000000001</v>
      </c>
      <c r="Z28" s="333">
        <f t="shared" si="9"/>
        <v>0.13200000000000001</v>
      </c>
      <c r="AA28" s="333">
        <v>0</v>
      </c>
      <c r="AL28" s="334">
        <v>55</v>
      </c>
      <c r="AM28" s="338">
        <v>590.64383680555557</v>
      </c>
      <c r="AN28" s="332" t="s">
        <v>333</v>
      </c>
      <c r="AO28" s="338">
        <v>590.64383680555557</v>
      </c>
      <c r="AP28" s="333">
        <v>0.9</v>
      </c>
      <c r="AQ28" s="333">
        <v>0</v>
      </c>
      <c r="AR28" s="333">
        <v>0</v>
      </c>
      <c r="AS28" s="333">
        <v>0.1</v>
      </c>
      <c r="AU28" s="334">
        <v>60</v>
      </c>
      <c r="AV28" s="338">
        <v>266</v>
      </c>
      <c r="AW28" s="338">
        <v>221</v>
      </c>
      <c r="AX28" s="332">
        <v>5</v>
      </c>
      <c r="AY28" s="338">
        <v>45</v>
      </c>
      <c r="AZ28" s="333">
        <v>0.7</v>
      </c>
      <c r="BA28" s="333">
        <v>0.16800000000000001</v>
      </c>
      <c r="BB28" s="333">
        <v>0.13200000000000001</v>
      </c>
      <c r="BC28" s="333">
        <v>0</v>
      </c>
      <c r="BE28" s="334">
        <v>40</v>
      </c>
      <c r="BF28" s="338">
        <v>264</v>
      </c>
      <c r="BG28" s="332">
        <v>5</v>
      </c>
      <c r="BH28" s="338">
        <v>41</v>
      </c>
      <c r="BI28" s="333">
        <v>0.7</v>
      </c>
      <c r="BJ28" s="333">
        <v>0.16800000000000001</v>
      </c>
      <c r="BK28" s="333">
        <v>0.13200000000000001</v>
      </c>
      <c r="BL28" s="333">
        <v>0</v>
      </c>
      <c r="BN28" s="334">
        <v>55</v>
      </c>
      <c r="BO28" s="338">
        <v>468.51506944444446</v>
      </c>
      <c r="BP28" s="332" t="s">
        <v>333</v>
      </c>
      <c r="BQ28" s="338">
        <v>468.51506944444446</v>
      </c>
      <c r="BR28" s="333">
        <v>0.9</v>
      </c>
      <c r="BS28" s="333">
        <v>0</v>
      </c>
      <c r="BT28" s="333">
        <v>0</v>
      </c>
      <c r="BU28" s="333">
        <v>0.1</v>
      </c>
      <c r="BW28" s="331">
        <v>72</v>
      </c>
      <c r="BX28" s="331">
        <v>128</v>
      </c>
      <c r="BY28" s="332">
        <v>5</v>
      </c>
      <c r="BZ28" s="332">
        <v>25.6</v>
      </c>
      <c r="CA28" s="333">
        <v>0.7</v>
      </c>
      <c r="CB28" s="333">
        <v>0</v>
      </c>
      <c r="CC28" s="333">
        <v>0</v>
      </c>
      <c r="CD28" s="333">
        <v>0.3</v>
      </c>
    </row>
    <row r="29" spans="1:82" x14ac:dyDescent="0.25">
      <c r="A29" s="331">
        <v>81</v>
      </c>
      <c r="B29" s="331">
        <v>172</v>
      </c>
      <c r="C29" s="332">
        <v>6</v>
      </c>
      <c r="D29" s="332">
        <v>31</v>
      </c>
      <c r="E29" s="333">
        <v>0.7</v>
      </c>
      <c r="F29" s="333">
        <v>0</v>
      </c>
      <c r="G29" s="333">
        <v>0</v>
      </c>
      <c r="H29" s="333">
        <v>0.3</v>
      </c>
      <c r="J29" s="334">
        <v>34</v>
      </c>
      <c r="K29" s="334">
        <v>244</v>
      </c>
      <c r="L29" s="332">
        <v>5</v>
      </c>
      <c r="M29" s="334">
        <v>46</v>
      </c>
      <c r="N29" s="333">
        <v>0.7</v>
      </c>
      <c r="O29" s="333">
        <f t="shared" si="6"/>
        <v>0.16800000000000001</v>
      </c>
      <c r="P29" s="333">
        <f t="shared" si="7"/>
        <v>0.13200000000000001</v>
      </c>
      <c r="Q29" s="333">
        <v>0</v>
      </c>
      <c r="T29" s="334">
        <v>45</v>
      </c>
      <c r="U29" s="334">
        <v>606</v>
      </c>
      <c r="V29" s="332">
        <v>5</v>
      </c>
      <c r="W29" s="334">
        <v>66</v>
      </c>
      <c r="X29" s="333">
        <v>0.7</v>
      </c>
      <c r="Y29" s="333">
        <f t="shared" si="8"/>
        <v>0.16800000000000001</v>
      </c>
      <c r="Z29" s="333">
        <f t="shared" si="9"/>
        <v>0.13200000000000001</v>
      </c>
      <c r="AA29" s="333">
        <v>0</v>
      </c>
      <c r="AL29" s="343"/>
      <c r="AM29" s="343"/>
      <c r="AN29" s="344"/>
      <c r="AO29" s="344"/>
      <c r="AP29" s="343"/>
      <c r="AQ29" s="343"/>
      <c r="AR29" s="343"/>
      <c r="AS29" s="343"/>
      <c r="AU29" s="334">
        <v>70</v>
      </c>
      <c r="AV29" s="338">
        <v>296</v>
      </c>
      <c r="AW29" s="338">
        <v>251</v>
      </c>
      <c r="AX29" s="332">
        <v>6</v>
      </c>
      <c r="AY29" s="338">
        <v>45</v>
      </c>
      <c r="AZ29" s="333">
        <v>0.7</v>
      </c>
      <c r="BA29" s="333">
        <v>0.16800000000000001</v>
      </c>
      <c r="BB29" s="333">
        <v>0.13200000000000001</v>
      </c>
      <c r="BC29" s="333">
        <v>0</v>
      </c>
      <c r="BE29" s="334">
        <v>45</v>
      </c>
      <c r="BF29" s="338">
        <v>306</v>
      </c>
      <c r="BG29" s="332">
        <v>6</v>
      </c>
      <c r="BH29" s="338">
        <v>41</v>
      </c>
      <c r="BI29" s="333">
        <v>0.7</v>
      </c>
      <c r="BJ29" s="333">
        <v>0.16800000000000001</v>
      </c>
      <c r="BK29" s="333">
        <v>0.13200000000000001</v>
      </c>
      <c r="BL29" s="333">
        <v>0</v>
      </c>
      <c r="BN29" s="343"/>
      <c r="BO29" s="343"/>
      <c r="BP29" s="344"/>
      <c r="BQ29" s="344"/>
      <c r="BR29" s="343"/>
      <c r="BS29" s="343"/>
      <c r="BT29" s="343"/>
      <c r="BU29" s="343"/>
      <c r="BW29" s="331">
        <v>81</v>
      </c>
      <c r="BX29" s="331">
        <v>137.6</v>
      </c>
      <c r="BY29" s="332">
        <v>6</v>
      </c>
      <c r="BZ29" s="332">
        <v>24.8</v>
      </c>
      <c r="CA29" s="333">
        <v>0.7</v>
      </c>
      <c r="CB29" s="333">
        <v>0</v>
      </c>
      <c r="CC29" s="333">
        <v>0</v>
      </c>
      <c r="CD29" s="333">
        <v>0.3</v>
      </c>
    </row>
    <row r="30" spans="1:82" x14ac:dyDescent="0.25">
      <c r="A30" s="331">
        <v>90</v>
      </c>
      <c r="B30" s="331">
        <v>184</v>
      </c>
      <c r="C30" s="332">
        <v>7</v>
      </c>
      <c r="D30" s="332">
        <v>30</v>
      </c>
      <c r="E30" s="333">
        <v>0.7</v>
      </c>
      <c r="F30" s="333">
        <v>0</v>
      </c>
      <c r="G30" s="333">
        <v>0</v>
      </c>
      <c r="H30" s="333">
        <v>0.3</v>
      </c>
      <c r="J30" s="334">
        <v>40</v>
      </c>
      <c r="K30" s="334">
        <v>275</v>
      </c>
      <c r="L30" s="332">
        <v>6</v>
      </c>
      <c r="M30" s="334">
        <v>41</v>
      </c>
      <c r="N30" s="333">
        <v>0.7</v>
      </c>
      <c r="O30" s="333">
        <f t="shared" si="6"/>
        <v>0.16800000000000001</v>
      </c>
      <c r="P30" s="333">
        <f t="shared" si="7"/>
        <v>0.13200000000000001</v>
      </c>
      <c r="Q30" s="333">
        <v>0</v>
      </c>
      <c r="T30" s="334">
        <v>50</v>
      </c>
      <c r="U30" s="334">
        <v>629</v>
      </c>
      <c r="V30" s="332">
        <v>6</v>
      </c>
      <c r="W30" s="334">
        <v>48</v>
      </c>
      <c r="X30" s="333">
        <v>0.7</v>
      </c>
      <c r="Y30" s="333">
        <f t="shared" si="8"/>
        <v>0.16800000000000001</v>
      </c>
      <c r="Z30" s="333">
        <f t="shared" si="9"/>
        <v>0.13200000000000001</v>
      </c>
      <c r="AA30" s="333">
        <v>0</v>
      </c>
      <c r="AU30" s="334">
        <v>80</v>
      </c>
      <c r="AV30" s="338">
        <v>340</v>
      </c>
      <c r="AW30" s="338">
        <v>290</v>
      </c>
      <c r="AX30" s="332">
        <v>7</v>
      </c>
      <c r="AY30" s="338">
        <v>50</v>
      </c>
      <c r="AZ30" s="333">
        <v>0.7</v>
      </c>
      <c r="BA30" s="333">
        <v>0.16800000000000001</v>
      </c>
      <c r="BB30" s="333">
        <v>0.13200000000000001</v>
      </c>
      <c r="BC30" s="333">
        <v>0</v>
      </c>
      <c r="BE30" s="334">
        <v>50</v>
      </c>
      <c r="BF30" s="338">
        <v>352</v>
      </c>
      <c r="BG30" s="332">
        <v>7</v>
      </c>
      <c r="BH30" s="338">
        <v>53</v>
      </c>
      <c r="BI30" s="333">
        <v>0.7</v>
      </c>
      <c r="BJ30" s="333">
        <v>0.16800000000000001</v>
      </c>
      <c r="BK30" s="333">
        <v>0.13200000000000001</v>
      </c>
      <c r="BL30" s="333">
        <v>0</v>
      </c>
      <c r="BW30" s="331">
        <v>90</v>
      </c>
      <c r="BX30" s="331">
        <v>147.20000000000002</v>
      </c>
      <c r="BY30" s="332">
        <v>7</v>
      </c>
      <c r="BZ30" s="332">
        <v>24</v>
      </c>
      <c r="CA30" s="333">
        <v>0.7</v>
      </c>
      <c r="CB30" s="333">
        <v>0</v>
      </c>
      <c r="CC30" s="333">
        <v>0</v>
      </c>
      <c r="CD30" s="333">
        <v>0.3</v>
      </c>
    </row>
    <row r="31" spans="1:82" x14ac:dyDescent="0.25">
      <c r="A31" s="331">
        <v>102</v>
      </c>
      <c r="B31" s="331">
        <v>211</v>
      </c>
      <c r="C31" s="332">
        <v>8</v>
      </c>
      <c r="D31" s="332">
        <v>41</v>
      </c>
      <c r="E31" s="333">
        <v>0.9</v>
      </c>
      <c r="F31" s="333">
        <v>0</v>
      </c>
      <c r="G31" s="333">
        <v>0</v>
      </c>
      <c r="H31" s="333">
        <v>0.1</v>
      </c>
      <c r="J31" s="334">
        <v>46</v>
      </c>
      <c r="K31" s="334">
        <v>293</v>
      </c>
      <c r="L31" s="332">
        <v>7</v>
      </c>
      <c r="M31" s="334">
        <v>29</v>
      </c>
      <c r="N31" s="333">
        <v>0.7</v>
      </c>
      <c r="O31" s="333">
        <f t="shared" si="6"/>
        <v>0.16800000000000001</v>
      </c>
      <c r="P31" s="333">
        <f t="shared" si="7"/>
        <v>0.13200000000000001</v>
      </c>
      <c r="Q31" s="333">
        <v>0</v>
      </c>
      <c r="T31" s="334">
        <v>55</v>
      </c>
      <c r="U31" s="334">
        <v>650</v>
      </c>
      <c r="V31" s="332">
        <v>7</v>
      </c>
      <c r="W31" s="334">
        <v>35</v>
      </c>
      <c r="X31" s="333">
        <v>0.7</v>
      </c>
      <c r="Y31" s="333">
        <f t="shared" si="8"/>
        <v>0.16800000000000001</v>
      </c>
      <c r="Z31" s="333">
        <f t="shared" si="9"/>
        <v>0.13200000000000001</v>
      </c>
      <c r="AA31" s="333">
        <v>0</v>
      </c>
      <c r="AU31" s="334">
        <v>90</v>
      </c>
      <c r="AV31" s="338">
        <v>370</v>
      </c>
      <c r="AW31" s="338">
        <v>310</v>
      </c>
      <c r="AX31" s="332">
        <v>8</v>
      </c>
      <c r="AY31" s="338">
        <v>60</v>
      </c>
      <c r="AZ31" s="333">
        <v>0.7</v>
      </c>
      <c r="BA31" s="333">
        <v>0.16800000000000001</v>
      </c>
      <c r="BB31" s="333">
        <v>0.13200000000000001</v>
      </c>
      <c r="BC31" s="333">
        <v>0</v>
      </c>
      <c r="BE31" s="334">
        <v>58</v>
      </c>
      <c r="BF31" s="338">
        <v>440</v>
      </c>
      <c r="BG31" s="332">
        <v>8</v>
      </c>
      <c r="BH31" s="338">
        <v>78</v>
      </c>
      <c r="BI31" s="333">
        <v>0.7</v>
      </c>
      <c r="BJ31" s="333">
        <v>0.16800000000000001</v>
      </c>
      <c r="BK31" s="333">
        <v>0.13200000000000001</v>
      </c>
      <c r="BL31" s="333">
        <v>0</v>
      </c>
      <c r="BW31" s="331">
        <v>102</v>
      </c>
      <c r="BX31" s="331">
        <v>168.8</v>
      </c>
      <c r="BY31" s="332">
        <v>8</v>
      </c>
      <c r="BZ31" s="332">
        <v>32.800000000000004</v>
      </c>
      <c r="CA31" s="333">
        <v>0.9</v>
      </c>
      <c r="CB31" s="333">
        <v>0</v>
      </c>
      <c r="CC31" s="333">
        <v>0</v>
      </c>
      <c r="CD31" s="333">
        <v>0.1</v>
      </c>
    </row>
    <row r="32" spans="1:82" x14ac:dyDescent="0.25">
      <c r="A32" s="331">
        <v>114</v>
      </c>
      <c r="B32" s="331">
        <v>225</v>
      </c>
      <c r="C32" s="332">
        <v>9</v>
      </c>
      <c r="D32" s="332">
        <v>37</v>
      </c>
      <c r="E32" s="333">
        <v>0.9</v>
      </c>
      <c r="F32" s="333">
        <v>0</v>
      </c>
      <c r="G32" s="333">
        <v>0</v>
      </c>
      <c r="H32" s="333">
        <v>0.1</v>
      </c>
      <c r="J32" s="334">
        <v>54</v>
      </c>
      <c r="K32" s="334">
        <v>311</v>
      </c>
      <c r="L32" s="332">
        <v>8</v>
      </c>
      <c r="M32" s="334">
        <v>16</v>
      </c>
      <c r="N32" s="333">
        <v>0.7</v>
      </c>
      <c r="O32" s="333">
        <f t="shared" si="6"/>
        <v>0.16800000000000001</v>
      </c>
      <c r="P32" s="333">
        <f t="shared" si="7"/>
        <v>0.13200000000000001</v>
      </c>
      <c r="Q32" s="333">
        <v>0</v>
      </c>
      <c r="T32" s="334">
        <v>60</v>
      </c>
      <c r="U32" s="334">
        <v>666</v>
      </c>
      <c r="V32" s="332" t="s">
        <v>333</v>
      </c>
      <c r="W32" s="334">
        <f>637+29</f>
        <v>666</v>
      </c>
      <c r="X32" s="333">
        <v>0.7</v>
      </c>
      <c r="Y32" s="333">
        <f t="shared" si="8"/>
        <v>0.16800000000000001</v>
      </c>
      <c r="Z32" s="333">
        <f t="shared" si="9"/>
        <v>0.13200000000000001</v>
      </c>
      <c r="AA32" s="333">
        <v>0</v>
      </c>
      <c r="AU32" s="334">
        <v>100</v>
      </c>
      <c r="AV32" s="338">
        <v>384.41203703703701</v>
      </c>
      <c r="AW32" s="338">
        <v>0</v>
      </c>
      <c r="AX32" s="332" t="s">
        <v>333</v>
      </c>
      <c r="AY32" s="338">
        <f>AV32</f>
        <v>384.41203703703701</v>
      </c>
      <c r="AZ32" s="333">
        <v>0.7</v>
      </c>
      <c r="BA32" s="333">
        <v>0.16800000000000001</v>
      </c>
      <c r="BB32" s="333">
        <v>0.13200000000000001</v>
      </c>
      <c r="BC32" s="333">
        <v>0</v>
      </c>
      <c r="BE32" s="334">
        <v>66</v>
      </c>
      <c r="BF32" s="338">
        <v>495</v>
      </c>
      <c r="BG32" s="332">
        <v>9</v>
      </c>
      <c r="BH32" s="338">
        <v>65</v>
      </c>
      <c r="BI32" s="333">
        <v>0.7</v>
      </c>
      <c r="BJ32" s="333">
        <v>0.16800000000000001</v>
      </c>
      <c r="BK32" s="333">
        <v>0.13200000000000001</v>
      </c>
      <c r="BL32" s="333">
        <v>0</v>
      </c>
      <c r="BW32" s="331">
        <v>114</v>
      </c>
      <c r="BX32" s="331">
        <v>180</v>
      </c>
      <c r="BY32" s="332">
        <v>9</v>
      </c>
      <c r="BZ32" s="332">
        <v>29.6</v>
      </c>
      <c r="CA32" s="333">
        <v>0.9</v>
      </c>
      <c r="CB32" s="333">
        <v>0</v>
      </c>
      <c r="CC32" s="333">
        <v>0</v>
      </c>
      <c r="CD32" s="333">
        <v>0.1</v>
      </c>
    </row>
    <row r="33" spans="1:82" x14ac:dyDescent="0.25">
      <c r="A33" s="331">
        <v>126</v>
      </c>
      <c r="B33" s="331">
        <v>243</v>
      </c>
      <c r="C33" s="332">
        <v>10</v>
      </c>
      <c r="D33" s="332">
        <v>38</v>
      </c>
      <c r="E33" s="333">
        <v>0.9</v>
      </c>
      <c r="F33" s="333">
        <v>0</v>
      </c>
      <c r="G33" s="333">
        <v>0</v>
      </c>
      <c r="H33" s="333">
        <v>0.1</v>
      </c>
      <c r="J33" s="334">
        <v>62</v>
      </c>
      <c r="K33" s="334">
        <v>316</v>
      </c>
      <c r="L33" s="332" t="s">
        <v>333</v>
      </c>
      <c r="M33" s="334">
        <f>309+7</f>
        <v>316</v>
      </c>
      <c r="N33" s="333">
        <v>0.7</v>
      </c>
      <c r="O33" s="333">
        <f t="shared" si="6"/>
        <v>0.16800000000000001</v>
      </c>
      <c r="P33" s="333">
        <f t="shared" si="7"/>
        <v>0.13200000000000001</v>
      </c>
      <c r="Q33" s="333">
        <v>0</v>
      </c>
      <c r="BE33" s="334">
        <v>74</v>
      </c>
      <c r="BF33" s="338">
        <v>533</v>
      </c>
      <c r="BG33" s="332">
        <v>10</v>
      </c>
      <c r="BH33" s="338">
        <v>37</v>
      </c>
      <c r="BI33" s="333">
        <v>0.7</v>
      </c>
      <c r="BJ33" s="333">
        <v>0.16800000000000001</v>
      </c>
      <c r="BK33" s="333">
        <v>0.13200000000000001</v>
      </c>
      <c r="BL33" s="333">
        <v>0</v>
      </c>
      <c r="BW33" s="331">
        <v>126</v>
      </c>
      <c r="BX33" s="331">
        <v>194.4</v>
      </c>
      <c r="BY33" s="332">
        <v>10</v>
      </c>
      <c r="BZ33" s="332">
        <v>30.400000000000002</v>
      </c>
      <c r="CA33" s="333">
        <v>0.9</v>
      </c>
      <c r="CB33" s="333">
        <v>0</v>
      </c>
      <c r="CC33" s="333">
        <v>0</v>
      </c>
      <c r="CD33" s="333">
        <v>0.1</v>
      </c>
    </row>
    <row r="34" spans="1:82" x14ac:dyDescent="0.25">
      <c r="A34" s="331">
        <v>138</v>
      </c>
      <c r="B34" s="331">
        <v>262</v>
      </c>
      <c r="C34" s="332">
        <v>11</v>
      </c>
      <c r="D34" s="332">
        <v>39</v>
      </c>
      <c r="E34" s="333">
        <v>0.9</v>
      </c>
      <c r="F34" s="333">
        <v>0</v>
      </c>
      <c r="G34" s="333">
        <v>0</v>
      </c>
      <c r="H34" s="333">
        <v>0.1</v>
      </c>
      <c r="BE34" s="334">
        <v>82</v>
      </c>
      <c r="BF34" s="338">
        <v>567</v>
      </c>
      <c r="BG34" s="332" t="s">
        <v>333</v>
      </c>
      <c r="BH34" s="338">
        <f>541+26</f>
        <v>567</v>
      </c>
      <c r="BI34" s="333">
        <v>0.7</v>
      </c>
      <c r="BJ34" s="333">
        <v>0.16800000000000001</v>
      </c>
      <c r="BK34" s="333">
        <v>0.13200000000000001</v>
      </c>
      <c r="BL34" s="333">
        <v>0</v>
      </c>
      <c r="BW34" s="331">
        <v>138</v>
      </c>
      <c r="BX34" s="331">
        <v>209.60000000000002</v>
      </c>
      <c r="BY34" s="332">
        <v>11</v>
      </c>
      <c r="BZ34" s="332">
        <v>31.200000000000003</v>
      </c>
      <c r="CA34" s="333">
        <v>0.9</v>
      </c>
      <c r="CB34" s="333">
        <v>0</v>
      </c>
      <c r="CC34" s="333">
        <v>0</v>
      </c>
      <c r="CD34" s="333">
        <v>0.1</v>
      </c>
    </row>
    <row r="35" spans="1:82" x14ac:dyDescent="0.25">
      <c r="A35" s="331">
        <v>153</v>
      </c>
      <c r="B35" s="331">
        <v>296</v>
      </c>
      <c r="C35" s="332" t="s">
        <v>333</v>
      </c>
      <c r="D35" s="332">
        <v>296</v>
      </c>
      <c r="E35" s="333">
        <v>0.9</v>
      </c>
      <c r="F35" s="333">
        <v>0</v>
      </c>
      <c r="G35" s="333">
        <v>0</v>
      </c>
      <c r="H35" s="333">
        <v>0.1</v>
      </c>
      <c r="BW35" s="331">
        <v>153</v>
      </c>
      <c r="BX35" s="331">
        <v>236.8</v>
      </c>
      <c r="BY35" s="332" t="s">
        <v>333</v>
      </c>
      <c r="BZ35" s="332">
        <v>236.8</v>
      </c>
      <c r="CA35" s="333">
        <v>0.9</v>
      </c>
      <c r="CB35" s="333">
        <v>0</v>
      </c>
      <c r="CC35" s="333">
        <v>0</v>
      </c>
      <c r="CD35" s="333">
        <v>0.1</v>
      </c>
    </row>
    <row r="37" spans="1:82" x14ac:dyDescent="0.25">
      <c r="A37" s="309" t="s">
        <v>358</v>
      </c>
      <c r="J37" s="309" t="s">
        <v>358</v>
      </c>
      <c r="T37" s="309" t="s">
        <v>358</v>
      </c>
      <c r="AL37" s="309" t="s">
        <v>358</v>
      </c>
      <c r="BE37" s="309" t="s">
        <v>358</v>
      </c>
      <c r="BN37" s="309" t="s">
        <v>358</v>
      </c>
      <c r="BW37" s="309" t="s">
        <v>358</v>
      </c>
    </row>
    <row r="38" spans="1:82" x14ac:dyDescent="0.25">
      <c r="A38" s="316"/>
      <c r="B38" s="317" t="s">
        <v>185</v>
      </c>
      <c r="C38" s="318" t="s">
        <v>186</v>
      </c>
      <c r="D38" s="319"/>
      <c r="E38" s="320" t="s">
        <v>187</v>
      </c>
      <c r="F38" s="321"/>
      <c r="G38" s="321"/>
      <c r="H38" s="322"/>
      <c r="J38" s="316"/>
      <c r="K38" s="317" t="s">
        <v>185</v>
      </c>
      <c r="L38" s="325" t="s">
        <v>186</v>
      </c>
      <c r="M38" s="324"/>
      <c r="N38" s="326" t="s">
        <v>187</v>
      </c>
      <c r="O38" s="327"/>
      <c r="P38" s="327"/>
      <c r="Q38" s="328"/>
      <c r="T38" s="316"/>
      <c r="U38" s="317" t="s">
        <v>185</v>
      </c>
      <c r="V38" s="325" t="s">
        <v>186</v>
      </c>
      <c r="W38" s="324"/>
      <c r="X38" s="326" t="s">
        <v>187</v>
      </c>
      <c r="Y38" s="327"/>
      <c r="Z38" s="327"/>
      <c r="AA38" s="328"/>
      <c r="AL38" s="316"/>
      <c r="AM38" s="317" t="s">
        <v>185</v>
      </c>
      <c r="AN38" s="325" t="s">
        <v>186</v>
      </c>
      <c r="AO38" s="324"/>
      <c r="AP38" s="326" t="s">
        <v>187</v>
      </c>
      <c r="AQ38" s="327"/>
      <c r="AR38" s="327"/>
      <c r="AS38" s="328"/>
      <c r="BE38" s="316"/>
      <c r="BF38" s="317" t="s">
        <v>185</v>
      </c>
      <c r="BG38" s="325" t="s">
        <v>186</v>
      </c>
      <c r="BH38" s="324"/>
      <c r="BI38" s="326" t="s">
        <v>187</v>
      </c>
      <c r="BJ38" s="327"/>
      <c r="BK38" s="327"/>
      <c r="BL38" s="328"/>
      <c r="BN38" s="316"/>
      <c r="BO38" s="317" t="s">
        <v>185</v>
      </c>
      <c r="BP38" s="325" t="s">
        <v>186</v>
      </c>
      <c r="BQ38" s="324"/>
      <c r="BR38" s="326" t="s">
        <v>187</v>
      </c>
      <c r="BS38" s="327"/>
      <c r="BT38" s="327"/>
      <c r="BU38" s="328"/>
      <c r="BW38" s="316"/>
      <c r="BX38" s="317" t="s">
        <v>185</v>
      </c>
      <c r="BY38" s="318" t="s">
        <v>186</v>
      </c>
      <c r="BZ38" s="319"/>
      <c r="CA38" s="320" t="s">
        <v>187</v>
      </c>
      <c r="CB38" s="321"/>
      <c r="CC38" s="321"/>
      <c r="CD38" s="322"/>
    </row>
    <row r="39" spans="1:82" ht="75" x14ac:dyDescent="0.25">
      <c r="A39" s="329" t="s">
        <v>180</v>
      </c>
      <c r="B39" s="330" t="s">
        <v>354</v>
      </c>
      <c r="C39" s="330" t="s">
        <v>188</v>
      </c>
      <c r="D39" s="330" t="s">
        <v>251</v>
      </c>
      <c r="E39" s="329" t="s">
        <v>183</v>
      </c>
      <c r="F39" s="329" t="s">
        <v>181</v>
      </c>
      <c r="G39" s="329" t="s">
        <v>184</v>
      </c>
      <c r="H39" s="329" t="s">
        <v>182</v>
      </c>
      <c r="J39" s="329" t="s">
        <v>180</v>
      </c>
      <c r="K39" s="330" t="s">
        <v>354</v>
      </c>
      <c r="L39" s="330" t="s">
        <v>188</v>
      </c>
      <c r="M39" s="330" t="s">
        <v>251</v>
      </c>
      <c r="N39" s="329" t="s">
        <v>183</v>
      </c>
      <c r="O39" s="329" t="s">
        <v>181</v>
      </c>
      <c r="P39" s="329" t="s">
        <v>184</v>
      </c>
      <c r="Q39" s="329" t="s">
        <v>182</v>
      </c>
      <c r="T39" s="329" t="s">
        <v>180</v>
      </c>
      <c r="U39" s="330" t="s">
        <v>354</v>
      </c>
      <c r="V39" s="330" t="s">
        <v>188</v>
      </c>
      <c r="W39" s="330" t="s">
        <v>251</v>
      </c>
      <c r="X39" s="329" t="s">
        <v>183</v>
      </c>
      <c r="Y39" s="329" t="s">
        <v>181</v>
      </c>
      <c r="Z39" s="329" t="s">
        <v>184</v>
      </c>
      <c r="AA39" s="329" t="s">
        <v>182</v>
      </c>
      <c r="AL39" s="329" t="s">
        <v>180</v>
      </c>
      <c r="AM39" s="330" t="s">
        <v>354</v>
      </c>
      <c r="AN39" s="330" t="s">
        <v>188</v>
      </c>
      <c r="AO39" s="330" t="s">
        <v>251</v>
      </c>
      <c r="AP39" s="329" t="s">
        <v>183</v>
      </c>
      <c r="AQ39" s="329" t="s">
        <v>181</v>
      </c>
      <c r="AR39" s="329" t="s">
        <v>184</v>
      </c>
      <c r="AS39" s="329" t="s">
        <v>182</v>
      </c>
      <c r="BE39" s="329" t="s">
        <v>180</v>
      </c>
      <c r="BF39" s="330" t="s">
        <v>354</v>
      </c>
      <c r="BG39" s="330" t="s">
        <v>188</v>
      </c>
      <c r="BH39" s="330" t="s">
        <v>251</v>
      </c>
      <c r="BI39" s="329" t="s">
        <v>183</v>
      </c>
      <c r="BJ39" s="329" t="s">
        <v>181</v>
      </c>
      <c r="BK39" s="329" t="s">
        <v>184</v>
      </c>
      <c r="BL39" s="329" t="s">
        <v>182</v>
      </c>
      <c r="BN39" s="329" t="s">
        <v>180</v>
      </c>
      <c r="BO39" s="330" t="s">
        <v>354</v>
      </c>
      <c r="BP39" s="330" t="s">
        <v>188</v>
      </c>
      <c r="BQ39" s="330" t="s">
        <v>251</v>
      </c>
      <c r="BR39" s="329" t="s">
        <v>183</v>
      </c>
      <c r="BS39" s="329" t="s">
        <v>181</v>
      </c>
      <c r="BT39" s="329" t="s">
        <v>184</v>
      </c>
      <c r="BU39" s="329" t="s">
        <v>182</v>
      </c>
      <c r="BW39" s="329" t="s">
        <v>180</v>
      </c>
      <c r="BX39" s="330" t="s">
        <v>354</v>
      </c>
      <c r="BY39" s="330" t="s">
        <v>188</v>
      </c>
      <c r="BZ39" s="330" t="s">
        <v>251</v>
      </c>
      <c r="CA39" s="329" t="s">
        <v>183</v>
      </c>
      <c r="CB39" s="329" t="s">
        <v>181</v>
      </c>
      <c r="CC39" s="329" t="s">
        <v>184</v>
      </c>
      <c r="CD39" s="329" t="s">
        <v>182</v>
      </c>
    </row>
    <row r="40" spans="1:82" x14ac:dyDescent="0.25">
      <c r="A40" s="331">
        <v>56</v>
      </c>
      <c r="B40" s="331">
        <v>112</v>
      </c>
      <c r="C40" s="332">
        <v>1</v>
      </c>
      <c r="D40" s="332">
        <v>33</v>
      </c>
      <c r="E40" s="333">
        <v>0</v>
      </c>
      <c r="F40" s="333">
        <v>0</v>
      </c>
      <c r="G40" s="333">
        <v>0</v>
      </c>
      <c r="H40" s="333">
        <v>1</v>
      </c>
      <c r="J40" s="334">
        <v>12</v>
      </c>
      <c r="K40" s="334">
        <v>25</v>
      </c>
      <c r="L40" s="335">
        <v>0</v>
      </c>
      <c r="M40" s="336">
        <v>0</v>
      </c>
      <c r="N40" s="333">
        <v>0</v>
      </c>
      <c r="O40" s="333">
        <f>0.56</f>
        <v>0.56000000000000005</v>
      </c>
      <c r="P40" s="333">
        <f>0.44</f>
        <v>0.44</v>
      </c>
      <c r="Q40" s="333">
        <v>0</v>
      </c>
      <c r="T40" s="334">
        <v>23</v>
      </c>
      <c r="U40" s="334">
        <v>162</v>
      </c>
      <c r="W40" s="336">
        <v>0</v>
      </c>
      <c r="X40" s="333">
        <v>0</v>
      </c>
      <c r="Y40" s="333">
        <f>0.56</f>
        <v>0.56000000000000005</v>
      </c>
      <c r="Z40" s="333">
        <f>0.44</f>
        <v>0.44</v>
      </c>
      <c r="AA40" s="333">
        <v>0</v>
      </c>
      <c r="AL40" s="334">
        <v>15</v>
      </c>
      <c r="AM40" s="338">
        <v>104.57875</v>
      </c>
      <c r="AN40" s="332">
        <v>1</v>
      </c>
      <c r="AO40" s="338">
        <v>20</v>
      </c>
      <c r="AP40" s="333">
        <v>0</v>
      </c>
      <c r="AQ40" s="333">
        <v>0</v>
      </c>
      <c r="AR40" s="333">
        <v>0</v>
      </c>
      <c r="AS40" s="333">
        <v>1</v>
      </c>
      <c r="BE40" s="334">
        <v>27</v>
      </c>
      <c r="BF40" s="338">
        <v>118</v>
      </c>
      <c r="BG40" s="332">
        <v>1</v>
      </c>
      <c r="BH40" s="338">
        <v>15</v>
      </c>
      <c r="BI40" s="333">
        <v>0</v>
      </c>
      <c r="BJ40" s="333">
        <v>0.56000000000000005</v>
      </c>
      <c r="BK40" s="333">
        <v>0.44</v>
      </c>
      <c r="BL40" s="333">
        <v>0</v>
      </c>
      <c r="BN40" s="334">
        <v>15</v>
      </c>
      <c r="BO40" s="338">
        <v>87.663000000000011</v>
      </c>
      <c r="BP40" s="332">
        <v>1</v>
      </c>
      <c r="BQ40" s="338">
        <v>20</v>
      </c>
      <c r="BR40" s="333">
        <v>0</v>
      </c>
      <c r="BS40" s="333">
        <v>0</v>
      </c>
      <c r="BT40" s="333">
        <v>0</v>
      </c>
      <c r="BU40" s="333">
        <v>1</v>
      </c>
      <c r="BW40" s="331">
        <v>56</v>
      </c>
      <c r="BX40" s="331">
        <v>89.6</v>
      </c>
      <c r="BY40" s="332">
        <v>1</v>
      </c>
      <c r="BZ40" s="332">
        <v>26.400000000000002</v>
      </c>
      <c r="CA40" s="333">
        <v>0</v>
      </c>
      <c r="CB40" s="333">
        <v>0</v>
      </c>
      <c r="CC40" s="333">
        <v>0</v>
      </c>
      <c r="CD40" s="333">
        <v>1</v>
      </c>
    </row>
    <row r="41" spans="1:82" x14ac:dyDescent="0.25">
      <c r="A41" s="331">
        <v>64</v>
      </c>
      <c r="B41" s="331">
        <v>119</v>
      </c>
      <c r="C41" s="332">
        <v>2</v>
      </c>
      <c r="D41" s="332">
        <v>34</v>
      </c>
      <c r="E41" s="333">
        <v>0</v>
      </c>
      <c r="F41" s="333">
        <v>0</v>
      </c>
      <c r="G41" s="333">
        <v>0</v>
      </c>
      <c r="H41" s="333">
        <v>1</v>
      </c>
      <c r="J41" s="334">
        <v>16</v>
      </c>
      <c r="K41" s="334">
        <v>59</v>
      </c>
      <c r="L41" s="332">
        <v>1</v>
      </c>
      <c r="M41" s="334">
        <v>8</v>
      </c>
      <c r="N41" s="333">
        <v>0</v>
      </c>
      <c r="O41" s="333">
        <f>0.56</f>
        <v>0.56000000000000005</v>
      </c>
      <c r="P41" s="333">
        <v>0.44</v>
      </c>
      <c r="Q41" s="333">
        <v>0</v>
      </c>
      <c r="T41" s="334">
        <v>25</v>
      </c>
      <c r="U41" s="334">
        <v>218</v>
      </c>
      <c r="V41" s="332">
        <v>1</v>
      </c>
      <c r="W41" s="334">
        <v>14</v>
      </c>
      <c r="X41" s="333">
        <v>0</v>
      </c>
      <c r="Y41" s="333">
        <f>0.56</f>
        <v>0.56000000000000005</v>
      </c>
      <c r="Z41" s="333">
        <v>0.44</v>
      </c>
      <c r="AA41" s="333">
        <v>0</v>
      </c>
      <c r="AL41" s="334">
        <v>25</v>
      </c>
      <c r="AM41" s="338">
        <v>183.84174999999999</v>
      </c>
      <c r="AN41" s="332">
        <v>2</v>
      </c>
      <c r="AO41" s="338">
        <v>30.64029166666667</v>
      </c>
      <c r="AP41" s="333">
        <v>0.7</v>
      </c>
      <c r="AQ41" s="333">
        <v>0</v>
      </c>
      <c r="AR41" s="333">
        <v>0</v>
      </c>
      <c r="AS41" s="333">
        <v>0.3</v>
      </c>
      <c r="BE41" s="334">
        <v>30</v>
      </c>
      <c r="BF41" s="338">
        <v>132</v>
      </c>
      <c r="BG41" s="332">
        <v>2</v>
      </c>
      <c r="BH41" s="338">
        <v>13</v>
      </c>
      <c r="BI41" s="333">
        <v>0.7</v>
      </c>
      <c r="BJ41" s="333">
        <v>0.16800000000000001</v>
      </c>
      <c r="BK41" s="333">
        <v>0.13200000000000001</v>
      </c>
      <c r="BL41" s="333">
        <v>0</v>
      </c>
      <c r="BN41" s="334">
        <v>25</v>
      </c>
      <c r="BO41" s="338">
        <v>147.07340000000005</v>
      </c>
      <c r="BP41" s="332">
        <v>2</v>
      </c>
      <c r="BQ41" s="338">
        <v>24.512233333333342</v>
      </c>
      <c r="BR41" s="333">
        <v>0.7</v>
      </c>
      <c r="BS41" s="333">
        <v>0</v>
      </c>
      <c r="BT41" s="333">
        <v>0</v>
      </c>
      <c r="BU41" s="333">
        <v>0.3</v>
      </c>
      <c r="BW41" s="331">
        <v>64</v>
      </c>
      <c r="BX41" s="331">
        <v>95.2</v>
      </c>
      <c r="BY41" s="332">
        <v>2</v>
      </c>
      <c r="BZ41" s="332">
        <v>27.200000000000003</v>
      </c>
      <c r="CA41" s="333">
        <v>0</v>
      </c>
      <c r="CB41" s="333">
        <v>0</v>
      </c>
      <c r="CC41" s="333">
        <v>0</v>
      </c>
      <c r="CD41" s="333">
        <v>1</v>
      </c>
    </row>
    <row r="42" spans="1:82" x14ac:dyDescent="0.25">
      <c r="A42" s="331">
        <v>72</v>
      </c>
      <c r="B42" s="331">
        <v>119</v>
      </c>
      <c r="C42" s="332">
        <v>3</v>
      </c>
      <c r="D42" s="332">
        <v>28</v>
      </c>
      <c r="E42" s="333">
        <v>0</v>
      </c>
      <c r="F42" s="333">
        <v>0</v>
      </c>
      <c r="G42" s="333">
        <v>0</v>
      </c>
      <c r="H42" s="333">
        <v>1</v>
      </c>
      <c r="J42" s="334">
        <v>20</v>
      </c>
      <c r="K42" s="334">
        <v>91</v>
      </c>
      <c r="L42" s="332">
        <v>2</v>
      </c>
      <c r="M42" s="334">
        <v>14</v>
      </c>
      <c r="N42" s="333">
        <v>0</v>
      </c>
      <c r="O42" s="333">
        <f>0.56</f>
        <v>0.56000000000000005</v>
      </c>
      <c r="P42" s="333">
        <f>0.44</f>
        <v>0.44</v>
      </c>
      <c r="Q42" s="333">
        <v>0</v>
      </c>
      <c r="T42" s="334">
        <v>30</v>
      </c>
      <c r="U42" s="334">
        <v>328</v>
      </c>
      <c r="V42" s="332">
        <v>2</v>
      </c>
      <c r="W42" s="334">
        <v>42</v>
      </c>
      <c r="X42" s="333">
        <v>0.7</v>
      </c>
      <c r="Y42" s="333">
        <f>0.3*0.56</f>
        <v>0.16800000000000001</v>
      </c>
      <c r="Z42" s="333">
        <f>0.3*0.44</f>
        <v>0.13200000000000001</v>
      </c>
      <c r="AA42" s="333">
        <v>0</v>
      </c>
      <c r="AL42" s="334">
        <v>35</v>
      </c>
      <c r="AM42" s="338">
        <v>277.7444583333334</v>
      </c>
      <c r="AN42" s="332">
        <v>3</v>
      </c>
      <c r="AO42" s="338">
        <v>46.290743055555566</v>
      </c>
      <c r="AP42" s="333">
        <v>0.7</v>
      </c>
      <c r="AQ42" s="333">
        <v>0</v>
      </c>
      <c r="AR42" s="333">
        <v>0</v>
      </c>
      <c r="AS42" s="333">
        <v>0.3</v>
      </c>
      <c r="BE42" s="334">
        <v>35</v>
      </c>
      <c r="BF42" s="338">
        <v>169</v>
      </c>
      <c r="BG42" s="332">
        <v>3</v>
      </c>
      <c r="BH42" s="338">
        <v>23</v>
      </c>
      <c r="BI42" s="333">
        <v>0.7</v>
      </c>
      <c r="BJ42" s="333">
        <v>0.16800000000000001</v>
      </c>
      <c r="BK42" s="333">
        <v>0.13200000000000001</v>
      </c>
      <c r="BL42" s="333">
        <v>0</v>
      </c>
      <c r="BN42" s="334">
        <v>35</v>
      </c>
      <c r="BO42" s="338">
        <v>222.19556666666676</v>
      </c>
      <c r="BP42" s="332">
        <v>3</v>
      </c>
      <c r="BQ42" s="338">
        <v>37.032594444444463</v>
      </c>
      <c r="BR42" s="333">
        <v>0.7</v>
      </c>
      <c r="BS42" s="333">
        <v>0</v>
      </c>
      <c r="BT42" s="333">
        <v>0</v>
      </c>
      <c r="BU42" s="333">
        <v>0.3</v>
      </c>
      <c r="BW42" s="331">
        <v>72</v>
      </c>
      <c r="BX42" s="331">
        <v>95.2</v>
      </c>
      <c r="BY42" s="332">
        <v>3</v>
      </c>
      <c r="BZ42" s="332">
        <v>22.400000000000002</v>
      </c>
      <c r="CA42" s="333">
        <v>0</v>
      </c>
      <c r="CB42" s="333">
        <v>0</v>
      </c>
      <c r="CC42" s="333">
        <v>0</v>
      </c>
      <c r="CD42" s="333">
        <v>1</v>
      </c>
    </row>
    <row r="43" spans="1:82" x14ac:dyDescent="0.25">
      <c r="A43" s="331">
        <v>81</v>
      </c>
      <c r="B43" s="331">
        <v>122</v>
      </c>
      <c r="C43" s="332">
        <v>4</v>
      </c>
      <c r="D43" s="332">
        <v>26</v>
      </c>
      <c r="E43" s="333">
        <v>0.7</v>
      </c>
      <c r="F43" s="333">
        <v>0</v>
      </c>
      <c r="G43" s="333">
        <v>0</v>
      </c>
      <c r="H43" s="333">
        <v>0.3</v>
      </c>
      <c r="J43" s="334">
        <v>24</v>
      </c>
      <c r="K43" s="334">
        <v>121</v>
      </c>
      <c r="L43" s="332">
        <v>3</v>
      </c>
      <c r="M43" s="334">
        <v>20</v>
      </c>
      <c r="N43" s="333">
        <v>0</v>
      </c>
      <c r="O43" s="333">
        <f>0.56</f>
        <v>0.56000000000000005</v>
      </c>
      <c r="P43" s="333">
        <f>0.44</f>
        <v>0.44</v>
      </c>
      <c r="Q43" s="333">
        <v>0</v>
      </c>
      <c r="T43" s="334">
        <v>35</v>
      </c>
      <c r="U43" s="334">
        <v>410</v>
      </c>
      <c r="V43" s="332">
        <v>3</v>
      </c>
      <c r="W43" s="334">
        <v>49</v>
      </c>
      <c r="X43" s="333">
        <v>0.7</v>
      </c>
      <c r="Y43" s="333">
        <f t="shared" ref="Y43:Y48" si="10">0.3*0.56</f>
        <v>0.16800000000000001</v>
      </c>
      <c r="Z43" s="333">
        <f t="shared" ref="Z43:Z48" si="11">0.3*0.44</f>
        <v>0.13200000000000001</v>
      </c>
      <c r="AA43" s="333">
        <v>0</v>
      </c>
      <c r="AL43" s="334">
        <v>45</v>
      </c>
      <c r="AM43" s="338">
        <v>381.27671527777773</v>
      </c>
      <c r="AN43" s="332">
        <v>4</v>
      </c>
      <c r="AO43" s="338">
        <v>63.546119212962964</v>
      </c>
      <c r="AP43" s="333">
        <v>0.7</v>
      </c>
      <c r="AQ43" s="333">
        <v>0</v>
      </c>
      <c r="AR43" s="333">
        <v>0</v>
      </c>
      <c r="AS43" s="333">
        <v>0.3</v>
      </c>
      <c r="BE43" s="334">
        <v>40</v>
      </c>
      <c r="BF43" s="338">
        <v>208</v>
      </c>
      <c r="BG43" s="332">
        <v>4</v>
      </c>
      <c r="BH43" s="338">
        <v>34</v>
      </c>
      <c r="BI43" s="333">
        <v>0.7</v>
      </c>
      <c r="BJ43" s="333">
        <v>0.16800000000000001</v>
      </c>
      <c r="BK43" s="333">
        <v>0.13200000000000001</v>
      </c>
      <c r="BL43" s="333">
        <v>0</v>
      </c>
      <c r="BN43" s="334">
        <v>45</v>
      </c>
      <c r="BO43" s="338">
        <v>305.02137222222223</v>
      </c>
      <c r="BP43" s="332">
        <v>4</v>
      </c>
      <c r="BQ43" s="338">
        <v>50.836895370370371</v>
      </c>
      <c r="BR43" s="333">
        <v>0.7</v>
      </c>
      <c r="BS43" s="333">
        <v>0</v>
      </c>
      <c r="BT43" s="333">
        <v>0</v>
      </c>
      <c r="BU43" s="333">
        <v>0.3</v>
      </c>
      <c r="BW43" s="331">
        <v>81</v>
      </c>
      <c r="BX43" s="331">
        <v>97.600000000000009</v>
      </c>
      <c r="BY43" s="332">
        <v>4</v>
      </c>
      <c r="BZ43" s="332">
        <v>20.8</v>
      </c>
      <c r="CA43" s="333">
        <v>0.7</v>
      </c>
      <c r="CB43" s="333">
        <v>0</v>
      </c>
      <c r="CC43" s="333">
        <v>0</v>
      </c>
      <c r="CD43" s="333">
        <v>0.3</v>
      </c>
    </row>
    <row r="44" spans="1:82" x14ac:dyDescent="0.25">
      <c r="A44" s="331">
        <v>90</v>
      </c>
      <c r="B44" s="331">
        <v>125</v>
      </c>
      <c r="C44" s="332">
        <v>5</v>
      </c>
      <c r="D44" s="332">
        <v>22</v>
      </c>
      <c r="E44" s="333">
        <v>0.7</v>
      </c>
      <c r="F44" s="333">
        <v>0</v>
      </c>
      <c r="G44" s="333">
        <v>0</v>
      </c>
      <c r="H44" s="333">
        <v>0.3</v>
      </c>
      <c r="J44" s="334">
        <v>28</v>
      </c>
      <c r="K44" s="334">
        <v>146</v>
      </c>
      <c r="L44" s="332">
        <v>4</v>
      </c>
      <c r="M44" s="334">
        <v>23</v>
      </c>
      <c r="N44" s="333">
        <v>0.7</v>
      </c>
      <c r="O44" s="333">
        <f t="shared" ref="O44:O49" si="12">0.3*0.56</f>
        <v>0.16800000000000001</v>
      </c>
      <c r="P44" s="333">
        <f t="shared" ref="P44:P49" si="13">0.3*0.44</f>
        <v>0.13200000000000001</v>
      </c>
      <c r="Q44" s="333">
        <v>0</v>
      </c>
      <c r="T44" s="334">
        <v>40</v>
      </c>
      <c r="U44" s="334">
        <v>481</v>
      </c>
      <c r="V44" s="332">
        <v>4</v>
      </c>
      <c r="W44" s="334">
        <v>58</v>
      </c>
      <c r="X44" s="333">
        <v>0.7</v>
      </c>
      <c r="Y44" s="333">
        <f t="shared" si="10"/>
        <v>0.16800000000000001</v>
      </c>
      <c r="Z44" s="333">
        <f t="shared" si="11"/>
        <v>0.13200000000000001</v>
      </c>
      <c r="AA44" s="333">
        <v>0</v>
      </c>
      <c r="AL44" s="334">
        <v>55</v>
      </c>
      <c r="AM44" s="338">
        <v>489.7493460648148</v>
      </c>
      <c r="AN44" s="332" t="s">
        <v>333</v>
      </c>
      <c r="AO44" s="338">
        <v>489.7493460648148</v>
      </c>
      <c r="AP44" s="333">
        <v>0.9</v>
      </c>
      <c r="AQ44" s="333">
        <v>0</v>
      </c>
      <c r="AR44" s="333">
        <v>0</v>
      </c>
      <c r="AS44" s="333">
        <v>0.1</v>
      </c>
      <c r="BE44" s="334">
        <v>50</v>
      </c>
      <c r="BF44" s="338">
        <v>315</v>
      </c>
      <c r="BG44" s="332">
        <v>5</v>
      </c>
      <c r="BH44" s="338">
        <v>79</v>
      </c>
      <c r="BI44" s="333">
        <v>0.7</v>
      </c>
      <c r="BJ44" s="333">
        <v>0.16800000000000001</v>
      </c>
      <c r="BK44" s="333">
        <v>0.13200000000000001</v>
      </c>
      <c r="BL44" s="333">
        <v>0</v>
      </c>
      <c r="BN44" s="334">
        <v>55</v>
      </c>
      <c r="BO44" s="338">
        <v>387.79947685185181</v>
      </c>
      <c r="BP44" s="332" t="s">
        <v>333</v>
      </c>
      <c r="BQ44" s="338">
        <v>387.79947685185181</v>
      </c>
      <c r="BR44" s="333">
        <v>0.9</v>
      </c>
      <c r="BS44" s="333">
        <v>0</v>
      </c>
      <c r="BT44" s="333">
        <v>0</v>
      </c>
      <c r="BU44" s="333">
        <v>0.1</v>
      </c>
      <c r="BW44" s="331">
        <v>90</v>
      </c>
      <c r="BX44" s="331">
        <v>100</v>
      </c>
      <c r="BY44" s="332">
        <v>5</v>
      </c>
      <c r="BZ44" s="332">
        <v>17.600000000000001</v>
      </c>
      <c r="CA44" s="333">
        <v>0.7</v>
      </c>
      <c r="CB44" s="333">
        <v>0</v>
      </c>
      <c r="CC44" s="333">
        <v>0</v>
      </c>
      <c r="CD44" s="333">
        <v>0.3</v>
      </c>
    </row>
    <row r="45" spans="1:82" x14ac:dyDescent="0.25">
      <c r="A45" s="331">
        <v>100</v>
      </c>
      <c r="B45" s="331">
        <v>134</v>
      </c>
      <c r="C45" s="332">
        <v>6</v>
      </c>
      <c r="D45" s="332">
        <v>22</v>
      </c>
      <c r="E45" s="333">
        <v>0.7</v>
      </c>
      <c r="F45" s="333">
        <v>0</v>
      </c>
      <c r="G45" s="333">
        <v>0</v>
      </c>
      <c r="H45" s="333">
        <v>0.3</v>
      </c>
      <c r="J45" s="334">
        <v>34</v>
      </c>
      <c r="K45" s="334">
        <v>193</v>
      </c>
      <c r="L45" s="332">
        <v>5</v>
      </c>
      <c r="M45" s="334">
        <v>38</v>
      </c>
      <c r="N45" s="333">
        <v>0.7</v>
      </c>
      <c r="O45" s="333">
        <f t="shared" si="12"/>
        <v>0.16800000000000001</v>
      </c>
      <c r="P45" s="333">
        <f t="shared" si="13"/>
        <v>0.13200000000000001</v>
      </c>
      <c r="Q45" s="333">
        <v>0</v>
      </c>
      <c r="T45" s="334">
        <v>45</v>
      </c>
      <c r="U45" s="334">
        <v>526</v>
      </c>
      <c r="V45" s="332">
        <v>5</v>
      </c>
      <c r="W45" s="334">
        <v>57</v>
      </c>
      <c r="X45" s="333">
        <v>0.7</v>
      </c>
      <c r="Y45" s="333">
        <f t="shared" si="10"/>
        <v>0.16800000000000001</v>
      </c>
      <c r="Z45" s="333">
        <f t="shared" si="11"/>
        <v>0.13200000000000001</v>
      </c>
      <c r="AA45" s="333">
        <v>0</v>
      </c>
      <c r="BE45" s="334">
        <v>60</v>
      </c>
      <c r="BF45" s="338">
        <v>393</v>
      </c>
      <c r="BG45" s="332">
        <v>6</v>
      </c>
      <c r="BH45" s="338">
        <v>88</v>
      </c>
      <c r="BI45" s="333">
        <v>0.7</v>
      </c>
      <c r="BJ45" s="333">
        <v>0.16800000000000001</v>
      </c>
      <c r="BK45" s="333">
        <v>0.13200000000000001</v>
      </c>
      <c r="BL45" s="333">
        <v>0</v>
      </c>
      <c r="BW45" s="331">
        <v>100</v>
      </c>
      <c r="BX45" s="331">
        <v>107.2</v>
      </c>
      <c r="BY45" s="332">
        <v>6</v>
      </c>
      <c r="BZ45" s="332">
        <v>17.600000000000001</v>
      </c>
      <c r="CA45" s="333">
        <v>0.7</v>
      </c>
      <c r="CB45" s="333">
        <v>0</v>
      </c>
      <c r="CC45" s="333">
        <v>0</v>
      </c>
      <c r="CD45" s="333">
        <v>0.3</v>
      </c>
    </row>
    <row r="46" spans="1:82" x14ac:dyDescent="0.25">
      <c r="A46" s="331">
        <v>110</v>
      </c>
      <c r="B46" s="331">
        <v>147</v>
      </c>
      <c r="C46" s="332">
        <v>7</v>
      </c>
      <c r="D46" s="332">
        <v>24</v>
      </c>
      <c r="E46" s="333">
        <v>0.7</v>
      </c>
      <c r="F46" s="333">
        <v>0</v>
      </c>
      <c r="G46" s="333">
        <v>0</v>
      </c>
      <c r="H46" s="333">
        <v>0.3</v>
      </c>
      <c r="J46" s="334">
        <v>40</v>
      </c>
      <c r="K46" s="334">
        <v>215</v>
      </c>
      <c r="L46" s="332">
        <v>6</v>
      </c>
      <c r="M46" s="334">
        <v>31</v>
      </c>
      <c r="N46" s="333">
        <v>0.7</v>
      </c>
      <c r="O46" s="333">
        <f t="shared" si="12"/>
        <v>0.16800000000000001</v>
      </c>
      <c r="P46" s="333">
        <f t="shared" si="13"/>
        <v>0.13200000000000001</v>
      </c>
      <c r="Q46" s="333">
        <v>0</v>
      </c>
      <c r="T46" s="334">
        <v>50</v>
      </c>
      <c r="U46" s="334">
        <v>544</v>
      </c>
      <c r="V46" s="332">
        <v>6</v>
      </c>
      <c r="W46" s="334">
        <v>42</v>
      </c>
      <c r="X46" s="333">
        <v>0.7</v>
      </c>
      <c r="Y46" s="333">
        <f t="shared" si="10"/>
        <v>0.16800000000000001</v>
      </c>
      <c r="Z46" s="333">
        <f t="shared" si="11"/>
        <v>0.13200000000000001</v>
      </c>
      <c r="AA46" s="333">
        <v>0</v>
      </c>
      <c r="BE46" s="334">
        <v>70</v>
      </c>
      <c r="BF46" s="338">
        <v>448</v>
      </c>
      <c r="BG46" s="332">
        <v>7</v>
      </c>
      <c r="BH46" s="338">
        <v>78</v>
      </c>
      <c r="BI46" s="333">
        <v>0.7</v>
      </c>
      <c r="BJ46" s="333">
        <v>0.16800000000000001</v>
      </c>
      <c r="BK46" s="333">
        <v>0.13200000000000001</v>
      </c>
      <c r="BL46" s="333">
        <v>0</v>
      </c>
      <c r="BW46" s="331">
        <v>110</v>
      </c>
      <c r="BX46" s="331">
        <v>117.60000000000001</v>
      </c>
      <c r="BY46" s="332">
        <v>7</v>
      </c>
      <c r="BZ46" s="332">
        <v>19.200000000000003</v>
      </c>
      <c r="CA46" s="333">
        <v>0.7</v>
      </c>
      <c r="CB46" s="333">
        <v>0</v>
      </c>
      <c r="CC46" s="333">
        <v>0</v>
      </c>
      <c r="CD46" s="333">
        <v>0.3</v>
      </c>
    </row>
    <row r="47" spans="1:82" x14ac:dyDescent="0.25">
      <c r="A47" s="331">
        <v>122</v>
      </c>
      <c r="B47" s="331">
        <v>159</v>
      </c>
      <c r="C47" s="332">
        <v>8</v>
      </c>
      <c r="D47" s="332">
        <v>25</v>
      </c>
      <c r="E47" s="333">
        <v>0.9</v>
      </c>
      <c r="F47" s="333">
        <v>0</v>
      </c>
      <c r="G47" s="333">
        <v>0</v>
      </c>
      <c r="H47" s="333">
        <v>0.1</v>
      </c>
      <c r="J47" s="334">
        <v>46</v>
      </c>
      <c r="K47" s="334">
        <v>228</v>
      </c>
      <c r="L47" s="332">
        <v>7</v>
      </c>
      <c r="M47" s="334">
        <v>23</v>
      </c>
      <c r="N47" s="333">
        <v>0.7</v>
      </c>
      <c r="O47" s="333">
        <f t="shared" si="12"/>
        <v>0.16800000000000001</v>
      </c>
      <c r="P47" s="333">
        <f t="shared" si="13"/>
        <v>0.13200000000000001</v>
      </c>
      <c r="Q47" s="333">
        <v>0</v>
      </c>
      <c r="T47" s="334">
        <v>55</v>
      </c>
      <c r="U47" s="334">
        <v>565</v>
      </c>
      <c r="V47" s="332">
        <v>7</v>
      </c>
      <c r="W47" s="334">
        <v>37</v>
      </c>
      <c r="X47" s="333">
        <v>0.7</v>
      </c>
      <c r="Y47" s="333">
        <f t="shared" si="10"/>
        <v>0.16800000000000001</v>
      </c>
      <c r="Z47" s="333">
        <f t="shared" si="11"/>
        <v>0.13200000000000001</v>
      </c>
      <c r="AA47" s="333">
        <v>0</v>
      </c>
      <c r="BE47" s="334">
        <v>80</v>
      </c>
      <c r="BF47" s="338">
        <v>460</v>
      </c>
      <c r="BG47" s="332" t="s">
        <v>333</v>
      </c>
      <c r="BH47" s="338">
        <f>415+45</f>
        <v>460</v>
      </c>
      <c r="BI47" s="333">
        <v>0.7</v>
      </c>
      <c r="BJ47" s="333">
        <v>0.16800000000000001</v>
      </c>
      <c r="BK47" s="333">
        <v>0.13200000000000001</v>
      </c>
      <c r="BL47" s="333">
        <v>0</v>
      </c>
      <c r="BW47" s="331">
        <v>122</v>
      </c>
      <c r="BX47" s="331">
        <v>127.2</v>
      </c>
      <c r="BY47" s="332">
        <v>8</v>
      </c>
      <c r="BZ47" s="332">
        <v>20</v>
      </c>
      <c r="CA47" s="333">
        <v>0.9</v>
      </c>
      <c r="CB47" s="333">
        <v>0</v>
      </c>
      <c r="CC47" s="333">
        <v>0</v>
      </c>
      <c r="CD47" s="333">
        <v>0.1</v>
      </c>
    </row>
    <row r="48" spans="1:82" x14ac:dyDescent="0.25">
      <c r="A48" s="331">
        <v>134</v>
      </c>
      <c r="B48" s="331">
        <v>171</v>
      </c>
      <c r="C48" s="332">
        <v>9</v>
      </c>
      <c r="D48" s="332">
        <v>26</v>
      </c>
      <c r="E48" s="333">
        <v>0.9</v>
      </c>
      <c r="F48" s="333">
        <v>0</v>
      </c>
      <c r="G48" s="333">
        <v>0</v>
      </c>
      <c r="H48" s="333">
        <v>0.1</v>
      </c>
      <c r="J48" s="334">
        <v>54</v>
      </c>
      <c r="K48" s="334">
        <v>246</v>
      </c>
      <c r="L48" s="332">
        <v>8</v>
      </c>
      <c r="M48" s="334">
        <v>22</v>
      </c>
      <c r="N48" s="333">
        <v>0.7</v>
      </c>
      <c r="O48" s="333">
        <f t="shared" si="12"/>
        <v>0.16800000000000001</v>
      </c>
      <c r="P48" s="333">
        <f t="shared" si="13"/>
        <v>0.13200000000000001</v>
      </c>
      <c r="Q48" s="333">
        <v>0</v>
      </c>
      <c r="T48" s="334">
        <v>60</v>
      </c>
      <c r="U48" s="334">
        <v>567</v>
      </c>
      <c r="V48" s="332" t="s">
        <v>333</v>
      </c>
      <c r="W48" s="334">
        <f>544+23</f>
        <v>567</v>
      </c>
      <c r="X48" s="333">
        <v>0.7</v>
      </c>
      <c r="Y48" s="333">
        <f t="shared" si="10"/>
        <v>0.16800000000000001</v>
      </c>
      <c r="Z48" s="333">
        <f t="shared" si="11"/>
        <v>0.13200000000000001</v>
      </c>
      <c r="AA48" s="333">
        <v>0</v>
      </c>
      <c r="BW48" s="331">
        <v>134</v>
      </c>
      <c r="BX48" s="331">
        <v>136.80000000000001</v>
      </c>
      <c r="BY48" s="332">
        <v>9</v>
      </c>
      <c r="BZ48" s="332">
        <v>20.8</v>
      </c>
      <c r="CA48" s="333">
        <v>0.9</v>
      </c>
      <c r="CB48" s="333">
        <v>0</v>
      </c>
      <c r="CC48" s="333">
        <v>0</v>
      </c>
      <c r="CD48" s="333">
        <v>0.1</v>
      </c>
    </row>
    <row r="49" spans="1:82" x14ac:dyDescent="0.25">
      <c r="A49" s="331">
        <v>148</v>
      </c>
      <c r="B49" s="331">
        <v>189</v>
      </c>
      <c r="C49" s="332">
        <v>10</v>
      </c>
      <c r="D49" s="332">
        <v>30</v>
      </c>
      <c r="E49" s="333">
        <v>0.9</v>
      </c>
      <c r="F49" s="333">
        <v>0</v>
      </c>
      <c r="G49" s="333">
        <v>0</v>
      </c>
      <c r="H49" s="333">
        <v>0.1</v>
      </c>
      <c r="J49" s="334">
        <v>62</v>
      </c>
      <c r="K49" s="334">
        <v>239</v>
      </c>
      <c r="L49" s="332" t="s">
        <v>333</v>
      </c>
      <c r="M49" s="334">
        <f>232+7</f>
        <v>239</v>
      </c>
      <c r="N49" s="333">
        <v>0.7</v>
      </c>
      <c r="O49" s="333">
        <f t="shared" si="12"/>
        <v>0.16800000000000001</v>
      </c>
      <c r="P49" s="333">
        <f t="shared" si="13"/>
        <v>0.13200000000000001</v>
      </c>
      <c r="Q49" s="333">
        <v>0</v>
      </c>
      <c r="BW49" s="331">
        <v>148</v>
      </c>
      <c r="BX49" s="331">
        <v>151.20000000000002</v>
      </c>
      <c r="BY49" s="332">
        <v>10</v>
      </c>
      <c r="BZ49" s="332">
        <v>24</v>
      </c>
      <c r="CA49" s="333">
        <v>0.9</v>
      </c>
      <c r="CB49" s="333">
        <v>0</v>
      </c>
      <c r="CC49" s="333">
        <v>0</v>
      </c>
      <c r="CD49" s="333">
        <v>0.1</v>
      </c>
    </row>
    <row r="50" spans="1:82" x14ac:dyDescent="0.25">
      <c r="A50" s="331">
        <v>162</v>
      </c>
      <c r="B50" s="331">
        <v>212</v>
      </c>
      <c r="C50" s="332">
        <v>11</v>
      </c>
      <c r="D50" s="332">
        <v>37</v>
      </c>
      <c r="E50" s="333">
        <v>0.9</v>
      </c>
      <c r="F50" s="333">
        <v>0</v>
      </c>
      <c r="G50" s="333">
        <v>0</v>
      </c>
      <c r="H50" s="333">
        <v>0.1</v>
      </c>
      <c r="AL50" s="316" t="s">
        <v>359</v>
      </c>
      <c r="AM50" s="317" t="s">
        <v>185</v>
      </c>
      <c r="AN50" s="325" t="s">
        <v>186</v>
      </c>
      <c r="AO50" s="324"/>
      <c r="AP50" s="326" t="s">
        <v>187</v>
      </c>
      <c r="AQ50" s="327"/>
      <c r="AR50" s="327"/>
      <c r="AS50" s="328"/>
      <c r="BN50" s="316" t="s">
        <v>359</v>
      </c>
      <c r="BO50" s="317" t="s">
        <v>185</v>
      </c>
      <c r="BP50" s="325" t="s">
        <v>186</v>
      </c>
      <c r="BQ50" s="324"/>
      <c r="BR50" s="326" t="s">
        <v>187</v>
      </c>
      <c r="BS50" s="327"/>
      <c r="BT50" s="327"/>
      <c r="BU50" s="328"/>
      <c r="BW50" s="331">
        <v>162</v>
      </c>
      <c r="BX50" s="331">
        <v>169.60000000000002</v>
      </c>
      <c r="BY50" s="332">
        <v>11</v>
      </c>
      <c r="BZ50" s="332">
        <v>29.6</v>
      </c>
      <c r="CA50" s="333">
        <v>0.9</v>
      </c>
      <c r="CB50" s="333">
        <v>0</v>
      </c>
      <c r="CC50" s="333">
        <v>0</v>
      </c>
      <c r="CD50" s="333">
        <v>0.1</v>
      </c>
    </row>
    <row r="51" spans="1:82" ht="75" x14ac:dyDescent="0.25">
      <c r="A51" s="331">
        <v>177</v>
      </c>
      <c r="B51" s="331">
        <v>230</v>
      </c>
      <c r="C51" s="332" t="s">
        <v>333</v>
      </c>
      <c r="D51" s="332">
        <v>230</v>
      </c>
      <c r="E51" s="333">
        <v>0.9</v>
      </c>
      <c r="F51" s="333">
        <v>0</v>
      </c>
      <c r="G51" s="333">
        <v>0</v>
      </c>
      <c r="H51" s="333">
        <v>0.1</v>
      </c>
      <c r="AL51" s="329" t="s">
        <v>180</v>
      </c>
      <c r="AM51" s="330" t="s">
        <v>354</v>
      </c>
      <c r="AN51" s="330" t="s">
        <v>188</v>
      </c>
      <c r="AO51" s="330" t="s">
        <v>251</v>
      </c>
      <c r="AP51" s="329" t="s">
        <v>183</v>
      </c>
      <c r="AQ51" s="329" t="s">
        <v>181</v>
      </c>
      <c r="AR51" s="329" t="s">
        <v>184</v>
      </c>
      <c r="AS51" s="329" t="s">
        <v>182</v>
      </c>
      <c r="BN51" s="329" t="s">
        <v>180</v>
      </c>
      <c r="BO51" s="330" t="s">
        <v>354</v>
      </c>
      <c r="BP51" s="330" t="s">
        <v>188</v>
      </c>
      <c r="BQ51" s="330" t="s">
        <v>251</v>
      </c>
      <c r="BR51" s="329" t="s">
        <v>183</v>
      </c>
      <c r="BS51" s="329" t="s">
        <v>181</v>
      </c>
      <c r="BT51" s="329" t="s">
        <v>184</v>
      </c>
      <c r="BU51" s="329" t="s">
        <v>182</v>
      </c>
      <c r="BW51" s="331">
        <v>177</v>
      </c>
      <c r="BX51" s="331">
        <v>184</v>
      </c>
      <c r="BY51" s="332" t="s">
        <v>333</v>
      </c>
      <c r="BZ51" s="332">
        <v>184</v>
      </c>
      <c r="CA51" s="333">
        <v>0.9</v>
      </c>
      <c r="CB51" s="333">
        <v>0</v>
      </c>
      <c r="CC51" s="333">
        <v>0</v>
      </c>
      <c r="CD51" s="333">
        <v>0.1</v>
      </c>
    </row>
    <row r="52" spans="1:82" x14ac:dyDescent="0.25">
      <c r="AL52" s="334">
        <v>15</v>
      </c>
      <c r="AM52" s="338">
        <v>81.10499999999999</v>
      </c>
      <c r="AN52" s="332">
        <v>1</v>
      </c>
      <c r="AO52" s="338">
        <v>13.517499999999998</v>
      </c>
      <c r="AP52" s="333">
        <v>0</v>
      </c>
      <c r="AQ52" s="333">
        <v>0</v>
      </c>
      <c r="AR52" s="333">
        <v>0</v>
      </c>
      <c r="AS52" s="333">
        <v>1</v>
      </c>
      <c r="BN52" s="334">
        <v>15</v>
      </c>
      <c r="BO52" s="338">
        <v>64.884</v>
      </c>
      <c r="BP52" s="332">
        <v>1</v>
      </c>
      <c r="BQ52" s="338">
        <v>10.814</v>
      </c>
      <c r="BR52" s="333">
        <v>0</v>
      </c>
      <c r="BS52" s="333">
        <v>0</v>
      </c>
      <c r="BT52" s="333">
        <v>0</v>
      </c>
      <c r="BU52" s="333">
        <v>1</v>
      </c>
    </row>
    <row r="53" spans="1:82" x14ac:dyDescent="0.25">
      <c r="AL53" s="334">
        <v>25</v>
      </c>
      <c r="AM53" s="338">
        <v>146.73250000000002</v>
      </c>
      <c r="AN53" s="332">
        <v>2</v>
      </c>
      <c r="AO53" s="338">
        <v>24.455416666666672</v>
      </c>
      <c r="AP53" s="333">
        <v>0.7</v>
      </c>
      <c r="AQ53" s="333">
        <v>0</v>
      </c>
      <c r="AR53" s="333">
        <v>0</v>
      </c>
      <c r="AS53" s="333">
        <v>0.3</v>
      </c>
      <c r="BN53" s="334">
        <v>25</v>
      </c>
      <c r="BO53" s="338">
        <v>117.38600000000002</v>
      </c>
      <c r="BP53" s="332">
        <v>2</v>
      </c>
      <c r="BQ53" s="338">
        <v>19.564333333333337</v>
      </c>
      <c r="BR53" s="333">
        <v>0.7</v>
      </c>
      <c r="BS53" s="333">
        <v>0</v>
      </c>
      <c r="BT53" s="333">
        <v>0</v>
      </c>
      <c r="BU53" s="333">
        <v>0.3</v>
      </c>
    </row>
    <row r="54" spans="1:82" x14ac:dyDescent="0.25">
      <c r="AL54" s="334">
        <v>35</v>
      </c>
      <c r="AM54" s="338">
        <v>221.48208333333338</v>
      </c>
      <c r="AN54" s="332">
        <v>3</v>
      </c>
      <c r="AO54" s="338">
        <v>36.913680555555565</v>
      </c>
      <c r="AP54" s="333">
        <v>0.7</v>
      </c>
      <c r="AQ54" s="333">
        <v>0</v>
      </c>
      <c r="AR54" s="333">
        <v>0</v>
      </c>
      <c r="AS54" s="333">
        <v>0.3</v>
      </c>
      <c r="BN54" s="334">
        <v>35</v>
      </c>
      <c r="BO54" s="338">
        <v>177.18566666666672</v>
      </c>
      <c r="BP54" s="332">
        <v>3</v>
      </c>
      <c r="BQ54" s="338">
        <v>29.530944444444454</v>
      </c>
      <c r="BR54" s="333">
        <v>0.7</v>
      </c>
      <c r="BS54" s="333">
        <v>0</v>
      </c>
      <c r="BT54" s="333">
        <v>0</v>
      </c>
      <c r="BU54" s="333">
        <v>0.3</v>
      </c>
    </row>
    <row r="55" spans="1:82" x14ac:dyDescent="0.25">
      <c r="AL55" s="334">
        <v>45</v>
      </c>
      <c r="AM55" s="338">
        <v>303.83340277777774</v>
      </c>
      <c r="AN55" s="332">
        <v>4</v>
      </c>
      <c r="AO55" s="338">
        <v>50.638900462962958</v>
      </c>
      <c r="AP55" s="333">
        <v>0.7</v>
      </c>
      <c r="AQ55" s="333">
        <v>0</v>
      </c>
      <c r="AR55" s="333">
        <v>0</v>
      </c>
      <c r="AS55" s="333">
        <v>0.3</v>
      </c>
      <c r="BN55" s="334">
        <v>45</v>
      </c>
      <c r="BO55" s="338">
        <v>243.06672222222224</v>
      </c>
      <c r="BP55" s="332">
        <v>4</v>
      </c>
      <c r="BQ55" s="338">
        <v>40.511120370370378</v>
      </c>
      <c r="BR55" s="333">
        <v>0.7</v>
      </c>
      <c r="BS55" s="333">
        <v>0</v>
      </c>
      <c r="BT55" s="333">
        <v>0</v>
      </c>
      <c r="BU55" s="333">
        <v>0.3</v>
      </c>
    </row>
    <row r="56" spans="1:82" x14ac:dyDescent="0.25">
      <c r="AL56" s="334">
        <v>55</v>
      </c>
      <c r="AM56" s="338">
        <v>392.51950231481487</v>
      </c>
      <c r="AN56" s="332" t="s">
        <v>333</v>
      </c>
      <c r="AO56" s="338">
        <v>392.51950231481487</v>
      </c>
      <c r="AP56" s="333">
        <v>0.7</v>
      </c>
      <c r="AQ56" s="333">
        <v>0</v>
      </c>
      <c r="AR56" s="333">
        <v>0</v>
      </c>
      <c r="AS56" s="333">
        <v>0.3</v>
      </c>
      <c r="BN56" s="334">
        <v>55</v>
      </c>
      <c r="BO56" s="338">
        <v>314.0156018518519</v>
      </c>
      <c r="BP56" s="332" t="s">
        <v>333</v>
      </c>
      <c r="BQ56" s="338">
        <v>314.0156018518519</v>
      </c>
      <c r="BR56" s="333">
        <v>0.7</v>
      </c>
      <c r="BS56" s="333">
        <v>0</v>
      </c>
      <c r="BT56" s="333">
        <v>0</v>
      </c>
      <c r="BU56" s="333">
        <v>0.3</v>
      </c>
    </row>
    <row r="57" spans="1:82" x14ac:dyDescent="0.25">
      <c r="AN57" s="345"/>
      <c r="AP57" s="346"/>
      <c r="AQ57" s="346"/>
      <c r="AR57" s="346"/>
      <c r="AS57" s="346"/>
      <c r="BP57" s="345"/>
      <c r="BR57" s="346"/>
      <c r="BS57" s="346"/>
      <c r="BT57" s="346"/>
      <c r="BU57" s="346"/>
    </row>
    <row r="61" spans="1:82" x14ac:dyDescent="0.25">
      <c r="AL61" s="309" t="s">
        <v>360</v>
      </c>
      <c r="BN61" s="309" t="s">
        <v>360</v>
      </c>
    </row>
    <row r="62" spans="1:82" x14ac:dyDescent="0.25">
      <c r="AL62" s="316"/>
      <c r="AM62" s="317" t="s">
        <v>185</v>
      </c>
      <c r="AN62" s="325" t="s">
        <v>186</v>
      </c>
      <c r="AO62" s="324"/>
      <c r="AP62" s="326" t="s">
        <v>187</v>
      </c>
      <c r="AQ62" s="327"/>
      <c r="AR62" s="327"/>
      <c r="AS62" s="328"/>
      <c r="BN62" s="316"/>
      <c r="BO62" s="317" t="s">
        <v>185</v>
      </c>
      <c r="BP62" s="325" t="s">
        <v>186</v>
      </c>
      <c r="BQ62" s="324"/>
      <c r="BR62" s="326" t="s">
        <v>187</v>
      </c>
      <c r="BS62" s="327"/>
      <c r="BT62" s="327"/>
      <c r="BU62" s="328"/>
    </row>
    <row r="63" spans="1:82" ht="75" x14ac:dyDescent="0.25">
      <c r="AL63" s="329" t="s">
        <v>180</v>
      </c>
      <c r="AM63" s="330" t="s">
        <v>354</v>
      </c>
      <c r="AN63" s="330" t="s">
        <v>188</v>
      </c>
      <c r="AO63" s="330" t="s">
        <v>251</v>
      </c>
      <c r="AP63" s="329" t="s">
        <v>183</v>
      </c>
      <c r="AQ63" s="329" t="s">
        <v>181</v>
      </c>
      <c r="AR63" s="329" t="s">
        <v>184</v>
      </c>
      <c r="AS63" s="329" t="s">
        <v>182</v>
      </c>
      <c r="BN63" s="329" t="s">
        <v>180</v>
      </c>
      <c r="BO63" s="330" t="s">
        <v>354</v>
      </c>
      <c r="BP63" s="330" t="s">
        <v>188</v>
      </c>
      <c r="BQ63" s="330" t="s">
        <v>251</v>
      </c>
      <c r="BR63" s="329" t="s">
        <v>183</v>
      </c>
      <c r="BS63" s="329" t="s">
        <v>181</v>
      </c>
      <c r="BT63" s="329" t="s">
        <v>184</v>
      </c>
      <c r="BU63" s="329" t="s">
        <v>182</v>
      </c>
    </row>
    <row r="64" spans="1:82" x14ac:dyDescent="0.25">
      <c r="AL64" s="334">
        <v>15</v>
      </c>
      <c r="AM64" s="338">
        <v>59.489999999999995</v>
      </c>
      <c r="AN64" s="332">
        <v>1</v>
      </c>
      <c r="AO64" s="338">
        <v>9.9149999999999991</v>
      </c>
      <c r="AP64" s="333">
        <v>0</v>
      </c>
      <c r="AQ64" s="333">
        <v>0</v>
      </c>
      <c r="AR64" s="333">
        <v>0</v>
      </c>
      <c r="AS64" s="333">
        <v>1</v>
      </c>
      <c r="BN64" s="334">
        <v>15</v>
      </c>
      <c r="BO64" s="338">
        <v>47.592000000000006</v>
      </c>
      <c r="BP64" s="332">
        <v>1</v>
      </c>
      <c r="BQ64" s="338">
        <v>7.9320000000000013</v>
      </c>
      <c r="BR64" s="333">
        <v>0</v>
      </c>
      <c r="BS64" s="333">
        <v>0</v>
      </c>
      <c r="BT64" s="333">
        <v>0</v>
      </c>
      <c r="BU64" s="333">
        <v>1</v>
      </c>
    </row>
    <row r="65" spans="38:73" x14ac:dyDescent="0.25">
      <c r="AL65" s="334">
        <v>25</v>
      </c>
      <c r="AM65" s="338">
        <v>108.71000000000001</v>
      </c>
      <c r="AN65" s="332">
        <v>2</v>
      </c>
      <c r="AO65" s="338">
        <v>18.118333333333336</v>
      </c>
      <c r="AP65" s="333">
        <v>0.7</v>
      </c>
      <c r="AQ65" s="333">
        <v>0</v>
      </c>
      <c r="AR65" s="333">
        <v>0</v>
      </c>
      <c r="AS65" s="333">
        <v>0.3</v>
      </c>
      <c r="BN65" s="334">
        <v>25</v>
      </c>
      <c r="BO65" s="338">
        <v>86.968000000000018</v>
      </c>
      <c r="BP65" s="332">
        <v>2</v>
      </c>
      <c r="BQ65" s="338">
        <v>14.494666666666669</v>
      </c>
      <c r="BR65" s="333">
        <v>0.7</v>
      </c>
      <c r="BS65" s="333">
        <v>0</v>
      </c>
      <c r="BT65" s="333">
        <v>0</v>
      </c>
      <c r="BU65" s="333">
        <v>0.3</v>
      </c>
    </row>
    <row r="66" spans="38:73" x14ac:dyDescent="0.25">
      <c r="AL66" s="334">
        <v>35</v>
      </c>
      <c r="AM66" s="338">
        <v>165.30666666666664</v>
      </c>
      <c r="AN66" s="332">
        <v>3</v>
      </c>
      <c r="AO66" s="338">
        <v>27.551111111111108</v>
      </c>
      <c r="AP66" s="333">
        <v>0.7</v>
      </c>
      <c r="AQ66" s="333">
        <v>0</v>
      </c>
      <c r="AR66" s="333">
        <v>0</v>
      </c>
      <c r="AS66" s="333">
        <v>0.3</v>
      </c>
      <c r="BN66" s="334">
        <v>35</v>
      </c>
      <c r="BO66" s="338">
        <v>132.24533333333335</v>
      </c>
      <c r="BP66" s="332">
        <v>3</v>
      </c>
      <c r="BQ66" s="338">
        <v>22.04088888888889</v>
      </c>
      <c r="BR66" s="333">
        <v>0.7</v>
      </c>
      <c r="BS66" s="333">
        <v>0</v>
      </c>
      <c r="BT66" s="333">
        <v>0</v>
      </c>
      <c r="BU66" s="333">
        <v>0.3</v>
      </c>
    </row>
    <row r="67" spans="38:73" x14ac:dyDescent="0.25">
      <c r="AL67" s="334">
        <v>45</v>
      </c>
      <c r="AM67" s="338">
        <v>228.05055555555558</v>
      </c>
      <c r="AN67" s="332">
        <v>4</v>
      </c>
      <c r="AO67" s="338">
        <v>38.008425925925927</v>
      </c>
      <c r="AP67" s="333">
        <v>0.9</v>
      </c>
      <c r="AQ67" s="333">
        <v>0</v>
      </c>
      <c r="AR67" s="333">
        <v>0</v>
      </c>
      <c r="AS67" s="333">
        <v>0.1</v>
      </c>
      <c r="BN67" s="334">
        <v>45</v>
      </c>
      <c r="BO67" s="338">
        <v>182.44044444444449</v>
      </c>
      <c r="BP67" s="332">
        <v>4</v>
      </c>
      <c r="BQ67" s="338">
        <v>30.406740740740748</v>
      </c>
      <c r="BR67" s="333">
        <v>0.9</v>
      </c>
      <c r="BS67" s="333">
        <v>0</v>
      </c>
      <c r="BT67" s="333">
        <v>0</v>
      </c>
      <c r="BU67" s="333">
        <v>0.1</v>
      </c>
    </row>
    <row r="68" spans="38:73" x14ac:dyDescent="0.25">
      <c r="AL68" s="334">
        <v>55</v>
      </c>
      <c r="AM68" s="338">
        <v>295.91712962962958</v>
      </c>
      <c r="AN68" s="332" t="s">
        <v>333</v>
      </c>
      <c r="AO68" s="338">
        <v>295.91712962962958</v>
      </c>
      <c r="AP68" s="333">
        <v>0.9</v>
      </c>
      <c r="AQ68" s="333">
        <v>0</v>
      </c>
      <c r="AR68" s="333">
        <v>0</v>
      </c>
      <c r="AS68" s="333">
        <v>0.1</v>
      </c>
      <c r="BN68" s="334">
        <v>55</v>
      </c>
      <c r="BO68" s="338">
        <v>236.7337037037037</v>
      </c>
      <c r="BP68" s="332" t="s">
        <v>333</v>
      </c>
      <c r="BQ68" s="338">
        <v>236.7337037037037</v>
      </c>
      <c r="BR68" s="333">
        <v>0.9</v>
      </c>
      <c r="BS68" s="333">
        <v>0</v>
      </c>
      <c r="BT68" s="333">
        <v>0</v>
      </c>
      <c r="BU68" s="333">
        <v>0.1</v>
      </c>
    </row>
  </sheetData>
  <mergeCells count="28">
    <mergeCell ref="C38:D38"/>
    <mergeCell ref="E38:H38"/>
    <mergeCell ref="BY38:BZ38"/>
    <mergeCell ref="CA38:CD38"/>
    <mergeCell ref="X6:AA6"/>
    <mergeCell ref="AG6:AJ6"/>
    <mergeCell ref="BY6:BZ6"/>
    <mergeCell ref="CA6:CD6"/>
    <mergeCell ref="C22:D22"/>
    <mergeCell ref="E22:H22"/>
    <mergeCell ref="BY22:BZ22"/>
    <mergeCell ref="CA22:CD22"/>
    <mergeCell ref="BE1:BL1"/>
    <mergeCell ref="BN1:BU1"/>
    <mergeCell ref="BW1:CD1"/>
    <mergeCell ref="A3:H3"/>
    <mergeCell ref="BW3:CD3"/>
    <mergeCell ref="C6:D6"/>
    <mergeCell ref="E6:H6"/>
    <mergeCell ref="L6:M6"/>
    <mergeCell ref="N6:Q6"/>
    <mergeCell ref="V6:W6"/>
    <mergeCell ref="A1:H1"/>
    <mergeCell ref="J1:Q1"/>
    <mergeCell ref="T1:AA1"/>
    <mergeCell ref="AC1:AJ1"/>
    <mergeCell ref="AL1:AS1"/>
    <mergeCell ref="AU1:B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5</vt:i4>
      </vt:variant>
    </vt:vector>
  </HeadingPairs>
  <TitlesOfParts>
    <vt:vector size="14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Projet</vt:lpstr>
      <vt:lpstr>Table production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mlopez.foret@gmail.com</cp:lastModifiedBy>
  <dcterms:created xsi:type="dcterms:W3CDTF">2021-02-01T08:22:39Z</dcterms:created>
  <dcterms:modified xsi:type="dcterms:W3CDTF">2024-07-03T09:46:06Z</dcterms:modified>
</cp:coreProperties>
</file>